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17-丰联广场办公及地下商业\"/>
    </mc:Choice>
  </mc:AlternateContent>
  <xr:revisionPtr revIDLastSave="0" documentId="13_ncr:1_{AA283BE3-1F92-448F-81A7-00186FA2AED0}" xr6:coauthVersionLast="47" xr6:coauthVersionMax="47" xr10:uidLastSave="{00000000-0000-0000-0000-000000000000}"/>
  <bookViews>
    <workbookView xWindow="-108" yWindow="-108" windowWidth="23256" windowHeight="12576"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基准地价修正" sheetId="43" state="hidden" r:id="rId19"/>
    <sheet name="成本法 (元)" sheetId="69" state="hidden" r:id="rId20"/>
    <sheet name="收益法 (元)" sheetId="67" state="hidden" r:id="rId21"/>
    <sheet name="成本法" sheetId="68"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结果表办" sheetId="83" r:id="rId46"/>
    <sheet name="基准地价修正办" sheetId="80" r:id="rId47"/>
    <sheet name="成本法办" sheetId="81" r:id="rId48"/>
    <sheet name="收益法办" sheetId="82"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46">基准地价修正办!$A$1:$J$44,基准地价修正办!$A$47:$H$101,基准地价修正办!$R$1:$V$16</definedName>
    <definedName name="_xlnm.Print_Area" localSheetId="22">假设开发法!$A$1:$K$32</definedName>
    <definedName name="_xlnm.Print_Area" localSheetId="17">结果表!$A$1:$I$127</definedName>
    <definedName name="_xlnm.Print_Area" localSheetId="45">结果表办!$A$1:$I$127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K84" i="83" l="1"/>
  <c r="K84" i="9"/>
  <c r="H13" i="3"/>
  <c r="H14" i="3"/>
  <c r="H15" i="3"/>
  <c r="H5" i="3"/>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G13" i="3"/>
  <c r="G14" i="3"/>
  <c r="G15" i="3"/>
  <c r="G5" i="3"/>
  <c r="B3" i="3"/>
  <c r="AY6" i="3"/>
  <c r="D3" i="6"/>
  <c r="E3" i="6"/>
  <c r="D19" i="6"/>
  <c r="M19" i="83"/>
  <c r="C118" i="83"/>
  <c r="C15" i="74"/>
  <c r="D33" i="80"/>
  <c r="A120" i="83"/>
  <c r="A118" i="83"/>
  <c r="E111" i="83"/>
  <c r="E109" i="83"/>
  <c r="A124" i="83"/>
  <c r="E107" i="83"/>
  <c r="A122" i="83"/>
  <c r="H106" i="83"/>
  <c r="H105" i="83"/>
  <c r="H104" i="83"/>
  <c r="H103" i="83"/>
  <c r="D120" i="83"/>
  <c r="D101" i="83"/>
  <c r="C101" i="83"/>
  <c r="D93" i="83"/>
  <c r="E90" i="83"/>
  <c r="D89" i="83"/>
  <c r="D78" i="83"/>
  <c r="H77" i="83"/>
  <c r="D77" i="83"/>
  <c r="C77" i="83"/>
  <c r="C74" i="83"/>
  <c r="C76" i="83"/>
  <c r="D68" i="83"/>
  <c r="F59" i="83"/>
  <c r="E59" i="83"/>
  <c r="N55" i="83"/>
  <c r="N56" i="83"/>
  <c r="M56" i="83"/>
  <c r="K56" i="83"/>
  <c r="J56" i="83"/>
  <c r="F56" i="83"/>
  <c r="O54" i="83"/>
  <c r="O55" i="83"/>
  <c r="K55" i="83"/>
  <c r="J55" i="83"/>
  <c r="J57" i="83"/>
  <c r="J59" i="83"/>
  <c r="J61" i="83"/>
  <c r="I55" i="83"/>
  <c r="F55" i="83"/>
  <c r="O53" i="83"/>
  <c r="N54" i="83"/>
  <c r="F54" i="83"/>
  <c r="N53" i="83"/>
  <c r="F53" i="83"/>
  <c r="F52" i="83"/>
  <c r="K49" i="83"/>
  <c r="F48" i="83"/>
  <c r="O52" i="83"/>
  <c r="E48" i="83"/>
  <c r="N52" i="83"/>
  <c r="M47" i="83"/>
  <c r="F33" i="83"/>
  <c r="D27" i="83"/>
  <c r="C25" i="83"/>
  <c r="C24" i="83"/>
  <c r="M18" i="83"/>
  <c r="B118" i="83"/>
  <c r="B15" i="74"/>
  <c r="BQ5" i="3"/>
  <c r="BS5" i="3"/>
  <c r="F28" i="6"/>
  <c r="BR5" i="3"/>
  <c r="BT5" i="3"/>
  <c r="G28" i="6"/>
  <c r="E28" i="6"/>
  <c r="BA5" i="3"/>
  <c r="BB5" i="3"/>
  <c r="BC5" i="3"/>
  <c r="E8" i="6"/>
  <c r="F27" i="6"/>
  <c r="E20" i="6"/>
  <c r="E27" i="6"/>
  <c r="K19" i="6"/>
  <c r="L19" i="6"/>
  <c r="M19" i="6"/>
  <c r="I19" i="6"/>
  <c r="L18" i="83"/>
  <c r="C18" i="83"/>
  <c r="D18" i="83"/>
  <c r="D17" i="83"/>
  <c r="C17" i="83"/>
  <c r="L4" i="83"/>
  <c r="K4" i="83"/>
  <c r="A2" i="83"/>
  <c r="H1" i="83"/>
  <c r="Q72" i="82"/>
  <c r="Q59" i="82"/>
  <c r="K59" i="82"/>
  <c r="P74" i="82"/>
  <c r="F59" i="82"/>
  <c r="Q58" i="82"/>
  <c r="Q51" i="82"/>
  <c r="J50" i="82"/>
  <c r="J51" i="82"/>
  <c r="J49" i="82"/>
  <c r="M47" i="82"/>
  <c r="D46" i="82"/>
  <c r="F34" i="82"/>
  <c r="F62" i="82"/>
  <c r="F33" i="82"/>
  <c r="F61" i="82"/>
  <c r="F32" i="82"/>
  <c r="F60" i="82"/>
  <c r="F31" i="82"/>
  <c r="F28" i="82"/>
  <c r="C28" i="82"/>
  <c r="F23" i="82"/>
  <c r="D24" i="82"/>
  <c r="D23" i="82"/>
  <c r="D22" i="82"/>
  <c r="F21" i="82"/>
  <c r="M20" i="82"/>
  <c r="F20" i="82"/>
  <c r="M19" i="82"/>
  <c r="M18" i="82"/>
  <c r="F18" i="82"/>
  <c r="M17" i="82"/>
  <c r="F17" i="82"/>
  <c r="F15" i="82"/>
  <c r="G1" i="82"/>
  <c r="C48" i="81"/>
  <c r="G41" i="81"/>
  <c r="F38" i="81"/>
  <c r="E37" i="81"/>
  <c r="F36" i="81"/>
  <c r="F35" i="81"/>
  <c r="F30" i="81"/>
  <c r="F48" i="81"/>
  <c r="C30" i="81"/>
  <c r="G22" i="81"/>
  <c r="F21" i="81"/>
  <c r="F20" i="81"/>
  <c r="F39" i="81"/>
  <c r="E19" i="81"/>
  <c r="C19" i="81"/>
  <c r="E10" i="81"/>
  <c r="E9" i="81"/>
  <c r="F7" i="81"/>
  <c r="H1" i="81"/>
  <c r="G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B101" i="80"/>
  <c r="N100" i="80"/>
  <c r="M100" i="80"/>
  <c r="K100" i="80"/>
  <c r="J100" i="80"/>
  <c r="D100" i="80"/>
  <c r="B100" i="80"/>
  <c r="M99" i="80"/>
  <c r="N99" i="80"/>
  <c r="K99" i="80"/>
  <c r="J99" i="80"/>
  <c r="D99" i="80"/>
  <c r="B99" i="80"/>
  <c r="N98" i="80"/>
  <c r="M98" i="80"/>
  <c r="K98" i="80"/>
  <c r="J98" i="80"/>
  <c r="D98" i="80"/>
  <c r="M97" i="80"/>
  <c r="N97" i="80"/>
  <c r="K97" i="80"/>
  <c r="J97" i="80"/>
  <c r="D97" i="80"/>
  <c r="B97" i="80"/>
  <c r="N96" i="80"/>
  <c r="M96" i="80"/>
  <c r="K96" i="80"/>
  <c r="J96" i="80"/>
  <c r="D96" i="80"/>
  <c r="N95" i="80"/>
  <c r="M95" i="80"/>
  <c r="K95" i="80"/>
  <c r="J95" i="80"/>
  <c r="D95" i="80"/>
  <c r="B95" i="80"/>
  <c r="M94" i="80"/>
  <c r="N94" i="80"/>
  <c r="K94" i="80"/>
  <c r="J94" i="80"/>
  <c r="D94" i="80"/>
  <c r="E93" i="80"/>
  <c r="B91" i="80"/>
  <c r="B94" i="80"/>
  <c r="M93" i="80"/>
  <c r="N93" i="80"/>
  <c r="K93" i="80"/>
  <c r="J93" i="80"/>
  <c r="F93" i="80"/>
  <c r="H95" i="80"/>
  <c r="D93" i="80"/>
  <c r="M90" i="80"/>
  <c r="N90" i="80"/>
  <c r="K90" i="80"/>
  <c r="J90" i="80"/>
  <c r="D90" i="80"/>
  <c r="B90" i="80"/>
  <c r="M89" i="80"/>
  <c r="N89" i="80"/>
  <c r="K89" i="80"/>
  <c r="J89" i="80"/>
  <c r="D89" i="80"/>
  <c r="N88" i="80"/>
  <c r="M88" i="80"/>
  <c r="K88" i="80"/>
  <c r="J88" i="80"/>
  <c r="D88" i="80"/>
  <c r="B88" i="80"/>
  <c r="N87" i="80"/>
  <c r="M87" i="80"/>
  <c r="K87" i="80"/>
  <c r="J87" i="80"/>
  <c r="D87" i="80"/>
  <c r="B87" i="80"/>
  <c r="M86" i="80"/>
  <c r="N86" i="80"/>
  <c r="K86" i="80"/>
  <c r="J86" i="80"/>
  <c r="D86" i="80"/>
  <c r="B86" i="80"/>
  <c r="M85" i="80"/>
  <c r="N85" i="80"/>
  <c r="K85" i="80"/>
  <c r="J85" i="80"/>
  <c r="D85" i="80"/>
  <c r="B85" i="80"/>
  <c r="M84" i="80"/>
  <c r="N84" i="80"/>
  <c r="K84" i="80"/>
  <c r="J84" i="80"/>
  <c r="D84" i="80"/>
  <c r="B84" i="80"/>
  <c r="N83" i="80"/>
  <c r="M83" i="80"/>
  <c r="K83" i="80"/>
  <c r="J83" i="80"/>
  <c r="F83" i="80"/>
  <c r="H87" i="80"/>
  <c r="D83" i="80"/>
  <c r="E83" i="80"/>
  <c r="B81" i="80"/>
  <c r="B83" i="80"/>
  <c r="M80" i="80"/>
  <c r="N80" i="80"/>
  <c r="K80" i="80"/>
  <c r="J80" i="80"/>
  <c r="D80" i="80"/>
  <c r="N79" i="80"/>
  <c r="M79" i="80"/>
  <c r="K79" i="80"/>
  <c r="J79" i="80"/>
  <c r="D79" i="80"/>
  <c r="B79" i="80"/>
  <c r="N78" i="80"/>
  <c r="M78" i="80"/>
  <c r="K78" i="80"/>
  <c r="J78" i="80"/>
  <c r="D78" i="80"/>
  <c r="M77" i="80"/>
  <c r="N77" i="80"/>
  <c r="K77" i="80"/>
  <c r="J77" i="80"/>
  <c r="D77" i="80"/>
  <c r="B77" i="80"/>
  <c r="N76" i="80"/>
  <c r="M76" i="80"/>
  <c r="K76" i="80"/>
  <c r="J76" i="80"/>
  <c r="D76" i="80"/>
  <c r="B76" i="80"/>
  <c r="N75" i="80"/>
  <c r="M75" i="80"/>
  <c r="K75" i="80"/>
  <c r="J75" i="80"/>
  <c r="D75" i="80"/>
  <c r="B75" i="80"/>
  <c r="M74" i="80"/>
  <c r="N74" i="80"/>
  <c r="K74" i="80"/>
  <c r="J74" i="80"/>
  <c r="D74" i="80"/>
  <c r="B74" i="80"/>
  <c r="M73" i="80"/>
  <c r="N73" i="80"/>
  <c r="K73" i="80"/>
  <c r="J73" i="80"/>
  <c r="D73" i="80"/>
  <c r="B73" i="80"/>
  <c r="N72" i="80"/>
  <c r="M72" i="80"/>
  <c r="K72" i="80"/>
  <c r="J72" i="80"/>
  <c r="F72" i="80"/>
  <c r="H79" i="80"/>
  <c r="D72" i="80"/>
  <c r="E72" i="80"/>
  <c r="B70" i="80"/>
  <c r="B72" i="80"/>
  <c r="M69" i="80"/>
  <c r="N69" i="80"/>
  <c r="K69" i="80"/>
  <c r="J69" i="80"/>
  <c r="D69" i="80"/>
  <c r="B69" i="80"/>
  <c r="M68" i="80"/>
  <c r="N68" i="80"/>
  <c r="K68" i="80"/>
  <c r="J68" i="80"/>
  <c r="D68" i="80"/>
  <c r="B68" i="80"/>
  <c r="N67" i="80"/>
  <c r="M67" i="80"/>
  <c r="K67" i="80"/>
  <c r="J67" i="80"/>
  <c r="D67" i="80"/>
  <c r="B67" i="80"/>
  <c r="M66" i="80"/>
  <c r="N66" i="80"/>
  <c r="K66" i="80"/>
  <c r="J66" i="80"/>
  <c r="M65" i="80"/>
  <c r="N65" i="80"/>
  <c r="K65" i="80"/>
  <c r="J65" i="80"/>
  <c r="B65" i="80"/>
  <c r="M64" i="80"/>
  <c r="N64" i="80"/>
  <c r="K64" i="80"/>
  <c r="J64" i="80"/>
  <c r="D64" i="80"/>
  <c r="M63" i="80"/>
  <c r="N63" i="80"/>
  <c r="K63" i="80"/>
  <c r="J63" i="80"/>
  <c r="D63" i="80"/>
  <c r="B63" i="80"/>
  <c r="M62" i="80"/>
  <c r="N62" i="80"/>
  <c r="K62" i="80"/>
  <c r="J62" i="80"/>
  <c r="D62" i="80"/>
  <c r="B62" i="80"/>
  <c r="N61" i="80"/>
  <c r="M61" i="80"/>
  <c r="K61" i="80"/>
  <c r="J61" i="80"/>
  <c r="D61" i="80"/>
  <c r="B61" i="80"/>
  <c r="M58" i="80"/>
  <c r="N58" i="80"/>
  <c r="K58" i="80"/>
  <c r="J58" i="80"/>
  <c r="D58" i="80"/>
  <c r="B58" i="80"/>
  <c r="M57" i="80"/>
  <c r="N57" i="80"/>
  <c r="K57" i="80"/>
  <c r="J57" i="80"/>
  <c r="D57" i="80"/>
  <c r="B57" i="80"/>
  <c r="N56" i="80"/>
  <c r="M56" i="80"/>
  <c r="K56" i="80"/>
  <c r="D56" i="80"/>
  <c r="J56" i="80"/>
  <c r="B56" i="80"/>
  <c r="N55" i="80"/>
  <c r="M55" i="80"/>
  <c r="K55" i="80"/>
  <c r="J55" i="80"/>
  <c r="D55" i="80"/>
  <c r="M54" i="80"/>
  <c r="N54" i="80"/>
  <c r="K54" i="80"/>
  <c r="B54" i="80"/>
  <c r="N53" i="80"/>
  <c r="M53" i="80"/>
  <c r="K53" i="80"/>
  <c r="D53" i="80"/>
  <c r="J53" i="80"/>
  <c r="M52" i="80"/>
  <c r="N52" i="80"/>
  <c r="K52" i="80"/>
  <c r="J52" i="80"/>
  <c r="D52" i="80"/>
  <c r="B52" i="80"/>
  <c r="M51" i="80"/>
  <c r="N51" i="80"/>
  <c r="K51" i="80"/>
  <c r="B51" i="80"/>
  <c r="N50" i="80"/>
  <c r="M50" i="80"/>
  <c r="K50" i="80"/>
  <c r="J50" i="80"/>
  <c r="D50" i="80"/>
  <c r="B50" i="80"/>
  <c r="H42" i="80"/>
  <c r="H41" i="80"/>
  <c r="H40" i="80"/>
  <c r="F40" i="80"/>
  <c r="H39" i="80"/>
  <c r="H38" i="80"/>
  <c r="F37" i="80"/>
  <c r="D37" i="80"/>
  <c r="O32" i="80"/>
  <c r="J24" i="80"/>
  <c r="I24" i="80"/>
  <c r="G24" i="80"/>
  <c r="G18" i="80"/>
  <c r="E24" i="80"/>
  <c r="N32" i="80"/>
  <c r="M23" i="80"/>
  <c r="I23" i="80"/>
  <c r="G23" i="80"/>
  <c r="C22" i="80"/>
  <c r="N21" i="80"/>
  <c r="I18" i="80"/>
  <c r="G17" i="80"/>
  <c r="C17" i="80"/>
  <c r="C13" i="80"/>
  <c r="C11" i="80"/>
  <c r="E10" i="80"/>
  <c r="AJ10" i="80"/>
  <c r="AG10" i="80"/>
  <c r="AF10" i="80"/>
  <c r="AC10" i="80"/>
  <c r="AB10" i="80"/>
  <c r="Y10" i="80"/>
  <c r="C10" i="80"/>
  <c r="AJ9" i="80"/>
  <c r="AI9" i="80"/>
  <c r="AI10" i="80"/>
  <c r="AH9" i="80"/>
  <c r="AH10" i="80"/>
  <c r="AG9" i="80"/>
  <c r="AF9" i="80"/>
  <c r="AE9" i="80"/>
  <c r="AE10" i="80"/>
  <c r="AD9" i="80"/>
  <c r="AD10" i="80"/>
  <c r="AC9" i="80"/>
  <c r="AB9" i="80"/>
  <c r="AA9" i="80"/>
  <c r="AA10" i="80"/>
  <c r="Z9" i="80"/>
  <c r="Z10" i="80"/>
  <c r="N9" i="80"/>
  <c r="M9" i="80"/>
  <c r="C9" i="80"/>
  <c r="E8" i="80"/>
  <c r="M6" i="80"/>
  <c r="N4" i="80"/>
  <c r="M4" i="80"/>
  <c r="G3" i="80"/>
  <c r="B116" i="80"/>
  <c r="N2" i="80"/>
  <c r="I2" i="80"/>
  <c r="M12" i="80"/>
  <c r="G2" i="80"/>
  <c r="H116" i="80"/>
  <c r="N1" i="80"/>
  <c r="D1" i="80"/>
  <c r="J49" i="67"/>
  <c r="D37" i="43"/>
  <c r="Y6" i="1"/>
  <c r="F19" i="6"/>
  <c r="N6" i="1"/>
  <c r="O20" i="1"/>
  <c r="O22" i="1"/>
  <c r="B21" i="1"/>
  <c r="D34" i="83"/>
  <c r="D35" i="83"/>
  <c r="E2" i="81"/>
  <c r="F6" i="82"/>
  <c r="K6" i="1"/>
  <c r="S6" i="1"/>
  <c r="C34" i="81"/>
  <c r="C36" i="81"/>
  <c r="F26" i="82"/>
  <c r="M23" i="82"/>
  <c r="J15" i="82"/>
  <c r="M27" i="82"/>
  <c r="C76" i="82"/>
  <c r="M9" i="82"/>
  <c r="D9" i="81"/>
  <c r="Z7" i="80"/>
  <c r="E26" i="80"/>
  <c r="H26" i="80"/>
  <c r="J26" i="80"/>
  <c r="C35" i="81"/>
  <c r="D66" i="80"/>
  <c r="D65" i="80"/>
  <c r="E61" i="80"/>
  <c r="B59" i="80"/>
  <c r="E17" i="80"/>
  <c r="F38" i="80"/>
  <c r="H83" i="80"/>
  <c r="H85" i="80"/>
  <c r="N6" i="80"/>
  <c r="J21" i="80"/>
  <c r="C24" i="80"/>
  <c r="E44" i="80"/>
  <c r="C44" i="80"/>
  <c r="F61" i="80"/>
  <c r="H74" i="80"/>
  <c r="E21" i="80"/>
  <c r="O21" i="80"/>
  <c r="N3" i="80"/>
  <c r="N5" i="80"/>
  <c r="M8" i="80"/>
  <c r="M10" i="80"/>
  <c r="N11" i="80"/>
  <c r="M1" i="80"/>
  <c r="C6" i="80"/>
  <c r="M2" i="80"/>
  <c r="S3" i="80"/>
  <c r="S5" i="80"/>
  <c r="N7" i="80"/>
  <c r="N12" i="80"/>
  <c r="K21" i="80"/>
  <c r="F42" i="80"/>
  <c r="H72" i="80"/>
  <c r="H75" i="80"/>
  <c r="H78" i="80"/>
  <c r="H80" i="80"/>
  <c r="D121" i="83"/>
  <c r="K120" i="83"/>
  <c r="A126" i="83"/>
  <c r="H109" i="83"/>
  <c r="C9" i="81"/>
  <c r="Q71" i="82"/>
  <c r="P29" i="80"/>
  <c r="P25" i="80"/>
  <c r="O23" i="80"/>
  <c r="C23" i="80"/>
  <c r="P28" i="80"/>
  <c r="P26" i="80"/>
  <c r="M24" i="80"/>
  <c r="P27" i="80"/>
  <c r="J54" i="80"/>
  <c r="D54" i="80"/>
  <c r="E9" i="80"/>
  <c r="C7" i="80"/>
  <c r="E11" i="80"/>
  <c r="J51" i="80"/>
  <c r="D51" i="80"/>
  <c r="E50" i="80"/>
  <c r="B48" i="80"/>
  <c r="H101" i="80"/>
  <c r="H98" i="80"/>
  <c r="H99" i="80"/>
  <c r="H96" i="80"/>
  <c r="H93" i="80"/>
  <c r="H100" i="80"/>
  <c r="H97" i="80"/>
  <c r="H94" i="80"/>
  <c r="S2" i="80"/>
  <c r="I122" i="80"/>
  <c r="J122" i="80"/>
  <c r="K122" i="80"/>
  <c r="L122" i="80"/>
  <c r="M122" i="80"/>
  <c r="I121" i="80"/>
  <c r="J121" i="80"/>
  <c r="K121" i="80"/>
  <c r="L121" i="80"/>
  <c r="M121" i="80"/>
  <c r="I120" i="80"/>
  <c r="J120" i="80"/>
  <c r="K120" i="80"/>
  <c r="L120" i="80"/>
  <c r="M120" i="80"/>
  <c r="I119" i="80"/>
  <c r="J119" i="80"/>
  <c r="K119" i="80"/>
  <c r="L119" i="80"/>
  <c r="M119" i="80"/>
  <c r="I118" i="80"/>
  <c r="J118" i="80"/>
  <c r="K118" i="80"/>
  <c r="L118" i="80"/>
  <c r="M118" i="80"/>
  <c r="D122" i="80"/>
  <c r="E122" i="80"/>
  <c r="F122" i="80"/>
  <c r="G122" i="80"/>
  <c r="H122" i="80"/>
  <c r="D121" i="80"/>
  <c r="E121" i="80"/>
  <c r="F121" i="80"/>
  <c r="D120" i="80"/>
  <c r="E120" i="80"/>
  <c r="F120" i="80"/>
  <c r="G120" i="80"/>
  <c r="H120" i="80"/>
  <c r="D119" i="80"/>
  <c r="E119" i="80"/>
  <c r="F119" i="80"/>
  <c r="G119" i="80"/>
  <c r="H119" i="80"/>
  <c r="D118" i="80"/>
  <c r="E118" i="80"/>
  <c r="F118" i="80"/>
  <c r="G118" i="80"/>
  <c r="H118" i="80"/>
  <c r="G121" i="80"/>
  <c r="H121" i="80"/>
  <c r="B122" i="80"/>
  <c r="C122" i="80"/>
  <c r="B121" i="80"/>
  <c r="C121" i="80"/>
  <c r="B120" i="80"/>
  <c r="C120" i="80"/>
  <c r="B119" i="80"/>
  <c r="C119" i="80"/>
  <c r="B118" i="80"/>
  <c r="C118" i="80"/>
  <c r="S4" i="80"/>
  <c r="N10" i="80"/>
  <c r="C21" i="80"/>
  <c r="H21" i="80"/>
  <c r="L21" i="80"/>
  <c r="F26" i="80"/>
  <c r="M32" i="80"/>
  <c r="Q32" i="80"/>
  <c r="H37" i="80"/>
  <c r="F39" i="80"/>
  <c r="F41" i="80"/>
  <c r="F50" i="80"/>
  <c r="H62" i="80"/>
  <c r="H65" i="80"/>
  <c r="H68" i="80"/>
  <c r="H73" i="80"/>
  <c r="H77" i="80"/>
  <c r="H89" i="80"/>
  <c r="H86" i="80"/>
  <c r="H84" i="80"/>
  <c r="H90" i="80"/>
  <c r="D116" i="80"/>
  <c r="P32" i="80"/>
  <c r="M3" i="80"/>
  <c r="M5" i="80"/>
  <c r="S6" i="80"/>
  <c r="M7" i="80"/>
  <c r="X7" i="80"/>
  <c r="N8" i="80"/>
  <c r="M11" i="80"/>
  <c r="D21" i="80"/>
  <c r="I21" i="80"/>
  <c r="M21" i="80"/>
  <c r="G26" i="80"/>
  <c r="C27" i="80"/>
  <c r="H76" i="80"/>
  <c r="H88" i="80"/>
  <c r="C38" i="81"/>
  <c r="C40" i="81"/>
  <c r="P61" i="82"/>
  <c r="C21" i="81"/>
  <c r="F40" i="81"/>
  <c r="C27" i="82"/>
  <c r="M6" i="82"/>
  <c r="L47" i="82"/>
  <c r="F36" i="82"/>
  <c r="M22" i="82"/>
  <c r="F16" i="82"/>
  <c r="F13" i="82"/>
  <c r="F42" i="82"/>
  <c r="F43" i="82"/>
  <c r="F37" i="82"/>
  <c r="L48" i="82"/>
  <c r="D10" i="81"/>
  <c r="M8" i="82"/>
  <c r="F8" i="82"/>
  <c r="F27" i="81"/>
  <c r="M26" i="82"/>
  <c r="F9" i="82"/>
  <c r="F40" i="82"/>
  <c r="M24" i="82"/>
  <c r="F7" i="82"/>
  <c r="F38" i="82"/>
  <c r="M28" i="82"/>
  <c r="M29" i="82"/>
  <c r="C10" i="81"/>
  <c r="D19" i="81"/>
  <c r="D37" i="81"/>
  <c r="C37" i="81"/>
  <c r="C33" i="81"/>
  <c r="C39" i="81"/>
  <c r="C46" i="81"/>
  <c r="C45" i="81"/>
  <c r="F45" i="81"/>
  <c r="C29" i="81"/>
  <c r="D27" i="81"/>
  <c r="C8" i="81"/>
  <c r="C28" i="80"/>
  <c r="H67" i="80"/>
  <c r="H61" i="80"/>
  <c r="H64" i="80"/>
  <c r="H63" i="80"/>
  <c r="H66" i="80"/>
  <c r="H69" i="80"/>
  <c r="D124" i="83"/>
  <c r="D125" i="83"/>
  <c r="H110" i="83"/>
  <c r="N59" i="82"/>
  <c r="L58" i="82"/>
  <c r="M59" i="82"/>
  <c r="L59" i="82"/>
  <c r="F68" i="82"/>
  <c r="L57" i="82"/>
  <c r="L56" i="82"/>
  <c r="I54" i="82"/>
  <c r="L60" i="82"/>
  <c r="J57" i="82"/>
  <c r="J55" i="82"/>
  <c r="J58" i="82"/>
  <c r="Q50" i="82"/>
  <c r="J53" i="82"/>
  <c r="F64" i="82"/>
  <c r="M7" i="82"/>
  <c r="J6" i="82"/>
  <c r="F50" i="82"/>
  <c r="F71" i="82"/>
  <c r="F51" i="82"/>
  <c r="C6" i="82"/>
  <c r="F65" i="82"/>
  <c r="F66" i="82"/>
  <c r="C47" i="81"/>
  <c r="D45" i="81"/>
  <c r="D26" i="80"/>
  <c r="C25" i="80"/>
  <c r="H56" i="80"/>
  <c r="H53" i="80"/>
  <c r="H50" i="80"/>
  <c r="H57" i="80"/>
  <c r="H54" i="80"/>
  <c r="H51" i="80"/>
  <c r="H58" i="80"/>
  <c r="H52" i="80"/>
  <c r="H55" i="80"/>
  <c r="G21" i="80"/>
  <c r="C20" i="80"/>
  <c r="D5" i="80"/>
  <c r="C14" i="82"/>
  <c r="C16" i="82"/>
  <c r="C17" i="82"/>
  <c r="C49" i="82"/>
  <c r="C18" i="82"/>
  <c r="C15" i="82"/>
  <c r="J19" i="82"/>
  <c r="J18" i="82"/>
  <c r="C42" i="80"/>
  <c r="C40" i="80"/>
  <c r="C38" i="80"/>
  <c r="C37" i="80"/>
  <c r="C41" i="80"/>
  <c r="C39" i="80"/>
  <c r="Q61" i="82"/>
  <c r="Q74" i="82"/>
  <c r="C5" i="80"/>
  <c r="C33" i="82"/>
  <c r="C32" i="82"/>
  <c r="C61" i="82"/>
  <c r="Q66" i="82"/>
  <c r="Q57" i="82"/>
  <c r="Q73" i="82"/>
  <c r="Q60" i="82"/>
  <c r="F1" i="82"/>
  <c r="Q52" i="82"/>
  <c r="C19" i="82"/>
  <c r="C33" i="80"/>
  <c r="T10" i="80"/>
  <c r="V10" i="80"/>
  <c r="T4" i="80"/>
  <c r="V4" i="80"/>
  <c r="T2" i="80"/>
  <c r="V2" i="80"/>
  <c r="T16" i="80"/>
  <c r="V16" i="80"/>
  <c r="T14" i="80"/>
  <c r="V14" i="80"/>
  <c r="T9" i="80"/>
  <c r="V9" i="80"/>
  <c r="T5" i="80"/>
  <c r="V5" i="80"/>
  <c r="T3" i="80"/>
  <c r="V3" i="80"/>
  <c r="T15" i="80"/>
  <c r="V15" i="80"/>
  <c r="T12" i="80"/>
  <c r="V12" i="80"/>
  <c r="T8" i="80"/>
  <c r="V8" i="80"/>
  <c r="T7" i="80"/>
  <c r="V7" i="80"/>
  <c r="T6" i="80"/>
  <c r="V6" i="80"/>
  <c r="T13" i="80"/>
  <c r="V13" i="80"/>
  <c r="T11" i="80"/>
  <c r="V11" i="80"/>
  <c r="G41" i="80"/>
  <c r="I41" i="80"/>
  <c r="E41" i="80"/>
  <c r="E42" i="80"/>
  <c r="G42" i="80"/>
  <c r="I42" i="80"/>
  <c r="E37" i="80"/>
  <c r="G37" i="80"/>
  <c r="I37" i="80"/>
  <c r="E38" i="80"/>
  <c r="G38" i="80"/>
  <c r="I38" i="80"/>
  <c r="G39" i="80"/>
  <c r="I39" i="80"/>
  <c r="E39" i="80"/>
  <c r="E40" i="80"/>
  <c r="G40" i="80"/>
  <c r="I40" i="80"/>
  <c r="C20" i="82"/>
  <c r="I91" i="83"/>
  <c r="E33" i="80"/>
  <c r="C6" i="81"/>
  <c r="C7" i="81"/>
  <c r="C5" i="81"/>
  <c r="C26" i="82"/>
  <c r="C34" i="80"/>
  <c r="E34" i="80"/>
  <c r="C31" i="80"/>
  <c r="C30" i="80"/>
  <c r="B2" i="80"/>
  <c r="B3" i="80"/>
  <c r="C88" i="83"/>
  <c r="C89" i="83"/>
  <c r="C87" i="83"/>
  <c r="C20" i="81"/>
  <c r="C28" i="81"/>
  <c r="C27" i="81"/>
  <c r="D3" i="4"/>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5" i="79"/>
  <c r="AN36" i="79"/>
  <c r="AN37" i="79"/>
  <c r="AN38" i="79"/>
  <c r="AN39" i="79"/>
  <c r="AN40" i="79"/>
  <c r="AN41" i="79"/>
  <c r="AN42" i="79"/>
  <c r="AN43" i="79"/>
  <c r="AN44" i="79"/>
  <c r="AN45" i="79"/>
  <c r="AN46" i="79"/>
  <c r="AN47" i="79"/>
  <c r="AN48" i="79"/>
  <c r="AN49" i="79"/>
  <c r="AN50" i="79"/>
  <c r="AN51" i="79"/>
  <c r="AN52" i="79"/>
  <c r="AN34" i="79"/>
  <c r="AQ6" i="79"/>
  <c r="AQ7" i="79"/>
  <c r="AQ8" i="79"/>
  <c r="AQ9" i="79"/>
  <c r="AQ10" i="79"/>
  <c r="AQ11" i="79"/>
  <c r="AQ12" i="79"/>
  <c r="AQ13" i="79"/>
  <c r="AQ14" i="79"/>
  <c r="AQ15" i="79"/>
  <c r="AQ16" i="79"/>
  <c r="AQ17" i="79"/>
  <c r="AQ18" i="79"/>
  <c r="AQ19" i="79"/>
  <c r="AQ20" i="79"/>
  <c r="AQ21" i="79"/>
  <c r="AQ22" i="79"/>
  <c r="AQ23" i="79"/>
  <c r="AQ24"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R6" i="79"/>
  <c r="AR7" i="79"/>
  <c r="AC6" i="79"/>
  <c r="AB6" i="79"/>
  <c r="AA6" i="79"/>
  <c r="AD6" i="79"/>
  <c r="Z6" i="79"/>
  <c r="Y6" i="79"/>
  <c r="O6" i="79"/>
  <c r="N6" i="79"/>
  <c r="M6" i="79"/>
  <c r="P6" i="79"/>
  <c r="L6" i="79"/>
  <c r="K6" i="79"/>
  <c r="I6" i="79"/>
  <c r="AC7" i="79"/>
  <c r="AB7" i="79"/>
  <c r="AA7" i="79"/>
  <c r="AD7" i="79"/>
  <c r="Z7" i="79"/>
  <c r="Y7" i="79"/>
  <c r="O7" i="79"/>
  <c r="N7" i="79"/>
  <c r="M7" i="79"/>
  <c r="P7" i="79"/>
  <c r="L7" i="79"/>
  <c r="K7" i="79"/>
  <c r="I7" i="79"/>
  <c r="AD33" i="79"/>
  <c r="AR34" i="79"/>
  <c r="AR35" i="79"/>
  <c r="AR36" i="79"/>
  <c r="AR8" i="79"/>
  <c r="AD35" i="79"/>
  <c r="C60" i="78"/>
  <c r="D60" i="78"/>
  <c r="B55" i="78"/>
  <c r="D55" i="78"/>
  <c r="D53" i="78"/>
  <c r="D52" i="78"/>
  <c r="D51" i="78"/>
  <c r="B51" i="78"/>
  <c r="B56" i="78"/>
  <c r="C51" i="78"/>
  <c r="C56" i="78"/>
  <c r="C58" i="78"/>
  <c r="B62" i="78"/>
  <c r="B54" i="78"/>
  <c r="D54" i="78"/>
  <c r="D56" i="78"/>
  <c r="D58" i="78"/>
  <c r="D62" i="78"/>
  <c r="C62" i="78"/>
  <c r="G14" i="73"/>
  <c r="F14" i="73"/>
  <c r="E14"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5" i="73"/>
  <c r="F15" i="73"/>
  <c r="E15" i="73"/>
  <c r="G16" i="73"/>
  <c r="F16" i="73"/>
  <c r="E16"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7" i="73"/>
  <c r="F17" i="73"/>
  <c r="E17"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c r="T35" i="79"/>
  <c r="T33" i="79"/>
  <c r="W22" i="79"/>
  <c r="AK22" i="79"/>
  <c r="AH22" i="79"/>
  <c r="AD37" i="79"/>
  <c r="AD36" i="79"/>
  <c r="AD38" i="79"/>
  <c r="AR40" i="79"/>
  <c r="AR41" i="79"/>
  <c r="AR42" i="79"/>
  <c r="AR43" i="79"/>
  <c r="AR44" i="79"/>
  <c r="AR45" i="79"/>
  <c r="AR46" i="79"/>
  <c r="AR47" i="79"/>
  <c r="AR48" i="79"/>
  <c r="AR49" i="79"/>
  <c r="AR50" i="79"/>
  <c r="AR51" i="79"/>
  <c r="AR52" i="79"/>
  <c r="Z3" i="79"/>
  <c r="S33" i="79"/>
  <c r="AG33" i="79"/>
  <c r="S35" i="79"/>
  <c r="AG35" i="79"/>
  <c r="S34" i="79"/>
  <c r="AG34" i="79"/>
  <c r="AA31" i="79"/>
  <c r="AD31" i="79"/>
  <c r="T40" i="79"/>
  <c r="U46" i="79"/>
  <c r="AI46" i="79"/>
  <c r="AD47" i="79"/>
  <c r="S48" i="79"/>
  <c r="AG48" i="79"/>
  <c r="U50" i="79"/>
  <c r="AI50" i="79"/>
  <c r="AD51" i="79"/>
  <c r="AR18" i="79"/>
  <c r="AR19" i="79"/>
  <c r="AR20" i="79"/>
  <c r="AR21" i="79"/>
  <c r="AR22" i="79"/>
  <c r="AR23" i="79"/>
  <c r="AR24" i="79"/>
  <c r="U35" i="79"/>
  <c r="AI35" i="79"/>
  <c r="U34" i="79"/>
  <c r="AI34" i="79"/>
  <c r="U33" i="79"/>
  <c r="AI33"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16" i="79"/>
  <c r="AK16" i="79"/>
  <c r="AH16" i="79"/>
  <c r="W41" i="79"/>
  <c r="AK41" i="79"/>
  <c r="AH41" i="79"/>
  <c r="W46" i="79"/>
  <c r="AK46" i="79"/>
  <c r="AH46" i="79"/>
  <c r="W15" i="79"/>
  <c r="AK15" i="79"/>
  <c r="AH15" i="79"/>
  <c r="W13" i="79"/>
  <c r="AK13" i="79"/>
  <c r="AH13" i="79"/>
  <c r="W48" i="79"/>
  <c r="AK48" i="79"/>
  <c r="AH48" i="79"/>
  <c r="W49" i="79"/>
  <c r="AK49" i="79"/>
  <c r="AH49" i="79"/>
  <c r="W43" i="79"/>
  <c r="AK43" i="79"/>
  <c r="AH43" i="79"/>
  <c r="W38" i="79"/>
  <c r="AK38" i="79"/>
  <c r="AH38" i="79"/>
  <c r="W40" i="79"/>
  <c r="AK40" i="79"/>
  <c r="AH40" i="79"/>
  <c r="W33" i="79"/>
  <c r="AK33" i="79"/>
  <c r="AH33" i="79"/>
  <c r="W14" i="79"/>
  <c r="AK14" i="79"/>
  <c r="AH14" i="79"/>
  <c r="W19" i="79"/>
  <c r="AK19" i="79"/>
  <c r="AH19" i="79"/>
  <c r="W51" i="79"/>
  <c r="AK51" i="79"/>
  <c r="AH51" i="79"/>
  <c r="W44" i="79"/>
  <c r="AK44" i="79"/>
  <c r="AH44" i="79"/>
  <c r="W23" i="79"/>
  <c r="AK23" i="79"/>
  <c r="AH23" i="79"/>
  <c r="W12" i="79"/>
  <c r="AK12" i="79"/>
  <c r="AH12" i="79"/>
  <c r="W21" i="79"/>
  <c r="AK21" i="79"/>
  <c r="AH21" i="79"/>
  <c r="W47" i="79"/>
  <c r="AK47" i="79"/>
  <c r="AH47" i="79"/>
  <c r="W50" i="79"/>
  <c r="AK50" i="79"/>
  <c r="AH50" i="79"/>
  <c r="W45" i="79"/>
  <c r="AK45" i="79"/>
  <c r="AH45" i="79"/>
  <c r="W35" i="79"/>
  <c r="AK35" i="79"/>
  <c r="AH35" i="79"/>
  <c r="W11" i="79"/>
  <c r="AK11" i="79"/>
  <c r="AH11" i="79"/>
  <c r="W39" i="79"/>
  <c r="AK39" i="79"/>
  <c r="W17" i="79"/>
  <c r="AK17" i="79"/>
  <c r="AH17" i="79"/>
  <c r="W10" i="79"/>
  <c r="AK10" i="79"/>
  <c r="AH10" i="79"/>
  <c r="W18" i="79"/>
  <c r="AK18" i="79"/>
  <c r="AH18" i="79"/>
  <c r="W20" i="79"/>
  <c r="AK20" i="79"/>
  <c r="AH20" i="79"/>
  <c r="AH34" i="79"/>
  <c r="W34" i="79"/>
  <c r="AK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P24" i="71"/>
  <c r="E24" i="71"/>
  <c r="O24" i="71"/>
  <c r="C24"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B15" i="72"/>
  <c r="A15" i="62"/>
  <c r="A14" i="62"/>
  <c r="A13" i="62"/>
  <c r="B59" i="72"/>
  <c r="A19" i="62"/>
  <c r="B65" i="72"/>
  <c r="A12" i="62"/>
  <c r="B58" i="72"/>
  <c r="A120" i="9"/>
  <c r="H2" i="52"/>
  <c r="A1" i="52"/>
  <c r="A3" i="53"/>
  <c r="Q26" i="71"/>
  <c r="P26" i="71"/>
  <c r="O26" i="71"/>
  <c r="N26" i="71"/>
  <c r="A15" i="51"/>
  <c r="B12" i="72"/>
  <c r="C76" i="9"/>
  <c r="I107" i="40"/>
  <c r="K6" i="4"/>
  <c r="M56" i="9"/>
  <c r="B22" i="31"/>
  <c r="E16" i="74"/>
  <c r="F16" i="74"/>
  <c r="E17" i="74"/>
  <c r="F17" i="74"/>
  <c r="E18" i="74"/>
  <c r="F18" i="74"/>
  <c r="E19" i="74"/>
  <c r="F19" i="74"/>
  <c r="E20" i="74"/>
  <c r="F20" i="74"/>
  <c r="E21" i="74"/>
  <c r="F21" i="74"/>
  <c r="E22" i="74"/>
  <c r="F22" i="74"/>
  <c r="E23" i="74"/>
  <c r="F23" i="74"/>
  <c r="B3" i="74"/>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Q79" i="71"/>
  <c r="P79" i="71"/>
  <c r="O79" i="71"/>
  <c r="N79" i="71"/>
  <c r="F79" i="71"/>
  <c r="F78" i="71"/>
  <c r="Q78" i="71"/>
  <c r="P78" i="71"/>
  <c r="O78" i="71"/>
  <c r="N78" i="71"/>
  <c r="Q77" i="71"/>
  <c r="P77" i="71"/>
  <c r="O77" i="71"/>
  <c r="N77" i="71"/>
  <c r="D77" i="71"/>
  <c r="Q76" i="71"/>
  <c r="P76" i="71"/>
  <c r="O76" i="71"/>
  <c r="N76" i="71"/>
  <c r="F76" i="71"/>
  <c r="V76" i="71"/>
  <c r="E76" i="71"/>
  <c r="U76" i="71"/>
  <c r="C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E55" i="71"/>
  <c r="E56" i="71"/>
  <c r="O53"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Y29" i="71"/>
  <c r="Z29" i="71"/>
  <c r="N39" i="71"/>
  <c r="X39" i="71"/>
  <c r="Q38" i="71"/>
  <c r="P38" i="71"/>
  <c r="O38" i="71"/>
  <c r="N38" i="71"/>
  <c r="Q37" i="71"/>
  <c r="P37" i="71"/>
  <c r="O37" i="71"/>
  <c r="N37" i="71"/>
  <c r="B38" i="71"/>
  <c r="D37" i="71"/>
  <c r="Q36" i="71"/>
  <c r="P36" i="71"/>
  <c r="O36" i="71"/>
  <c r="N36" i="71"/>
  <c r="Q35" i="71"/>
  <c r="P35" i="71"/>
  <c r="O35" i="71"/>
  <c r="N35" i="71"/>
  <c r="Q34" i="71"/>
  <c r="P34" i="71"/>
  <c r="O34" i="71"/>
  <c r="N34" i="71"/>
  <c r="Q33" i="71"/>
  <c r="F34" i="71"/>
  <c r="P33" i="71"/>
  <c r="O33" i="71"/>
  <c r="C34" i="71"/>
  <c r="D34" i="71"/>
  <c r="N33" i="71"/>
  <c r="D33" i="71"/>
  <c r="Q32" i="71"/>
  <c r="P32" i="71"/>
  <c r="O32" i="71"/>
  <c r="N32" i="71"/>
  <c r="Q31" i="71"/>
  <c r="P31" i="71"/>
  <c r="O31" i="71"/>
  <c r="N31" i="71"/>
  <c r="Q30" i="71"/>
  <c r="P30" i="71"/>
  <c r="O30" i="71"/>
  <c r="C31" i="71"/>
  <c r="D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N68" i="71"/>
  <c r="E34" i="71"/>
  <c r="C30" i="71"/>
  <c r="C35" i="71"/>
  <c r="C38" i="71"/>
  <c r="D38" i="71"/>
  <c r="X38" i="71"/>
  <c r="B28" i="71"/>
  <c r="B27" i="71"/>
  <c r="B26" i="71"/>
  <c r="X26" i="71"/>
  <c r="D30" i="71"/>
  <c r="C43" i="71"/>
  <c r="P28" i="71"/>
  <c r="E28" i="71"/>
  <c r="U56" i="71"/>
  <c r="E64" i="71"/>
  <c r="U64" i="71"/>
  <c r="U68" i="71"/>
  <c r="E67" i="71"/>
  <c r="Q28" i="71"/>
  <c r="C59" i="71"/>
  <c r="D58" i="71"/>
  <c r="D62" i="71"/>
  <c r="B66" i="71"/>
  <c r="N65" i="71"/>
  <c r="Q68" i="71"/>
  <c r="E71" i="71"/>
  <c r="E70" i="71"/>
  <c r="D72" i="71"/>
  <c r="E75" i="71"/>
  <c r="E74" i="71"/>
  <c r="E79" i="71"/>
  <c r="E78" i="71"/>
  <c r="D80" i="71"/>
  <c r="C87" i="71"/>
  <c r="F28" i="71"/>
  <c r="F27" i="71"/>
  <c r="F26"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C29" i="39"/>
  <c r="S25" i="40"/>
  <c r="S18" i="36"/>
  <c r="H25" i="40"/>
  <c r="AB25" i="40"/>
  <c r="J25" i="40"/>
  <c r="W25" i="40"/>
  <c r="H29" i="39"/>
  <c r="AB29" i="39"/>
  <c r="J29" i="39"/>
  <c r="AC29" i="39"/>
  <c r="J18" i="36"/>
  <c r="AC18" i="36"/>
  <c r="F68" i="35"/>
  <c r="G68" i="35"/>
  <c r="H18" i="35"/>
  <c r="AB18" i="35"/>
  <c r="J18" i="35"/>
  <c r="W18" i="35"/>
  <c r="H21" i="37"/>
  <c r="F21" i="37"/>
  <c r="AA21" i="37"/>
  <c r="H21" i="34"/>
  <c r="AB21" i="34"/>
  <c r="H21" i="33"/>
  <c r="F21" i="33"/>
  <c r="AA21" i="33"/>
  <c r="E83" i="21"/>
  <c r="F83" i="21"/>
  <c r="H1" i="69"/>
  <c r="AC25" i="40"/>
  <c r="U25" i="40"/>
  <c r="U29" i="39"/>
  <c r="W29" i="39"/>
  <c r="W18" i="36"/>
  <c r="S21" i="37"/>
  <c r="U21" i="34"/>
  <c r="S21" i="33"/>
  <c r="AC18" i="35"/>
  <c r="J21" i="37"/>
  <c r="W21" i="37"/>
  <c r="J21" i="34"/>
  <c r="W21" i="34"/>
  <c r="J21" i="33"/>
  <c r="W21" i="33"/>
  <c r="H21" i="21"/>
  <c r="U21" i="21"/>
  <c r="F38" i="69"/>
  <c r="E37" i="69"/>
  <c r="F36" i="69"/>
  <c r="F35" i="69"/>
  <c r="F21" i="69"/>
  <c r="F20" i="69"/>
  <c r="F39" i="69"/>
  <c r="E10" i="69"/>
  <c r="E9" i="69"/>
  <c r="AC21" i="37"/>
  <c r="AC21" i="33"/>
  <c r="G83" i="21"/>
  <c r="J21" i="21"/>
  <c r="AC21" i="21"/>
  <c r="F38" i="68"/>
  <c r="E37" i="68"/>
  <c r="F36" i="68"/>
  <c r="F35" i="68"/>
  <c r="F21" i="68"/>
  <c r="F40" i="68"/>
  <c r="C21" i="68"/>
  <c r="F20" i="68"/>
  <c r="F39" i="68"/>
  <c r="E10" i="68"/>
  <c r="E9" i="68"/>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M54" i="43"/>
  <c r="N54" i="43"/>
  <c r="K54" i="43"/>
  <c r="J54" i="43"/>
  <c r="D54" i="43"/>
  <c r="M53" i="43"/>
  <c r="N53" i="43"/>
  <c r="K53" i="43"/>
  <c r="J53" i="43"/>
  <c r="M52" i="43"/>
  <c r="N52" i="43"/>
  <c r="K52" i="43"/>
  <c r="J52" i="43"/>
  <c r="D52" i="43"/>
  <c r="M51" i="43"/>
  <c r="N51" i="43"/>
  <c r="K51" i="43"/>
  <c r="J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A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c r="AZ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A43" i="3"/>
  <c r="BB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A33" i="3"/>
  <c r="BB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AZ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N443" i="3"/>
  <c r="BM443" i="3"/>
  <c r="BL443" i="3"/>
  <c r="BK443" i="3"/>
  <c r="BJ443" i="3"/>
  <c r="BI443" i="3"/>
  <c r="BH443" i="3"/>
  <c r="BG443" i="3"/>
  <c r="BF443" i="3"/>
  <c r="BE443" i="3"/>
  <c r="BD443" i="3"/>
  <c r="BC443" i="3"/>
  <c r="BA443" i="3"/>
  <c r="BB443" i="3"/>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AZ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L409" i="3"/>
  <c r="BN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A406" i="3"/>
  <c r="AZ406" i="3"/>
  <c r="BB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L402" i="3"/>
  <c r="BK402" i="3"/>
  <c r="BJ402" i="3"/>
  <c r="BI402" i="3"/>
  <c r="BH402" i="3"/>
  <c r="BG402" i="3"/>
  <c r="BF402" i="3"/>
  <c r="BE402" i="3"/>
  <c r="BD402" i="3"/>
  <c r="BC402" i="3"/>
  <c r="BA402" i="3"/>
  <c r="AZ402" i="3"/>
  <c r="BB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22" i="1"/>
  <c r="G41" i="69"/>
  <c r="B23" i="1"/>
  <c r="B24" i="1"/>
  <c r="F34" i="68"/>
  <c r="B43" i="1"/>
  <c r="D78" i="9"/>
  <c r="BQ16" i="3"/>
  <c r="BQ17" i="3"/>
  <c r="BS16" i="3"/>
  <c r="BS17" i="3"/>
  <c r="BR16" i="3"/>
  <c r="BR17" i="3"/>
  <c r="BT16" i="3"/>
  <c r="BT17" i="3"/>
  <c r="BM16" i="3"/>
  <c r="BM17" i="3"/>
  <c r="BO16" i="3"/>
  <c r="BO17" i="3"/>
  <c r="BN16" i="3"/>
  <c r="BN17" i="3"/>
  <c r="BP16" i="3"/>
  <c r="BP17" i="3"/>
  <c r="E19" i="6"/>
  <c r="E21" i="6"/>
  <c r="K8" i="1"/>
  <c r="M8" i="1"/>
  <c r="F23" i="15"/>
  <c r="D24" i="15"/>
  <c r="E22" i="6"/>
  <c r="E23" i="6"/>
  <c r="K10" i="1"/>
  <c r="M10" i="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G5" i="3"/>
  <c r="BH570" i="3"/>
  <c r="BI570" i="3"/>
  <c r="BJ570" i="3"/>
  <c r="BK570" i="3"/>
  <c r="BK5"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c r="BE572" i="3"/>
  <c r="BF572" i="3"/>
  <c r="BG572" i="3"/>
  <c r="BH572" i="3"/>
  <c r="BI572" i="3"/>
  <c r="BJ572" i="3"/>
  <c r="BK572" i="3"/>
  <c r="BM572" i="3"/>
  <c r="BL572" i="3"/>
  <c r="BN572" i="3"/>
  <c r="BO572" i="3"/>
  <c r="BP572" i="3"/>
  <c r="BQ572" i="3"/>
  <c r="BR572" i="3"/>
  <c r="BS572" i="3"/>
  <c r="BT572" i="3"/>
  <c r="H573" i="3"/>
  <c r="G573" i="3"/>
  <c r="AC573" i="3"/>
  <c r="BB573" i="3"/>
  <c r="BC573" i="3"/>
  <c r="BD573" i="3"/>
  <c r="BA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I5" i="3"/>
  <c r="BJ574" i="3"/>
  <c r="BK574" i="3"/>
  <c r="BM574" i="3"/>
  <c r="BN574" i="3"/>
  <c r="BL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F5"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c r="BR579" i="3"/>
  <c r="BS579" i="3"/>
  <c r="BT579" i="3"/>
  <c r="H580" i="3"/>
  <c r="G580" i="3"/>
  <c r="AC580" i="3"/>
  <c r="BB580" i="3"/>
  <c r="BC580" i="3"/>
  <c r="BD580" i="3"/>
  <c r="BA580" i="3"/>
  <c r="BE580" i="3"/>
  <c r="BF580" i="3"/>
  <c r="BG580" i="3"/>
  <c r="BH580" i="3"/>
  <c r="BI580" i="3"/>
  <c r="BJ580" i="3"/>
  <c r="BK580" i="3"/>
  <c r="BM580" i="3"/>
  <c r="BN580" i="3"/>
  <c r="BO580" i="3"/>
  <c r="BP580" i="3"/>
  <c r="BQ580" i="3"/>
  <c r="BR580" i="3"/>
  <c r="BS580" i="3"/>
  <c r="BT580" i="3"/>
  <c r="H581" i="3"/>
  <c r="G581" i="3"/>
  <c r="AC581" i="3"/>
  <c r="BB581" i="3"/>
  <c r="BC581" i="3"/>
  <c r="BD581" i="3"/>
  <c r="BA581" i="3"/>
  <c r="BE581" i="3"/>
  <c r="BF581" i="3"/>
  <c r="BG581" i="3"/>
  <c r="BH581" i="3"/>
  <c r="BI581" i="3"/>
  <c r="BJ581" i="3"/>
  <c r="BK581" i="3"/>
  <c r="BM581" i="3"/>
  <c r="BL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F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AC27" i="35"/>
  <c r="W27" i="35"/>
  <c r="H27" i="35"/>
  <c r="U27" i="35"/>
  <c r="F27" i="35"/>
  <c r="AA27" i="35"/>
  <c r="J22" i="35"/>
  <c r="AC22" i="35"/>
  <c r="B101" i="35"/>
  <c r="B99" i="35"/>
  <c r="B97" i="35"/>
  <c r="B77" i="35"/>
  <c r="B75" i="35"/>
  <c r="J24" i="35"/>
  <c r="AC24" i="35"/>
  <c r="B73" i="35"/>
  <c r="J23" i="35"/>
  <c r="AC23" i="35"/>
  <c r="H23" i="35"/>
  <c r="U23" i="35"/>
  <c r="B57" i="35"/>
  <c r="B61" i="35"/>
  <c r="B59" i="35"/>
  <c r="F12" i="35"/>
  <c r="B131" i="34"/>
  <c r="B129" i="34"/>
  <c r="B127" i="34"/>
  <c r="B99" i="34"/>
  <c r="B97" i="34"/>
  <c r="H31" i="34"/>
  <c r="B95" i="34"/>
  <c r="B93" i="34"/>
  <c r="B75" i="34"/>
  <c r="B73" i="34"/>
  <c r="B71" i="34"/>
  <c r="J12" i="34"/>
  <c r="W12" i="34"/>
  <c r="B130" i="33"/>
  <c r="B128" i="33"/>
  <c r="B126" i="33"/>
  <c r="F44" i="33"/>
  <c r="B98" i="33"/>
  <c r="B96" i="33"/>
  <c r="B94"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F36" i="39"/>
  <c r="S36" i="39"/>
  <c r="H36" i="39"/>
  <c r="AB36" i="39"/>
  <c r="J35" i="39"/>
  <c r="AC35" i="39"/>
  <c r="F35" i="39"/>
  <c r="AA35"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W28" i="35"/>
  <c r="U31" i="35"/>
  <c r="U34" i="35"/>
  <c r="F36" i="34"/>
  <c r="J35" i="34"/>
  <c r="U34" i="34"/>
  <c r="H39" i="33"/>
  <c r="AB39" i="33"/>
  <c r="U33" i="33"/>
  <c r="S40" i="33"/>
  <c r="W33" i="33"/>
  <c r="S27" i="35"/>
  <c r="F11" i="40"/>
  <c r="AA11" i="40"/>
  <c r="H11" i="40"/>
  <c r="AB11" i="40"/>
  <c r="W8" i="40"/>
  <c r="AA9" i="40"/>
  <c r="S34" i="40"/>
  <c r="U34" i="40"/>
  <c r="S38"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S41" i="33"/>
  <c r="F113" i="33"/>
  <c r="G113" i="33"/>
  <c r="H113" i="33"/>
  <c r="I113" i="33"/>
  <c r="J113" i="33"/>
  <c r="K113" i="33"/>
  <c r="L113" i="33"/>
  <c r="M113" i="33"/>
  <c r="H37" i="33"/>
  <c r="AB37" i="33"/>
  <c r="H15" i="33"/>
  <c r="AB15" i="33"/>
  <c r="H11" i="33"/>
  <c r="F28" i="40"/>
  <c r="AA28" i="40"/>
  <c r="AA29" i="35"/>
  <c r="AA42" i="34"/>
  <c r="S42" i="34"/>
  <c r="AC38" i="34"/>
  <c r="AA38" i="34"/>
  <c r="J37" i="34"/>
  <c r="AC37" i="34"/>
  <c r="J11" i="33"/>
  <c r="W11" i="33"/>
  <c r="S28" i="34"/>
  <c r="J42" i="21"/>
  <c r="AC42" i="21"/>
  <c r="H42" i="21"/>
  <c r="U42" i="21"/>
  <c r="J44" i="34"/>
  <c r="F44" i="34"/>
  <c r="S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F45" i="33"/>
  <c r="AA45" i="33"/>
  <c r="J14" i="34"/>
  <c r="W14" i="34"/>
  <c r="F14" i="34"/>
  <c r="H14" i="34"/>
  <c r="H30" i="34"/>
  <c r="F30" i="34"/>
  <c r="S30" i="34"/>
  <c r="J30" i="34"/>
  <c r="H32" i="34"/>
  <c r="F32" i="34"/>
  <c r="J32" i="34"/>
  <c r="W32" i="34"/>
  <c r="H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H14" i="33"/>
  <c r="U14" i="33"/>
  <c r="F14" i="33"/>
  <c r="S14" i="33"/>
  <c r="H30" i="33"/>
  <c r="AB30" i="33"/>
  <c r="F30" i="33"/>
  <c r="J30" i="33"/>
  <c r="H44" i="33"/>
  <c r="J44" i="33"/>
  <c r="AC44" i="33"/>
  <c r="J46" i="33"/>
  <c r="AC46" i="33"/>
  <c r="F46" i="33"/>
  <c r="AA46" i="33"/>
  <c r="H46" i="33"/>
  <c r="AB46" i="33"/>
  <c r="H13" i="34"/>
  <c r="U13" i="34"/>
  <c r="J13" i="34"/>
  <c r="W13" i="34"/>
  <c r="F13" i="34"/>
  <c r="AA13" i="34"/>
  <c r="J29" i="34"/>
  <c r="F29" i="34"/>
  <c r="S29" i="34"/>
  <c r="H29" i="34"/>
  <c r="AB29" i="34"/>
  <c r="J31" i="34"/>
  <c r="W31" i="34"/>
  <c r="AC31" i="34"/>
  <c r="F31" i="34"/>
  <c r="S31" i="34"/>
  <c r="H45" i="34"/>
  <c r="U45" i="34"/>
  <c r="J45" i="34"/>
  <c r="W45" i="34"/>
  <c r="F45" i="34"/>
  <c r="S45" i="34"/>
  <c r="H47" i="34"/>
  <c r="U47" i="34"/>
  <c r="F47" i="34"/>
  <c r="S47" i="34"/>
  <c r="J47" i="34"/>
  <c r="AC47" i="34"/>
  <c r="F13" i="35"/>
  <c r="J13" i="35"/>
  <c r="AC13" i="35"/>
  <c r="H13" i="35"/>
  <c r="U13" i="35"/>
  <c r="F25" i="35"/>
  <c r="S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c r="F27" i="37"/>
  <c r="AA27" i="37"/>
  <c r="H14" i="40"/>
  <c r="AB14" i="40"/>
  <c r="J14" i="40"/>
  <c r="W14" i="40"/>
  <c r="F14" i="40"/>
  <c r="AA14" i="40"/>
  <c r="J14" i="37"/>
  <c r="J27" i="37"/>
  <c r="AC27" i="37"/>
  <c r="U46" i="33"/>
  <c r="AA14" i="33"/>
  <c r="J36" i="37"/>
  <c r="AC36" i="37"/>
  <c r="J10" i="36"/>
  <c r="AC10" i="36"/>
  <c r="AB30" i="21"/>
  <c r="S11" i="36"/>
  <c r="S45" i="33"/>
  <c r="AC28" i="21"/>
  <c r="BA586" i="3"/>
  <c r="BA585" i="3"/>
  <c r="F17" i="21"/>
  <c r="AA17" i="21"/>
  <c r="H17" i="21"/>
  <c r="AB17" i="21"/>
  <c r="F15" i="21"/>
  <c r="S15" i="21"/>
  <c r="J41" i="39"/>
  <c r="W41" i="39"/>
  <c r="U36" i="39"/>
  <c r="S35" i="39"/>
  <c r="G544" i="3"/>
  <c r="G540" i="3"/>
  <c r="G535" i="3"/>
  <c r="G532" i="3"/>
  <c r="G531" i="3"/>
  <c r="G527" i="3"/>
  <c r="G523" i="3"/>
  <c r="G518" i="3"/>
  <c r="G510" i="3"/>
  <c r="G508" i="3"/>
  <c r="G504" i="3"/>
  <c r="G496" i="3"/>
  <c r="G584" i="3"/>
  <c r="G576" i="3"/>
  <c r="G568" i="3"/>
  <c r="G564" i="3"/>
  <c r="G560" i="3"/>
  <c r="G554" i="3"/>
  <c r="G550" i="3"/>
  <c r="BL584" i="3"/>
  <c r="BL568" i="3"/>
  <c r="BL564" i="3"/>
  <c r="BL560" i="3"/>
  <c r="BL554" i="3"/>
  <c r="BL546" i="3"/>
  <c r="BL542" i="3"/>
  <c r="BL538" i="3"/>
  <c r="BL534" i="3"/>
  <c r="BL530" i="3"/>
  <c r="BL526" i="3"/>
  <c r="BL522" i="3"/>
  <c r="BL516" i="3"/>
  <c r="BL512" i="3"/>
  <c r="BL506" i="3"/>
  <c r="BL502" i="3"/>
  <c r="BL498" i="3"/>
  <c r="AZ498" i="3"/>
  <c r="BL494" i="3"/>
  <c r="BL582" i="3"/>
  <c r="BL566" i="3"/>
  <c r="BL562" i="3"/>
  <c r="BL556" i="3"/>
  <c r="AZ556" i="3"/>
  <c r="BL552" i="3"/>
  <c r="BL544" i="3"/>
  <c r="BL540" i="3"/>
  <c r="AZ540" i="3"/>
  <c r="BL536" i="3"/>
  <c r="G533" i="3"/>
  <c r="BL532" i="3"/>
  <c r="G529" i="3"/>
  <c r="BL528" i="3"/>
  <c r="G525" i="3"/>
  <c r="BL524" i="3"/>
  <c r="BL518" i="3"/>
  <c r="BL514" i="3"/>
  <c r="BL510" i="3"/>
  <c r="BL504" i="3"/>
  <c r="BL500" i="3"/>
  <c r="BL496" i="3"/>
  <c r="G493" i="3"/>
  <c r="BA584" i="3"/>
  <c r="BA582" i="3"/>
  <c r="BA568" i="3"/>
  <c r="AZ568" i="3"/>
  <c r="BA566" i="3"/>
  <c r="BA564" i="3"/>
  <c r="AZ564" i="3"/>
  <c r="BA562" i="3"/>
  <c r="BA560" i="3"/>
  <c r="AZ560" i="3"/>
  <c r="BA558" i="3"/>
  <c r="AZ558" i="3"/>
  <c r="BA556" i="3"/>
  <c r="BA554" i="3"/>
  <c r="AZ554" i="3"/>
  <c r="BA552" i="3"/>
  <c r="AZ552" i="3"/>
  <c r="BA548" i="3"/>
  <c r="BA546" i="3"/>
  <c r="AZ546" i="3"/>
  <c r="BA544" i="3"/>
  <c r="AZ544" i="3"/>
  <c r="BA542" i="3"/>
  <c r="AZ542" i="3"/>
  <c r="BA540" i="3"/>
  <c r="BA538" i="3"/>
  <c r="AZ538" i="3"/>
  <c r="BA536" i="3"/>
  <c r="BA534" i="3"/>
  <c r="AZ534" i="3"/>
  <c r="BA532" i="3"/>
  <c r="AZ532" i="3"/>
  <c r="BA530" i="3"/>
  <c r="BA528" i="3"/>
  <c r="BA526" i="3"/>
  <c r="AZ526" i="3"/>
  <c r="BA524" i="3"/>
  <c r="BA522" i="3"/>
  <c r="BA520" i="3"/>
  <c r="BA518" i="3"/>
  <c r="AZ518" i="3"/>
  <c r="BA516" i="3"/>
  <c r="BA514" i="3"/>
  <c r="BA512" i="3"/>
  <c r="AZ512" i="3"/>
  <c r="BA510" i="3"/>
  <c r="AZ510" i="3"/>
  <c r="BA508" i="3"/>
  <c r="BA506" i="3"/>
  <c r="AZ506" i="3"/>
  <c r="BA504" i="3"/>
  <c r="AZ504" i="3"/>
  <c r="BA502" i="3"/>
  <c r="BA500" i="3"/>
  <c r="AZ500" i="3"/>
  <c r="BA498" i="3"/>
  <c r="BA496" i="3"/>
  <c r="BA494" i="3"/>
  <c r="BA587" i="3"/>
  <c r="BA583" i="3"/>
  <c r="BA569" i="3"/>
  <c r="BA567" i="3"/>
  <c r="BA565" i="3"/>
  <c r="AZ565" i="3"/>
  <c r="BA563" i="3"/>
  <c r="BA561" i="3"/>
  <c r="BA559" i="3"/>
  <c r="BA555" i="3"/>
  <c r="BA553" i="3"/>
  <c r="BA549" i="3"/>
  <c r="BA547" i="3"/>
  <c r="BA545" i="3"/>
  <c r="BA543" i="3"/>
  <c r="BA541" i="3"/>
  <c r="BA539" i="3"/>
  <c r="BA537" i="3"/>
  <c r="AZ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1" i="3"/>
  <c r="G569" i="3"/>
  <c r="G567" i="3"/>
  <c r="G565" i="3"/>
  <c r="G563" i="3"/>
  <c r="G561" i="3"/>
  <c r="BL558" i="3"/>
  <c r="BA557" i="3"/>
  <c r="AZ557" i="3"/>
  <c r="AC557" i="3"/>
  <c r="G557" i="3"/>
  <c r="BQ557" i="3"/>
  <c r="BL557" i="3"/>
  <c r="BQ583" i="3"/>
  <c r="BL583" i="3"/>
  <c r="AZ583" i="3"/>
  <c r="BQ581" i="3"/>
  <c r="BQ579" i="3"/>
  <c r="BQ577" i="3"/>
  <c r="BQ575" i="3"/>
  <c r="BQ573" i="3"/>
  <c r="BQ571" i="3"/>
  <c r="BL571" i="3"/>
  <c r="BQ569" i="3"/>
  <c r="BL569" i="3"/>
  <c r="BQ567" i="3"/>
  <c r="BL567" i="3"/>
  <c r="BQ565" i="3"/>
  <c r="BL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L549" i="3"/>
  <c r="AZ549" i="3"/>
  <c r="BQ547" i="3"/>
  <c r="BL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BQ517" i="3"/>
  <c r="BL517" i="3"/>
  <c r="BQ515" i="3"/>
  <c r="BL515" i="3"/>
  <c r="BQ513" i="3"/>
  <c r="BL513" i="3"/>
  <c r="BQ511" i="3"/>
  <c r="BL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26" i="37"/>
  <c r="W47" i="34"/>
  <c r="AC36" i="34"/>
  <c r="AA13" i="33"/>
  <c r="AC31" i="33"/>
  <c r="W44"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U45" i="39"/>
  <c r="AB45"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4" i="52"/>
  <c r="B41" i="72"/>
  <c r="J11" i="39"/>
  <c r="W11" i="39"/>
  <c r="F11" i="39"/>
  <c r="G4" i="4"/>
  <c r="I4" i="4"/>
  <c r="F61" i="43"/>
  <c r="H64" i="43"/>
  <c r="AZ497" i="3"/>
  <c r="AZ494" i="3"/>
  <c r="AZ514" i="3"/>
  <c r="AZ522" i="3"/>
  <c r="AZ530" i="3"/>
  <c r="G546" i="3"/>
  <c r="G524"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G149" i="3"/>
  <c r="BA151" i="3"/>
  <c r="BL152" i="3"/>
  <c r="G153" i="3"/>
  <c r="BA155" i="3"/>
  <c r="BL156" i="3"/>
  <c r="G157" i="3"/>
  <c r="BA159" i="3"/>
  <c r="BL160" i="3"/>
  <c r="G161" i="3"/>
  <c r="BA163" i="3"/>
  <c r="AZ163" i="3"/>
  <c r="BL164" i="3"/>
  <c r="G165" i="3"/>
  <c r="BA167" i="3"/>
  <c r="BL168" i="3"/>
  <c r="AZ168" i="3"/>
  <c r="G169" i="3"/>
  <c r="BA171" i="3"/>
  <c r="AZ171" i="3"/>
  <c r="BL172" i="3"/>
  <c r="G173" i="3"/>
  <c r="BA175" i="3"/>
  <c r="AZ175" i="3"/>
  <c r="BL176" i="3"/>
  <c r="G177" i="3"/>
  <c r="BA179" i="3"/>
  <c r="BL180" i="3"/>
  <c r="G181" i="3"/>
  <c r="BA183" i="3"/>
  <c r="BL184" i="3"/>
  <c r="AZ184" i="3"/>
  <c r="G185" i="3"/>
  <c r="BA187" i="3"/>
  <c r="AZ187" i="3"/>
  <c r="BL188" i="3"/>
  <c r="AZ188" i="3"/>
  <c r="G189" i="3"/>
  <c r="BA191" i="3"/>
  <c r="BL192" i="3"/>
  <c r="AZ192" i="3"/>
  <c r="G193" i="3"/>
  <c r="BA195" i="3"/>
  <c r="AZ195" i="3"/>
  <c r="BL196" i="3"/>
  <c r="G197" i="3"/>
  <c r="BA199" i="3"/>
  <c r="AZ199" i="3"/>
  <c r="BL200" i="3"/>
  <c r="AZ200" i="3"/>
  <c r="G201" i="3"/>
  <c r="BA203" i="3"/>
  <c r="BL204" i="3"/>
  <c r="AZ67" i="3"/>
  <c r="AZ144" i="3"/>
  <c r="AZ152" i="3"/>
  <c r="AZ176" i="3"/>
  <c r="AZ97" i="3"/>
  <c r="AZ120" i="3"/>
  <c r="G534" i="3"/>
  <c r="G530" i="3"/>
  <c r="G522" i="3"/>
  <c r="G516" i="3"/>
  <c r="G512" i="3"/>
  <c r="G506" i="3"/>
  <c r="G498" i="3"/>
  <c r="G494" i="3"/>
  <c r="G16" i="3"/>
  <c r="BA304" i="3"/>
  <c r="AZ304" i="3"/>
  <c r="BA305" i="3"/>
  <c r="AZ305" i="3"/>
  <c r="BL305" i="3"/>
  <c r="G306" i="3"/>
  <c r="G309" i="3"/>
  <c r="BL310" i="3"/>
  <c r="BA312" i="3"/>
  <c r="BA313" i="3"/>
  <c r="BL313" i="3"/>
  <c r="G314" i="3"/>
  <c r="G317" i="3"/>
  <c r="BL318" i="3"/>
  <c r="BA320" i="3"/>
  <c r="AZ320" i="3"/>
  <c r="BA321" i="3"/>
  <c r="BL321" i="3"/>
  <c r="G322" i="3"/>
  <c r="G325" i="3"/>
  <c r="BL326" i="3"/>
  <c r="BA328" i="3"/>
  <c r="BA329" i="3"/>
  <c r="AZ329" i="3"/>
  <c r="BL329" i="3"/>
  <c r="G330" i="3"/>
  <c r="G333" i="3"/>
  <c r="BL334" i="3"/>
  <c r="BA336" i="3"/>
  <c r="AZ336" i="3"/>
  <c r="BA337" i="3"/>
  <c r="BL337" i="3"/>
  <c r="G338" i="3"/>
  <c r="G341" i="3"/>
  <c r="BA342" i="3"/>
  <c r="BL342" i="3"/>
  <c r="AZ342" i="3"/>
  <c r="BA344" i="3"/>
  <c r="BL344" i="3"/>
  <c r="AZ344" i="3"/>
  <c r="BA346" i="3"/>
  <c r="BA347" i="3"/>
  <c r="BL347" i="3"/>
  <c r="G350" i="3"/>
  <c r="BA351" i="3"/>
  <c r="BL351" i="3"/>
  <c r="G352" i="3"/>
  <c r="G354" i="3"/>
  <c r="BA355" i="3"/>
  <c r="AZ355" i="3"/>
  <c r="BA356" i="3"/>
  <c r="BL356" i="3"/>
  <c r="G357" i="3"/>
  <c r="G360" i="3"/>
  <c r="BL361" i="3"/>
  <c r="BA363" i="3"/>
  <c r="BA364" i="3"/>
  <c r="AZ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54" i="3"/>
  <c r="BA16" i="3"/>
  <c r="BL303" i="3"/>
  <c r="AZ303" i="3"/>
  <c r="G304" i="3"/>
  <c r="BA306" i="3"/>
  <c r="BL307" i="3"/>
  <c r="AZ307" i="3"/>
  <c r="G308" i="3"/>
  <c r="BA310" i="3"/>
  <c r="AZ310" i="3"/>
  <c r="BL311" i="3"/>
  <c r="AZ311" i="3"/>
  <c r="G312" i="3"/>
  <c r="BA314" i="3"/>
  <c r="AZ314" i="3"/>
  <c r="BL315" i="3"/>
  <c r="G316" i="3"/>
  <c r="BA318" i="3"/>
  <c r="BL319" i="3"/>
  <c r="AZ319" i="3"/>
  <c r="G320" i="3"/>
  <c r="BA322" i="3"/>
  <c r="AZ322" i="3"/>
  <c r="BL323" i="3"/>
  <c r="G324" i="3"/>
  <c r="BA326" i="3"/>
  <c r="AZ326" i="3"/>
  <c r="BL327" i="3"/>
  <c r="AZ327" i="3"/>
  <c r="G328" i="3"/>
  <c r="BA330" i="3"/>
  <c r="BL331" i="3"/>
  <c r="AZ331" i="3"/>
  <c r="G332" i="3"/>
  <c r="BA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33" i="3"/>
  <c r="AZ249" i="3"/>
  <c r="BA379" i="3"/>
  <c r="AZ379" i="3"/>
  <c r="BL380" i="3"/>
  <c r="AZ380" i="3"/>
  <c r="G381" i="3"/>
  <c r="BA383" i="3"/>
  <c r="AZ383" i="3"/>
  <c r="BL384" i="3"/>
  <c r="G385" i="3"/>
  <c r="BA387" i="3"/>
  <c r="AZ387" i="3"/>
  <c r="BL388" i="3"/>
  <c r="G389" i="3"/>
  <c r="BA391" i="3"/>
  <c r="AZ391" i="3"/>
  <c r="BL392" i="3"/>
  <c r="G393" i="3"/>
  <c r="AZ275" i="3"/>
  <c r="BJ5" i="3"/>
  <c r="AC5" i="3"/>
  <c r="AZ496" i="3"/>
  <c r="G548" i="3"/>
  <c r="G538" i="3"/>
  <c r="G520" i="3"/>
  <c r="G502" i="3"/>
  <c r="BN5" i="3"/>
  <c r="BE5" i="3"/>
  <c r="G17" i="3"/>
  <c r="BA17" i="3"/>
  <c r="AZ356" i="3"/>
  <c r="AZ392" i="3"/>
  <c r="AZ499" i="3"/>
  <c r="AZ509" i="3"/>
  <c r="G509" i="3"/>
  <c r="BL493" i="3"/>
  <c r="AZ493" i="3"/>
  <c r="U36" i="40"/>
  <c r="F83" i="43"/>
  <c r="H85" i="43"/>
  <c r="F50" i="43"/>
  <c r="H54" i="43"/>
  <c r="F72" i="43"/>
  <c r="H75" i="43"/>
  <c r="U17" i="39"/>
  <c r="S14" i="35"/>
  <c r="U43" i="21"/>
  <c r="U35" i="21"/>
  <c r="AC35" i="21"/>
  <c r="AC11" i="39"/>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86" i="3"/>
  <c r="C40" i="11"/>
  <c r="AZ227" i="3"/>
  <c r="AZ235" i="3"/>
  <c r="AZ251" i="3"/>
  <c r="AZ72" i="3"/>
  <c r="AZ110" i="3"/>
  <c r="F23" i="39"/>
  <c r="S23" i="39"/>
  <c r="H27" i="36"/>
  <c r="U27" i="36"/>
  <c r="F27" i="36"/>
  <c r="AA27" i="36"/>
  <c r="H33" i="34"/>
  <c r="AB33" i="34"/>
  <c r="F32" i="37"/>
  <c r="AA32" i="37"/>
  <c r="G96" i="37"/>
  <c r="H96" i="37"/>
  <c r="I96" i="37"/>
  <c r="J96" i="37"/>
  <c r="K96" i="37"/>
  <c r="L96" i="37"/>
  <c r="M96" i="37"/>
  <c r="F20" i="36"/>
  <c r="AA20" i="36"/>
  <c r="J33" i="34"/>
  <c r="AC33" i="34"/>
  <c r="H23" i="39"/>
  <c r="U23" i="39"/>
  <c r="K9" i="1"/>
  <c r="M9" i="1"/>
  <c r="D93" i="9"/>
  <c r="W27" i="34"/>
  <c r="AC27" i="34"/>
  <c r="AB33" i="36"/>
  <c r="U33" i="36"/>
  <c r="AC12" i="39"/>
  <c r="W12" i="39"/>
  <c r="AC39" i="40"/>
  <c r="W39" i="40"/>
  <c r="W12" i="33"/>
  <c r="AC12" i="33"/>
  <c r="AA32" i="36"/>
  <c r="S32" i="36"/>
  <c r="AZ473" i="3"/>
  <c r="U30" i="33"/>
  <c r="AC13" i="34"/>
  <c r="AA47" i="34"/>
  <c r="W28" i="37"/>
  <c r="F12" i="33"/>
  <c r="H12" i="39"/>
  <c r="U12" i="39"/>
  <c r="AB12" i="39"/>
  <c r="F39" i="40"/>
  <c r="AZ367" i="3"/>
  <c r="AZ149" i="3"/>
  <c r="B12" i="1"/>
  <c r="E12" i="1"/>
  <c r="B10" i="1"/>
  <c r="E10" i="1"/>
  <c r="K12" i="1"/>
  <c r="M12" i="1"/>
  <c r="S13" i="1"/>
  <c r="AR13" i="1"/>
  <c r="R13" i="1"/>
  <c r="J51" i="67"/>
  <c r="C42" i="1"/>
  <c r="C24" i="12"/>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c r="F106" i="39"/>
  <c r="G106" i="39"/>
  <c r="H106" i="39"/>
  <c r="I106" i="39"/>
  <c r="J106" i="39"/>
  <c r="K106" i="39"/>
  <c r="L106" i="39"/>
  <c r="M106" i="39"/>
  <c r="U25" i="39"/>
  <c r="AB27" i="39"/>
  <c r="U31" i="39"/>
  <c r="J21" i="39"/>
  <c r="W21" i="39"/>
  <c r="F21" i="39"/>
  <c r="G94" i="39"/>
  <c r="H21" i="39"/>
  <c r="U21" i="39"/>
  <c r="W19" i="39"/>
  <c r="U19" i="39"/>
  <c r="S17" i="39"/>
  <c r="S15" i="39"/>
  <c r="S9" i="39"/>
  <c r="U14"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c r="H9" i="35"/>
  <c r="U9" i="35"/>
  <c r="AB40" i="37"/>
  <c r="W27" i="37"/>
  <c r="AC29" i="37"/>
  <c r="U29" i="37"/>
  <c r="S32" i="37"/>
  <c r="W30" i="37"/>
  <c r="S36" i="37"/>
  <c r="AA38" i="37"/>
  <c r="U32" i="37"/>
  <c r="W38" i="37"/>
  <c r="AC35"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B41" i="34"/>
  <c r="AA45" i="34"/>
  <c r="AA25" i="34"/>
  <c r="U28" i="34"/>
  <c r="S17" i="34"/>
  <c r="AA29" i="34"/>
  <c r="U27" i="34"/>
  <c r="S23" i="34"/>
  <c r="U15" i="34"/>
  <c r="S13" i="34"/>
  <c r="H10" i="34"/>
  <c r="AB10" i="34"/>
  <c r="F11" i="34"/>
  <c r="S11" i="34"/>
  <c r="F70" i="34"/>
  <c r="W42" i="33"/>
  <c r="S27" i="33"/>
  <c r="S32" i="33"/>
  <c r="AA29" i="33"/>
  <c r="AB29" i="33"/>
  <c r="W38" i="33"/>
  <c r="H41" i="33"/>
  <c r="F121" i="33"/>
  <c r="G121" i="33"/>
  <c r="H121" i="33"/>
  <c r="I121" i="33"/>
  <c r="J121" i="33"/>
  <c r="K121" i="33"/>
  <c r="L121" i="33"/>
  <c r="M121" i="33"/>
  <c r="U42" i="33"/>
  <c r="S42" i="33"/>
  <c r="F36" i="33"/>
  <c r="AA36" i="33"/>
  <c r="G111" i="33"/>
  <c r="H111" i="33"/>
  <c r="I111" i="33"/>
  <c r="J111" i="33"/>
  <c r="K111" i="33"/>
  <c r="L111" i="33"/>
  <c r="M111" i="33"/>
  <c r="G108" i="33"/>
  <c r="H108" i="33"/>
  <c r="I108" i="33"/>
  <c r="J108" i="33"/>
  <c r="K108" i="33"/>
  <c r="L108" i="33"/>
  <c r="M108" i="33"/>
  <c r="J35" i="33"/>
  <c r="S37" i="33"/>
  <c r="AA37" i="33"/>
  <c r="S39" i="33"/>
  <c r="F101" i="33"/>
  <c r="G101" i="33"/>
  <c r="H101" i="33"/>
  <c r="I101" i="33"/>
  <c r="J101" i="33"/>
  <c r="K101" i="33"/>
  <c r="L101" i="33"/>
  <c r="M101" i="33"/>
  <c r="J32" i="33"/>
  <c r="AC32" i="33"/>
  <c r="S46" i="33"/>
  <c r="W43" i="33"/>
  <c r="S43" i="33"/>
  <c r="F91" i="33"/>
  <c r="G91" i="33"/>
  <c r="H91" i="33"/>
  <c r="I91" i="33"/>
  <c r="J91" i="33"/>
  <c r="K91" i="33"/>
  <c r="L91" i="33"/>
  <c r="M91" i="33"/>
  <c r="H27" i="33"/>
  <c r="F87" i="33"/>
  <c r="H25" i="33"/>
  <c r="F25" i="33"/>
  <c r="S25" i="33"/>
  <c r="J23" i="33"/>
  <c r="AC23" i="33"/>
  <c r="F85" i="33"/>
  <c r="H23" i="33"/>
  <c r="F81" i="33"/>
  <c r="G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BL17" i="3"/>
  <c r="AZ17" i="3"/>
  <c r="J56" i="9"/>
  <c r="J57" i="9"/>
  <c r="J59" i="9"/>
  <c r="J61" i="9"/>
  <c r="A24" i="51"/>
  <c r="B18" i="72"/>
  <c r="U29" i="34"/>
  <c r="E5" i="6"/>
  <c r="E32" i="6"/>
  <c r="E19" i="69"/>
  <c r="E19" i="68"/>
  <c r="E19" i="11"/>
  <c r="E1" i="73"/>
  <c r="G22" i="11"/>
  <c r="C6" i="43"/>
  <c r="B19" i="53"/>
  <c r="B37" i="72"/>
  <c r="C7" i="39"/>
  <c r="C67" i="39"/>
  <c r="C7" i="35"/>
  <c r="C7" i="33"/>
  <c r="C7" i="21"/>
  <c r="C7" i="40"/>
  <c r="C63" i="40"/>
  <c r="M47" i="9"/>
  <c r="G23" i="43"/>
  <c r="C23" i="43"/>
  <c r="A4" i="51"/>
  <c r="B6" i="72"/>
  <c r="C48" i="35"/>
  <c r="D48" i="35"/>
  <c r="L20" i="6"/>
  <c r="K11" i="1"/>
  <c r="M11" i="1"/>
  <c r="O11" i="1"/>
  <c r="B9" i="1"/>
  <c r="E9" i="1"/>
  <c r="K7" i="1"/>
  <c r="M7" i="1"/>
  <c r="O7" i="1"/>
  <c r="P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AC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AC32" i="39"/>
  <c r="H32" i="39"/>
  <c r="AB32" i="39"/>
  <c r="S32" i="39"/>
  <c r="AA21" i="39"/>
  <c r="S21" i="39"/>
  <c r="AC17" i="37"/>
  <c r="J19" i="37"/>
  <c r="W19" i="37"/>
  <c r="G75" i="37"/>
  <c r="AA19" i="37"/>
  <c r="AA23" i="37"/>
  <c r="J23" i="37"/>
  <c r="AC23" i="37"/>
  <c r="G79" i="37"/>
  <c r="J10" i="37"/>
  <c r="W10" i="37"/>
  <c r="G63" i="37"/>
  <c r="H63" i="37"/>
  <c r="I63" i="37"/>
  <c r="H11" i="37"/>
  <c r="AB11" i="37"/>
  <c r="G70" i="34"/>
  <c r="H70" i="34"/>
  <c r="I70" i="34"/>
  <c r="J70" i="34"/>
  <c r="K70" i="34"/>
  <c r="L70" i="34"/>
  <c r="M70" i="34"/>
  <c r="H11" i="34"/>
  <c r="U11" i="34"/>
  <c r="J10" i="34"/>
  <c r="AC10" i="34"/>
  <c r="AB41" i="33"/>
  <c r="U41" i="33"/>
  <c r="W35" i="33"/>
  <c r="AC35" i="33"/>
  <c r="J36" i="33"/>
  <c r="W36" i="33"/>
  <c r="H36" i="33"/>
  <c r="U36" i="33"/>
  <c r="S36" i="33"/>
  <c r="W32" i="33"/>
  <c r="U27" i="33"/>
  <c r="AB27" i="33"/>
  <c r="J27" i="33"/>
  <c r="AC27" i="33"/>
  <c r="U25" i="33"/>
  <c r="AB25" i="33"/>
  <c r="G87" i="33"/>
  <c r="H87" i="33"/>
  <c r="I87" i="33"/>
  <c r="J87" i="33"/>
  <c r="K87" i="33"/>
  <c r="L87" i="33"/>
  <c r="M87" i="33"/>
  <c r="J25" i="33"/>
  <c r="AB23" i="33"/>
  <c r="U23" i="33"/>
  <c r="F23" i="33"/>
  <c r="G85" i="33"/>
  <c r="AA19" i="33"/>
  <c r="H19" i="33"/>
  <c r="U19" i="33"/>
  <c r="H17" i="33"/>
  <c r="U17" i="33"/>
  <c r="F17" i="33"/>
  <c r="S17" i="33"/>
  <c r="W17" i="33"/>
  <c r="AC17" i="33"/>
  <c r="S37" i="21"/>
  <c r="AA23" i="21"/>
  <c r="AB15" i="21"/>
  <c r="J23" i="21"/>
  <c r="F85" i="21"/>
  <c r="G85" i="21"/>
  <c r="H23" i="21"/>
  <c r="U23" i="21"/>
  <c r="D6" i="52"/>
  <c r="AP7" i="1"/>
  <c r="AB45" i="21"/>
  <c r="AB9" i="21"/>
  <c r="AA32" i="21"/>
  <c r="S32" i="21"/>
  <c r="AB32" i="21"/>
  <c r="U32" i="21"/>
  <c r="U32" i="39"/>
  <c r="W32" i="39"/>
  <c r="W23" i="37"/>
  <c r="J63" i="37"/>
  <c r="K63" i="37"/>
  <c r="L63" i="37"/>
  <c r="M63" i="37"/>
  <c r="J11" i="37"/>
  <c r="AC11" i="37"/>
  <c r="J11" i="34"/>
  <c r="W11" i="34"/>
  <c r="AB36" i="33"/>
  <c r="W27" i="33"/>
  <c r="W25" i="33"/>
  <c r="AC25" i="33"/>
  <c r="AB19" i="33"/>
  <c r="AC23" i="21"/>
  <c r="W23" i="21"/>
  <c r="H109" i="9"/>
  <c r="AD3" i="71"/>
  <c r="J1" i="73"/>
  <c r="D24" i="71"/>
  <c r="U24" i="71"/>
  <c r="S24" i="71"/>
  <c r="T24" i="71"/>
  <c r="AB22" i="71"/>
  <c r="X20" i="71"/>
  <c r="X19" i="71"/>
  <c r="AA20" i="71"/>
  <c r="AA19" i="71"/>
  <c r="X23" i="71"/>
  <c r="Y19" i="71"/>
  <c r="Z19" i="71"/>
  <c r="AB20" i="71"/>
  <c r="AB19" i="71"/>
  <c r="F21" i="71"/>
  <c r="F20" i="71"/>
  <c r="F19" i="71"/>
  <c r="F18" i="71"/>
  <c r="F17" i="71"/>
  <c r="Y20" i="71"/>
  <c r="Z20" i="71"/>
  <c r="X3" i="71"/>
  <c r="E12" i="76"/>
  <c r="F20" i="31"/>
  <c r="D34" i="9"/>
  <c r="D35" i="9"/>
  <c r="F6" i="73"/>
  <c r="F5" i="73"/>
  <c r="E11" i="76"/>
  <c r="E8" i="76"/>
  <c r="B9" i="76"/>
  <c r="D6" i="73"/>
  <c r="F3" i="73"/>
  <c r="B11" i="76"/>
  <c r="E9" i="76"/>
  <c r="E13" i="76"/>
  <c r="B12" i="76"/>
  <c r="AO13" i="1"/>
  <c r="F7" i="73"/>
  <c r="E7" i="76"/>
  <c r="F4" i="73"/>
  <c r="E2" i="68"/>
  <c r="E10" i="76"/>
  <c r="B13" i="76"/>
  <c r="E2" i="69"/>
  <c r="B7" i="76"/>
  <c r="B8" i="76"/>
  <c r="B10" i="76"/>
  <c r="C18" i="9"/>
  <c r="D18" i="9"/>
  <c r="D53" i="43"/>
  <c r="D51" i="43"/>
  <c r="D55" i="43"/>
  <c r="B79" i="43"/>
  <c r="B57" i="43"/>
  <c r="B77" i="43"/>
  <c r="B68" i="43"/>
  <c r="G1" i="15"/>
  <c r="B6" i="1"/>
  <c r="E6" i="1"/>
  <c r="AP6" i="1"/>
  <c r="G1" i="67"/>
  <c r="K1" i="12"/>
  <c r="G1" i="69"/>
  <c r="G1" i="68"/>
  <c r="B41" i="1"/>
  <c r="G26" i="12"/>
  <c r="G22" i="68"/>
  <c r="G22" i="69"/>
  <c r="BD5" i="3"/>
  <c r="BH5" i="3"/>
  <c r="BP5" i="3"/>
  <c r="E11" i="6"/>
  <c r="E60" i="39"/>
  <c r="A118" i="9"/>
  <c r="A2" i="9"/>
  <c r="AZ572" i="3"/>
  <c r="AB23" i="21"/>
  <c r="W9" i="21"/>
  <c r="S13" i="21"/>
  <c r="AB21" i="39"/>
  <c r="AB35" i="37"/>
  <c r="AA35" i="33"/>
  <c r="S20" i="35"/>
  <c r="AA12" i="39"/>
  <c r="S19" i="39"/>
  <c r="U33" i="34"/>
  <c r="AA23" i="39"/>
  <c r="AZ318" i="3"/>
  <c r="AZ390" i="3"/>
  <c r="AZ351" i="3"/>
  <c r="AZ341" i="3"/>
  <c r="AZ306" i="3"/>
  <c r="W12" i="37"/>
  <c r="AC12" i="37"/>
  <c r="AB46" i="34"/>
  <c r="U46" i="34"/>
  <c r="S14" i="34"/>
  <c r="AA14" i="34"/>
  <c r="W45" i="33"/>
  <c r="AC45" i="33"/>
  <c r="S11" i="39"/>
  <c r="AA11" i="39"/>
  <c r="J13" i="39"/>
  <c r="H13" i="39"/>
  <c r="F13" i="39"/>
  <c r="AB9" i="40"/>
  <c r="U9" i="40"/>
  <c r="AC31" i="40"/>
  <c r="W31" i="40"/>
  <c r="BL580" i="3"/>
  <c r="AZ580" i="3"/>
  <c r="BA579" i="3"/>
  <c r="AZ579" i="3"/>
  <c r="BL578" i="3"/>
  <c r="BA578" i="3"/>
  <c r="BA577" i="3"/>
  <c r="BL576" i="3"/>
  <c r="BA576" i="3"/>
  <c r="BL575" i="3"/>
  <c r="BA575" i="3"/>
  <c r="AZ575" i="3"/>
  <c r="BA574" i="3"/>
  <c r="AZ574" i="3"/>
  <c r="G572" i="3"/>
  <c r="BA571" i="3"/>
  <c r="AZ571" i="3"/>
  <c r="BL570" i="3"/>
  <c r="BA570" i="3"/>
  <c r="AA25" i="33"/>
  <c r="G29" i="6"/>
  <c r="BM5" i="3"/>
  <c r="AZ313" i="3"/>
  <c r="AZ394" i="3"/>
  <c r="AZ511" i="3"/>
  <c r="AZ536" i="3"/>
  <c r="J25" i="35"/>
  <c r="H25" i="35"/>
  <c r="AC28" i="36"/>
  <c r="W28" i="36"/>
  <c r="AA17" i="33"/>
  <c r="S17" i="37"/>
  <c r="S43" i="34"/>
  <c r="AB31" i="37"/>
  <c r="BO5" i="3"/>
  <c r="AZ375" i="3"/>
  <c r="AZ529" i="3"/>
  <c r="AB11" i="33"/>
  <c r="U11" i="33"/>
  <c r="AB35" i="33"/>
  <c r="U35" i="33"/>
  <c r="AC39" i="33"/>
  <c r="W39" i="33"/>
  <c r="AA44" i="39"/>
  <c r="S44" i="39"/>
  <c r="AZ388" i="3"/>
  <c r="AZ345" i="3"/>
  <c r="AZ334" i="3"/>
  <c r="AZ372" i="3"/>
  <c r="AZ347" i="3"/>
  <c r="AZ337" i="3"/>
  <c r="AZ376" i="3"/>
  <c r="AZ309" i="3"/>
  <c r="AZ515" i="3"/>
  <c r="AZ523" i="3"/>
  <c r="AZ547" i="3"/>
  <c r="AZ569" i="3"/>
  <c r="AZ516" i="3"/>
  <c r="AZ524" i="3"/>
  <c r="AB45" i="33"/>
  <c r="AB23" i="34"/>
  <c r="H36" i="35"/>
  <c r="J36" i="35"/>
  <c r="AC36" i="35"/>
  <c r="H34" i="36"/>
  <c r="J34" i="36"/>
  <c r="W34" i="36"/>
  <c r="J39" i="37"/>
  <c r="H39" i="37"/>
  <c r="F39" i="37"/>
  <c r="S39" i="37"/>
  <c r="G552" i="3"/>
  <c r="BL577" i="3"/>
  <c r="AZ577" i="3"/>
  <c r="AZ513" i="3"/>
  <c r="AZ528" i="3"/>
  <c r="AZ566" i="3"/>
  <c r="AZ582" i="3"/>
  <c r="AZ502" i="3"/>
  <c r="S14" i="37"/>
  <c r="AA44" i="34"/>
  <c r="AB17" i="34"/>
  <c r="S44" i="33"/>
  <c r="AA44" i="33"/>
  <c r="J12" i="36"/>
  <c r="F12" i="36"/>
  <c r="H12" i="36"/>
  <c r="AA31" i="35"/>
  <c r="S31" i="35"/>
  <c r="G582" i="3"/>
  <c r="AZ519" i="3"/>
  <c r="BL573" i="3"/>
  <c r="AZ573" i="3"/>
  <c r="B97" i="43"/>
  <c r="B75" i="43"/>
  <c r="AA38" i="33"/>
  <c r="S38" i="33"/>
  <c r="J26" i="33"/>
  <c r="F26" i="33"/>
  <c r="H26" i="33"/>
  <c r="J24" i="36"/>
  <c r="H24" i="36"/>
  <c r="F24" i="36"/>
  <c r="H44" i="39"/>
  <c r="J44" i="39"/>
  <c r="U39" i="40"/>
  <c r="AB39" i="40"/>
  <c r="AB38" i="40"/>
  <c r="U38" i="40"/>
  <c r="BL550" i="3"/>
  <c r="AZ400" i="3"/>
  <c r="AZ403" i="3"/>
  <c r="AZ405" i="3"/>
  <c r="C67" i="71"/>
  <c r="T68" i="71"/>
  <c r="O68" i="71"/>
  <c r="D68" i="71"/>
  <c r="T76" i="71"/>
  <c r="D76" i="71"/>
  <c r="C75" i="71"/>
  <c r="Y26" i="71"/>
  <c r="Z26" i="71"/>
  <c r="Y25" i="71"/>
  <c r="Z25" i="71"/>
  <c r="AA3" i="71"/>
  <c r="BL587" i="3"/>
  <c r="AZ587" i="3"/>
  <c r="BL586" i="3"/>
  <c r="AZ586" i="3"/>
  <c r="G574" i="3"/>
  <c r="BL16" i="3"/>
  <c r="AZ16" i="3"/>
  <c r="BL400" i="3"/>
  <c r="BA408" i="3"/>
  <c r="AZ408" i="3"/>
  <c r="BA409" i="3"/>
  <c r="AZ409" i="3"/>
  <c r="BL412" i="3"/>
  <c r="BL417" i="3"/>
  <c r="BA225" i="3"/>
  <c r="BL230" i="3"/>
  <c r="G251" i="3"/>
  <c r="W9" i="34"/>
  <c r="U30" i="37"/>
  <c r="G587" i="3"/>
  <c r="F9" i="33"/>
  <c r="AA9" i="33"/>
  <c r="J12" i="35"/>
  <c r="F25" i="37"/>
  <c r="BA551" i="3"/>
  <c r="AZ551" i="3"/>
  <c r="BA550" i="3"/>
  <c r="AZ550" i="3"/>
  <c r="BL548" i="3"/>
  <c r="AZ548" i="3"/>
  <c r="BL403" i="3"/>
  <c r="BL410" i="3"/>
  <c r="AZ422" i="3"/>
  <c r="BA431" i="3"/>
  <c r="BL289" i="3"/>
  <c r="T32" i="71"/>
  <c r="D32" i="71"/>
  <c r="W22" i="35"/>
  <c r="BL585" i="3"/>
  <c r="AZ585" i="3"/>
  <c r="BL398" i="3"/>
  <c r="AZ398" i="3"/>
  <c r="G408" i="3"/>
  <c r="BL411" i="3"/>
  <c r="AZ411" i="3"/>
  <c r="BL414" i="3"/>
  <c r="BL415" i="3"/>
  <c r="BL440" i="3"/>
  <c r="AZ443" i="3"/>
  <c r="BA452" i="3"/>
  <c r="BA458" i="3"/>
  <c r="AZ458" i="3"/>
  <c r="AZ469" i="3"/>
  <c r="G229" i="3"/>
  <c r="G249" i="3"/>
  <c r="BA148" i="3"/>
  <c r="AZ148" i="3"/>
  <c r="BL418" i="3"/>
  <c r="BL420" i="3"/>
  <c r="G423" i="3"/>
  <c r="BL424" i="3"/>
  <c r="G427" i="3"/>
  <c r="BL428" i="3"/>
  <c r="BL429" i="3"/>
  <c r="BL432" i="3"/>
  <c r="BL435" i="3"/>
  <c r="BL436" i="3"/>
  <c r="BA439" i="3"/>
  <c r="BA440" i="3"/>
  <c r="AZ440" i="3"/>
  <c r="BA442" i="3"/>
  <c r="BA445" i="3"/>
  <c r="BA447" i="3"/>
  <c r="AZ447" i="3"/>
  <c r="BA449" i="3"/>
  <c r="BL453" i="3"/>
  <c r="BL454" i="3"/>
  <c r="G458" i="3"/>
  <c r="BL459" i="3"/>
  <c r="G461" i="3"/>
  <c r="G462" i="3"/>
  <c r="BA465" i="3"/>
  <c r="AZ465" i="3"/>
  <c r="BA467" i="3"/>
  <c r="BA468" i="3"/>
  <c r="BL471" i="3"/>
  <c r="BL475" i="3"/>
  <c r="BA477" i="3"/>
  <c r="BA478" i="3"/>
  <c r="BA481" i="3"/>
  <c r="BA488" i="3"/>
  <c r="AZ488" i="3"/>
  <c r="BA491" i="3"/>
  <c r="BL324" i="3"/>
  <c r="AZ324" i="3"/>
  <c r="BL328" i="3"/>
  <c r="AZ328" i="3"/>
  <c r="BA335" i="3"/>
  <c r="AZ335" i="3"/>
  <c r="BA339" i="3"/>
  <c r="AZ339" i="3"/>
  <c r="BA348" i="3"/>
  <c r="BA350" i="3"/>
  <c r="AZ350" i="3"/>
  <c r="BA354" i="3"/>
  <c r="BA366" i="3"/>
  <c r="AZ366" i="3"/>
  <c r="BL375" i="3"/>
  <c r="BL385" i="3"/>
  <c r="BA397" i="3"/>
  <c r="BL397" i="3"/>
  <c r="BA210" i="3"/>
  <c r="BL210" i="3"/>
  <c r="BL212" i="3"/>
  <c r="BL214" i="3"/>
  <c r="AZ214" i="3"/>
  <c r="BL225" i="3"/>
  <c r="BL226" i="3"/>
  <c r="BA239" i="3"/>
  <c r="BL239" i="3"/>
  <c r="BA241" i="3"/>
  <c r="BL241" i="3"/>
  <c r="BA244" i="3"/>
  <c r="BL244" i="3"/>
  <c r="BA246" i="3"/>
  <c r="BA252" i="3"/>
  <c r="AZ252" i="3"/>
  <c r="BA254" i="3"/>
  <c r="AZ254" i="3"/>
  <c r="BA256" i="3"/>
  <c r="AZ256" i="3"/>
  <c r="BL256" i="3"/>
  <c r="BA258" i="3"/>
  <c r="BL264" i="3"/>
  <c r="BL266" i="3"/>
  <c r="BA268" i="3"/>
  <c r="BL273" i="3"/>
  <c r="G274" i="3"/>
  <c r="BA277" i="3"/>
  <c r="AZ277" i="3"/>
  <c r="BL277" i="3"/>
  <c r="BA282" i="3"/>
  <c r="BL282" i="3"/>
  <c r="BA284" i="3"/>
  <c r="BL290" i="3"/>
  <c r="BL291" i="3"/>
  <c r="AZ291" i="3"/>
  <c r="BL293" i="3"/>
  <c r="BL294" i="3"/>
  <c r="BA297" i="3"/>
  <c r="BL297" i="3"/>
  <c r="BL300" i="3"/>
  <c r="BA302" i="3"/>
  <c r="G115" i="3"/>
  <c r="BA117" i="3"/>
  <c r="BA130" i="3"/>
  <c r="BL130" i="3"/>
  <c r="BA137" i="3"/>
  <c r="BL138" i="3"/>
  <c r="BA140" i="3"/>
  <c r="AZ140" i="3"/>
  <c r="BA142" i="3"/>
  <c r="BA156" i="3"/>
  <c r="AZ156" i="3"/>
  <c r="BA169" i="3"/>
  <c r="AZ169" i="3"/>
  <c r="AB34" i="71"/>
  <c r="AB27" i="71"/>
  <c r="AB32" i="71"/>
  <c r="AA38" i="71"/>
  <c r="AA37" i="71"/>
  <c r="AA28" i="71"/>
  <c r="AA35" i="71"/>
  <c r="C47" i="71"/>
  <c r="D47" i="71"/>
  <c r="D46" i="71"/>
  <c r="D50" i="71"/>
  <c r="C51" i="71"/>
  <c r="BA417" i="3"/>
  <c r="AZ417" i="3"/>
  <c r="BL421" i="3"/>
  <c r="BL422" i="3"/>
  <c r="BL425" i="3"/>
  <c r="BL426" i="3"/>
  <c r="BA428" i="3"/>
  <c r="AZ428" i="3"/>
  <c r="BA429" i="3"/>
  <c r="BA430" i="3"/>
  <c r="AZ430" i="3"/>
  <c r="BA432" i="3"/>
  <c r="AZ432" i="3"/>
  <c r="BA434" i="3"/>
  <c r="BA436" i="3"/>
  <c r="BA438" i="3"/>
  <c r="BA446" i="3"/>
  <c r="BA450" i="3"/>
  <c r="BA453" i="3"/>
  <c r="AZ453" i="3"/>
  <c r="BA455" i="3"/>
  <c r="AZ455" i="3"/>
  <c r="BL457" i="3"/>
  <c r="BL460" i="3"/>
  <c r="BL461" i="3"/>
  <c r="BL463" i="3"/>
  <c r="BA471" i="3"/>
  <c r="AZ471" i="3"/>
  <c r="BL317" i="3"/>
  <c r="BA349" i="3"/>
  <c r="AZ349" i="3"/>
  <c r="BA353" i="3"/>
  <c r="BL353" i="3"/>
  <c r="BA358" i="3"/>
  <c r="AZ358" i="3"/>
  <c r="BL365" i="3"/>
  <c r="AZ365" i="3"/>
  <c r="BA368" i="3"/>
  <c r="BL368" i="3"/>
  <c r="BA374" i="3"/>
  <c r="AZ374" i="3"/>
  <c r="BA388" i="3"/>
  <c r="BA396" i="3"/>
  <c r="BA209" i="3"/>
  <c r="BL217" i="3"/>
  <c r="AZ217" i="3"/>
  <c r="BA219" i="3"/>
  <c r="AZ219" i="3"/>
  <c r="BA221" i="3"/>
  <c r="BA223" i="3"/>
  <c r="AZ223" i="3"/>
  <c r="BL228" i="3"/>
  <c r="AZ228" i="3"/>
  <c r="BA230" i="3"/>
  <c r="BL232" i="3"/>
  <c r="BL234" i="3"/>
  <c r="BA236" i="3"/>
  <c r="BA238" i="3"/>
  <c r="AZ238" i="3"/>
  <c r="BA243" i="3"/>
  <c r="AZ243" i="3"/>
  <c r="BL248" i="3"/>
  <c r="AZ248" i="3"/>
  <c r="G250" i="3"/>
  <c r="BL250" i="3"/>
  <c r="AZ250" i="3"/>
  <c r="BA259" i="3"/>
  <c r="AZ259" i="3"/>
  <c r="BL261" i="3"/>
  <c r="BA263" i="3"/>
  <c r="AZ263" i="3"/>
  <c r="BA267" i="3"/>
  <c r="AZ267" i="3"/>
  <c r="BA269" i="3"/>
  <c r="AZ269" i="3"/>
  <c r="BA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5" i="3"/>
  <c r="AZ155" i="3"/>
  <c r="BL157" i="3"/>
  <c r="AZ157" i="3"/>
  <c r="BL159" i="3"/>
  <c r="AZ159" i="3"/>
  <c r="BA164" i="3"/>
  <c r="AZ164" i="3"/>
  <c r="BA166" i="3"/>
  <c r="AZ166" i="3"/>
  <c r="BA189" i="3"/>
  <c r="AZ189" i="3"/>
  <c r="BA207" i="3"/>
  <c r="C44" i="71"/>
  <c r="D43" i="71"/>
  <c r="BL401" i="3"/>
  <c r="AZ401" i="3"/>
  <c r="BL404" i="3"/>
  <c r="AZ404" i="3"/>
  <c r="BL405" i="3"/>
  <c r="BL407" i="3"/>
  <c r="AZ407" i="3"/>
  <c r="BA412" i="3"/>
  <c r="AZ412" i="3"/>
  <c r="BA414" i="3"/>
  <c r="AZ414" i="3"/>
  <c r="BA415" i="3"/>
  <c r="BA416" i="3"/>
  <c r="AZ416" i="3"/>
  <c r="BA418" i="3"/>
  <c r="AZ418" i="3"/>
  <c r="BA421" i="3"/>
  <c r="AZ421" i="3"/>
  <c r="BA423" i="3"/>
  <c r="AZ423" i="3"/>
  <c r="BA425" i="3"/>
  <c r="AZ425" i="3"/>
  <c r="BA426" i="3"/>
  <c r="BA427" i="3"/>
  <c r="AZ427" i="3"/>
  <c r="BA433" i="3"/>
  <c r="AZ433" i="3"/>
  <c r="BA435" i="3"/>
  <c r="AZ435" i="3"/>
  <c r="BL437" i="3"/>
  <c r="AZ437" i="3"/>
  <c r="G439" i="3"/>
  <c r="G440" i="3"/>
  <c r="BL441" i="3"/>
  <c r="AZ441" i="3"/>
  <c r="BL442" i="3"/>
  <c r="BL444" i="3"/>
  <c r="AZ444" i="3"/>
  <c r="G446" i="3"/>
  <c r="G447" i="3"/>
  <c r="BL448" i="3"/>
  <c r="AZ448" i="3"/>
  <c r="G450" i="3"/>
  <c r="G451" i="3"/>
  <c r="BA454" i="3"/>
  <c r="AZ454" i="3"/>
  <c r="BA457" i="3"/>
  <c r="AZ457" i="3"/>
  <c r="BA459" i="3"/>
  <c r="AZ459" i="3"/>
  <c r="BA460" i="3"/>
  <c r="BA461" i="3"/>
  <c r="AZ461" i="3"/>
  <c r="BL464" i="3"/>
  <c r="AZ464" i="3"/>
  <c r="BL466" i="3"/>
  <c r="AZ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G152" i="3"/>
  <c r="BA153" i="3"/>
  <c r="AZ201" i="3"/>
  <c r="BA160" i="3"/>
  <c r="AZ160" i="3"/>
  <c r="G162" i="3"/>
  <c r="BL162" i="3"/>
  <c r="AZ162" i="3"/>
  <c r="BL165" i="3"/>
  <c r="G166" i="3"/>
  <c r="BL170" i="3"/>
  <c r="G171" i="3"/>
  <c r="BA173" i="3"/>
  <c r="AZ173" i="3"/>
  <c r="BA174" i="3"/>
  <c r="BL179" i="3"/>
  <c r="AZ179" i="3"/>
  <c r="G180" i="3"/>
  <c r="BA181" i="3"/>
  <c r="AZ181" i="3"/>
  <c r="BA182" i="3"/>
  <c r="BL185" i="3"/>
  <c r="G186" i="3"/>
  <c r="G187" i="3"/>
  <c r="BL193" i="3"/>
  <c r="G194" i="3"/>
  <c r="BL194" i="3"/>
  <c r="AZ194" i="3"/>
  <c r="BA198" i="3"/>
  <c r="AZ198" i="3"/>
  <c r="G199" i="3"/>
  <c r="G204" i="3"/>
  <c r="G205" i="3"/>
  <c r="BL206" i="3"/>
  <c r="BA19" i="3"/>
  <c r="AZ19" i="3"/>
  <c r="G22" i="3"/>
  <c r="G24" i="3"/>
  <c r="G25" i="3"/>
  <c r="G27" i="3"/>
  <c r="BA27" i="3"/>
  <c r="AZ27" i="3"/>
  <c r="G30" i="3"/>
  <c r="BL30" i="3"/>
  <c r="BL31" i="3"/>
  <c r="AZ31" i="3"/>
  <c r="G35" i="3"/>
  <c r="G36" i="3"/>
  <c r="G37" i="3"/>
  <c r="G40" i="3"/>
  <c r="BL40" i="3"/>
  <c r="BL41" i="3"/>
  <c r="AZ41" i="3"/>
  <c r="G45" i="3"/>
  <c r="BL45" i="3"/>
  <c r="BA48" i="3"/>
  <c r="BA49" i="3"/>
  <c r="BL64" i="3"/>
  <c r="G65" i="3"/>
  <c r="BL65" i="3"/>
  <c r="AZ65" i="3"/>
  <c r="G72" i="3"/>
  <c r="BL73" i="3"/>
  <c r="BA74" i="3"/>
  <c r="BL79" i="3"/>
  <c r="G80" i="3"/>
  <c r="G85" i="3"/>
  <c r="BL85" i="3"/>
  <c r="BA86" i="3"/>
  <c r="AZ86" i="3"/>
  <c r="G89" i="3"/>
  <c r="BA92" i="3"/>
  <c r="F40" i="69"/>
  <c r="C40" i="69"/>
  <c r="C86" i="71"/>
  <c r="D86" i="71"/>
  <c r="D87" i="71"/>
  <c r="AB25" i="71"/>
  <c r="AB28" i="71"/>
  <c r="AB26" i="71"/>
  <c r="T28" i="71"/>
  <c r="D28" i="71"/>
  <c r="U28" i="71"/>
  <c r="C27" i="71"/>
  <c r="X33" i="71"/>
  <c r="X31" i="71"/>
  <c r="X34" i="71"/>
  <c r="X36" i="71"/>
  <c r="X35" i="71"/>
  <c r="AB37" i="71"/>
  <c r="AB35" i="71"/>
  <c r="F38" i="71"/>
  <c r="F39" i="71"/>
  <c r="F40" i="71"/>
  <c r="V40" i="71"/>
  <c r="C55" i="71"/>
  <c r="D54" i="71"/>
  <c r="E59" i="71"/>
  <c r="E60" i="71"/>
  <c r="U60" i="71"/>
  <c r="C64" i="71"/>
  <c r="D63" i="71"/>
  <c r="C23" i="71"/>
  <c r="B22" i="71"/>
  <c r="B21" i="71"/>
  <c r="B20" i="71"/>
  <c r="BL177" i="3"/>
  <c r="AZ177" i="3"/>
  <c r="BL183" i="3"/>
  <c r="AZ183" i="3"/>
  <c r="BA186" i="3"/>
  <c r="AZ186" i="3"/>
  <c r="BA190" i="3"/>
  <c r="AZ190" i="3"/>
  <c r="BA197" i="3"/>
  <c r="AZ197" i="3"/>
  <c r="BL201" i="3"/>
  <c r="BL203" i="3"/>
  <c r="AZ203" i="3"/>
  <c r="BA204" i="3"/>
  <c r="AZ204" i="3"/>
  <c r="BA18" i="3"/>
  <c r="BL21" i="3"/>
  <c r="BL29" i="3"/>
  <c r="BA37" i="3"/>
  <c r="BL39" i="3"/>
  <c r="BA45" i="3"/>
  <c r="BA46" i="3"/>
  <c r="BA52" i="3"/>
  <c r="AZ52" i="3"/>
  <c r="BA53" i="3"/>
  <c r="BA54" i="3"/>
  <c r="BL57" i="3"/>
  <c r="BL62" i="3"/>
  <c r="AZ62" i="3"/>
  <c r="BL63" i="3"/>
  <c r="G67" i="3"/>
  <c r="BL68" i="3"/>
  <c r="BA69" i="3"/>
  <c r="AZ69" i="3"/>
  <c r="BA73" i="3"/>
  <c r="BL93" i="3"/>
  <c r="AB21" i="37"/>
  <c r="U21" i="37"/>
  <c r="P65" i="71"/>
  <c r="P66" i="71"/>
  <c r="C36" i="71"/>
  <c r="D35" i="71"/>
  <c r="Y35" i="71"/>
  <c r="Z35" i="71"/>
  <c r="S80" i="71"/>
  <c r="B79" i="71"/>
  <c r="B78" i="71"/>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AZ29" i="3"/>
  <c r="BA36" i="3"/>
  <c r="BL38" i="3"/>
  <c r="AZ38" i="3"/>
  <c r="BA39" i="3"/>
  <c r="BL47" i="3"/>
  <c r="AZ47" i="3"/>
  <c r="G49" i="3"/>
  <c r="BL54" i="3"/>
  <c r="BL55" i="3"/>
  <c r="AZ55" i="3"/>
  <c r="G57" i="3"/>
  <c r="G58" i="3"/>
  <c r="BA59" i="3"/>
  <c r="AZ59" i="3"/>
  <c r="G61" i="3"/>
  <c r="BL61" i="3"/>
  <c r="AZ61" i="3"/>
  <c r="G64" i="3"/>
  <c r="BA64" i="3"/>
  <c r="AZ64" i="3"/>
  <c r="BA68" i="3"/>
  <c r="BL74" i="3"/>
  <c r="G75" i="3"/>
  <c r="BL75" i="3"/>
  <c r="AZ75" i="3"/>
  <c r="BL86" i="3"/>
  <c r="BA88" i="3"/>
  <c r="AZ88" i="3"/>
  <c r="BA89" i="3"/>
  <c r="G93" i="3"/>
  <c r="BA98" i="3"/>
  <c r="W21" i="21"/>
  <c r="U21" i="33"/>
  <c r="AB21" i="33"/>
  <c r="E39" i="71"/>
  <c r="E40" i="71"/>
  <c r="U40" i="71"/>
  <c r="Y37" i="71"/>
  <c r="Z37" i="71"/>
  <c r="F66" i="71"/>
  <c r="Q67" i="71"/>
  <c r="X25" i="71"/>
  <c r="V24" i="71"/>
  <c r="E23" i="71"/>
  <c r="E22" i="71"/>
  <c r="E21" i="71"/>
  <c r="E20" i="71"/>
  <c r="E19" i="71"/>
  <c r="E18" i="71"/>
  <c r="E17" i="71"/>
  <c r="E16" i="71"/>
  <c r="G103" i="3"/>
  <c r="BA103" i="3"/>
  <c r="AZ103" i="3"/>
  <c r="BA104" i="3"/>
  <c r="BA106" i="3"/>
  <c r="BL108" i="3"/>
  <c r="AZ108" i="3"/>
  <c r="BL111" i="3"/>
  <c r="AA27" i="71"/>
  <c r="S28" i="71"/>
  <c r="C83" i="71"/>
  <c r="C79" i="71"/>
  <c r="C71" i="71"/>
  <c r="C39" i="71"/>
  <c r="Y28" i="71"/>
  <c r="Z28" i="71"/>
  <c r="Y30" i="71"/>
  <c r="Z30" i="71"/>
  <c r="X28" i="71"/>
  <c r="X32" i="71"/>
  <c r="AB38" i="71"/>
  <c r="F75" i="71"/>
  <c r="F74" i="71"/>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G90" i="3"/>
  <c r="BL90" i="3"/>
  <c r="BL92" i="3"/>
  <c r="G101" i="3"/>
  <c r="BA101" i="3"/>
  <c r="AZ101" i="3"/>
  <c r="G108" i="3"/>
  <c r="G109" i="3"/>
  <c r="BL112" i="3"/>
  <c r="S21" i="34"/>
  <c r="B88" i="43"/>
  <c r="F35" i="71"/>
  <c r="F36" i="71"/>
  <c r="V36" i="71"/>
  <c r="AA34" i="71"/>
  <c r="BL81" i="3"/>
  <c r="BA82" i="3"/>
  <c r="AZ82" i="3"/>
  <c r="BL83" i="3"/>
  <c r="G86" i="3"/>
  <c r="G87" i="3"/>
  <c r="BA90" i="3"/>
  <c r="BL94" i="3"/>
  <c r="AZ94" i="3"/>
  <c r="BA100" i="3"/>
  <c r="AZ100" i="3"/>
  <c r="BA102" i="3"/>
  <c r="AZ102" i="3"/>
  <c r="BL105" i="3"/>
  <c r="AZ105" i="3"/>
  <c r="G107" i="3"/>
  <c r="BL107" i="3"/>
  <c r="BA111" i="3"/>
  <c r="AZ111" i="3"/>
  <c r="K13" i="1"/>
  <c r="M13" i="1"/>
  <c r="O13" i="1"/>
  <c r="P13" i="1"/>
  <c r="AB33" i="71"/>
  <c r="AA30" i="71"/>
  <c r="E35" i="71"/>
  <c r="E36" i="71"/>
  <c r="U36" i="71"/>
  <c r="F31" i="71"/>
  <c r="F32" i="71"/>
  <c r="V32" i="71"/>
  <c r="AB31" i="71"/>
  <c r="AB36" i="71"/>
  <c r="AA36" i="71"/>
  <c r="Y38" i="71"/>
  <c r="Z38" i="71"/>
  <c r="B47" i="71"/>
  <c r="B48" i="71"/>
  <c r="S48" i="71"/>
  <c r="E47" i="71"/>
  <c r="E48" i="71"/>
  <c r="U48" i="71"/>
  <c r="F9" i="1"/>
  <c r="G9" i="1"/>
  <c r="F10" i="1"/>
  <c r="G10" i="1"/>
  <c r="F8" i="1"/>
  <c r="G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c r="BL507" i="3"/>
  <c r="AZ507" i="3"/>
  <c r="K14" i="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c r="J26" i="43"/>
  <c r="L27" i="6"/>
  <c r="M6" i="1"/>
  <c r="O6" i="1"/>
  <c r="T13" i="1"/>
  <c r="C58" i="21"/>
  <c r="D58" i="21"/>
  <c r="C58" i="33"/>
  <c r="C59" i="34"/>
  <c r="D59" i="34"/>
  <c r="E59" i="34"/>
  <c r="F59" i="34"/>
  <c r="G59" i="34"/>
  <c r="H59" i="34"/>
  <c r="I59" i="34"/>
  <c r="J59" i="34"/>
  <c r="K59" i="34"/>
  <c r="L59" i="34"/>
  <c r="M59" i="34"/>
  <c r="N59" i="34"/>
  <c r="O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c r="C21" i="69"/>
  <c r="J84" i="43"/>
  <c r="J85" i="43"/>
  <c r="J86" i="43"/>
  <c r="J87" i="43"/>
  <c r="J88" i="43"/>
  <c r="J89" i="43"/>
  <c r="J90" i="43"/>
  <c r="D83" i="43"/>
  <c r="E83" i="43"/>
  <c r="B81" i="43"/>
  <c r="D66" i="43"/>
  <c r="D64" i="43"/>
  <c r="D62" i="43"/>
  <c r="D67" i="43"/>
  <c r="D65" i="43"/>
  <c r="D63" i="43"/>
  <c r="D69" i="43"/>
  <c r="D73" i="43"/>
  <c r="D75" i="43"/>
  <c r="D79" i="43"/>
  <c r="D22" i="67"/>
  <c r="AQ13" i="1"/>
  <c r="P11" i="1"/>
  <c r="D9" i="11"/>
  <c r="C9" i="11"/>
  <c r="D19" i="12"/>
  <c r="C19" i="12"/>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P26" i="43"/>
  <c r="B20" i="31"/>
  <c r="B21" i="31"/>
  <c r="I1" i="73"/>
  <c r="B39" i="1"/>
  <c r="B13" i="70"/>
  <c r="C36" i="68"/>
  <c r="D9" i="68"/>
  <c r="M8" i="15"/>
  <c r="F37" i="15"/>
  <c r="F7" i="67"/>
  <c r="F36" i="15"/>
  <c r="F16" i="15"/>
  <c r="M22" i="67"/>
  <c r="F26" i="67"/>
  <c r="M26" i="15"/>
  <c r="M29" i="67"/>
  <c r="F43" i="67"/>
  <c r="F8" i="67"/>
  <c r="M29" i="15"/>
  <c r="F26" i="15"/>
  <c r="F6" i="67"/>
  <c r="D3" i="73"/>
  <c r="F8" i="15"/>
  <c r="M23" i="67"/>
  <c r="F42" i="15"/>
  <c r="F13" i="67"/>
  <c r="F9" i="67"/>
  <c r="D5" i="73"/>
  <c r="F16" i="67"/>
  <c r="F9" i="15"/>
  <c r="M24" i="15"/>
  <c r="F40" i="67"/>
  <c r="M28" i="15"/>
  <c r="F42" i="67"/>
  <c r="M23" i="15"/>
  <c r="F43" i="15"/>
  <c r="F40" i="15"/>
  <c r="L47" i="67"/>
  <c r="M28" i="67"/>
  <c r="F38" i="67"/>
  <c r="M9" i="67"/>
  <c r="F6" i="15"/>
  <c r="D9" i="69"/>
  <c r="C76" i="15"/>
  <c r="L48" i="67"/>
  <c r="D4" i="73"/>
  <c r="M22" i="15"/>
  <c r="F37" i="67"/>
  <c r="M24" i="67"/>
  <c r="F13" i="15"/>
  <c r="M6" i="15"/>
  <c r="C76" i="67"/>
  <c r="M26" i="67"/>
  <c r="J15" i="15"/>
  <c r="L48" i="15"/>
  <c r="F36" i="67"/>
  <c r="M6" i="67"/>
  <c r="F7" i="15"/>
  <c r="F38" i="15"/>
  <c r="L47" i="15"/>
  <c r="M9" i="15"/>
  <c r="M8" i="67"/>
  <c r="D7" i="73"/>
  <c r="J15" i="67"/>
  <c r="M11" i="82"/>
  <c r="J10" i="82"/>
  <c r="J5" i="82"/>
  <c r="F11" i="82"/>
  <c r="C27" i="15"/>
  <c r="F51" i="15"/>
  <c r="C6" i="15"/>
  <c r="J57" i="15"/>
  <c r="J55" i="15"/>
  <c r="J58" i="15"/>
  <c r="Q50" i="15"/>
  <c r="J53" i="15"/>
  <c r="L56" i="15"/>
  <c r="I54" i="15"/>
  <c r="F65" i="15"/>
  <c r="M7" i="15"/>
  <c r="J6" i="15"/>
  <c r="F50" i="15"/>
  <c r="Q71" i="15"/>
  <c r="F66" i="15"/>
  <c r="M59" i="15"/>
  <c r="L58" i="15"/>
  <c r="Q73" i="15"/>
  <c r="L59" i="15"/>
  <c r="Q74" i="15"/>
  <c r="N59" i="15"/>
  <c r="F71" i="15"/>
  <c r="F64" i="15"/>
  <c r="F68" i="15"/>
  <c r="C27" i="67"/>
  <c r="F66" i="67"/>
  <c r="M59" i="67"/>
  <c r="N59" i="67"/>
  <c r="L58" i="67"/>
  <c r="Q60" i="67"/>
  <c r="L59" i="67"/>
  <c r="Q61" i="67"/>
  <c r="F51" i="67"/>
  <c r="F71" i="67"/>
  <c r="Q71" i="67"/>
  <c r="C6" i="67"/>
  <c r="C32" i="67"/>
  <c r="F68" i="67"/>
  <c r="F64" i="67"/>
  <c r="M7" i="67"/>
  <c r="J6" i="67"/>
  <c r="J18" i="67"/>
  <c r="F50" i="67"/>
  <c r="F65" i="67"/>
  <c r="I54" i="67"/>
  <c r="L56" i="67"/>
  <c r="J53" i="67"/>
  <c r="F1" i="67"/>
  <c r="J57" i="67"/>
  <c r="J55" i="67"/>
  <c r="J58" i="67"/>
  <c r="Q50" i="67"/>
  <c r="E26" i="43"/>
  <c r="E10" i="6"/>
  <c r="F48" i="9"/>
  <c r="O52" i="9"/>
  <c r="F30" i="68"/>
  <c r="F52" i="9"/>
  <c r="F32" i="15"/>
  <c r="F60" i="15"/>
  <c r="F54" i="9"/>
  <c r="F30" i="11"/>
  <c r="M18" i="67"/>
  <c r="M18" i="15"/>
  <c r="F28" i="67"/>
  <c r="C28" i="67"/>
  <c r="F32" i="67"/>
  <c r="F60" i="67"/>
  <c r="F28" i="15"/>
  <c r="C28" i="15"/>
  <c r="F31" i="12"/>
  <c r="C31" i="12"/>
  <c r="F30" i="69"/>
  <c r="D68" i="9"/>
  <c r="P6" i="1"/>
  <c r="C13" i="12"/>
  <c r="H16" i="1"/>
  <c r="E15" i="6"/>
  <c r="E64" i="39"/>
  <c r="F26" i="43"/>
  <c r="E13" i="6"/>
  <c r="E58" i="40"/>
  <c r="E12" i="6"/>
  <c r="E57" i="40"/>
  <c r="E14" i="6"/>
  <c r="H26" i="43"/>
  <c r="N370" i="46"/>
  <c r="G30" i="6"/>
  <c r="G31" i="6"/>
  <c r="G26" i="43"/>
  <c r="N94" i="46"/>
  <c r="Q16" i="1"/>
  <c r="C70" i="71"/>
  <c r="D70" i="71"/>
  <c r="D71" i="71"/>
  <c r="C22" i="71"/>
  <c r="D23" i="71"/>
  <c r="AZ368" i="3"/>
  <c r="AZ353" i="3"/>
  <c r="C52" i="71"/>
  <c r="D51" i="71"/>
  <c r="AZ282" i="3"/>
  <c r="AC44" i="39"/>
  <c r="W44" i="39"/>
  <c r="AC24" i="36"/>
  <c r="W24" i="36"/>
  <c r="W25" i="35"/>
  <c r="AC25" i="35"/>
  <c r="W13" i="39"/>
  <c r="AC13" i="39"/>
  <c r="E510" i="3"/>
  <c r="AZ79" i="3"/>
  <c r="D79" i="71"/>
  <c r="C78" i="71"/>
  <c r="D78" i="71"/>
  <c r="AZ39" i="3"/>
  <c r="AZ45" i="3"/>
  <c r="C56" i="71"/>
  <c r="D55" i="71"/>
  <c r="AZ49" i="3"/>
  <c r="AZ460" i="3"/>
  <c r="AZ415" i="3"/>
  <c r="D44" i="71"/>
  <c r="T44" i="71"/>
  <c r="AZ121" i="3"/>
  <c r="AZ274" i="3"/>
  <c r="AZ230" i="3"/>
  <c r="AZ429" i="3"/>
  <c r="AZ137" i="3"/>
  <c r="AZ297" i="3"/>
  <c r="AZ241" i="3"/>
  <c r="AZ210" i="3"/>
  <c r="AA25" i="37"/>
  <c r="S25" i="37"/>
  <c r="D75" i="71"/>
  <c r="C74" i="71"/>
  <c r="D74" i="71"/>
  <c r="U44" i="39"/>
  <c r="AB44" i="39"/>
  <c r="AB26" i="33"/>
  <c r="U26" i="33"/>
  <c r="AB12" i="36"/>
  <c r="U12" i="36"/>
  <c r="AB34" i="36"/>
  <c r="U34" i="36"/>
  <c r="AZ570" i="3"/>
  <c r="G16" i="1"/>
  <c r="F10" i="39"/>
  <c r="S10" i="39"/>
  <c r="D83" i="71"/>
  <c r="C82" i="71"/>
  <c r="D82" i="71"/>
  <c r="AZ53" i="3"/>
  <c r="C26" i="71"/>
  <c r="D26" i="71"/>
  <c r="D27" i="71"/>
  <c r="AZ302" i="3"/>
  <c r="AZ284" i="3"/>
  <c r="AZ491" i="3"/>
  <c r="W12" i="35"/>
  <c r="AC12" i="35"/>
  <c r="S24" i="36"/>
  <c r="AA24" i="36"/>
  <c r="S26" i="33"/>
  <c r="AA26" i="33"/>
  <c r="AA12" i="36"/>
  <c r="S12" i="36"/>
  <c r="AB39" i="37"/>
  <c r="U39" i="37"/>
  <c r="F29" i="6"/>
  <c r="E29" i="6"/>
  <c r="K15" i="1"/>
  <c r="K16" i="1"/>
  <c r="B29" i="1"/>
  <c r="C8" i="68"/>
  <c r="C5" i="68"/>
  <c r="AA13" i="39"/>
  <c r="S13" i="39"/>
  <c r="C40" i="71"/>
  <c r="D39" i="71"/>
  <c r="B19" i="71"/>
  <c r="B18" i="71"/>
  <c r="B17" i="71"/>
  <c r="B16" i="71"/>
  <c r="S20" i="71"/>
  <c r="AZ74" i="3"/>
  <c r="AZ182" i="3"/>
  <c r="AZ271" i="3"/>
  <c r="AZ130" i="3"/>
  <c r="AZ244" i="3"/>
  <c r="AZ239" i="3"/>
  <c r="AZ397" i="3"/>
  <c r="D67" i="71"/>
  <c r="C66" i="71"/>
  <c r="O67" i="71"/>
  <c r="AB24" i="36"/>
  <c r="U24" i="36"/>
  <c r="AC26" i="33"/>
  <c r="W26" i="33"/>
  <c r="W12" i="36"/>
  <c r="AC12" i="36"/>
  <c r="AC39" i="37"/>
  <c r="W39" i="37"/>
  <c r="AB36" i="35"/>
  <c r="U36" i="35"/>
  <c r="AB25" i="35"/>
  <c r="U25" i="35"/>
  <c r="AZ576" i="3"/>
  <c r="U13" i="39"/>
  <c r="AB13" i="39"/>
  <c r="J7" i="37"/>
  <c r="K1" i="73"/>
  <c r="E499" i="3"/>
  <c r="E442" i="3"/>
  <c r="E449" i="3"/>
  <c r="E517" i="3"/>
  <c r="E479" i="3"/>
  <c r="E56" i="3"/>
  <c r="E258" i="3"/>
  <c r="E241" i="3"/>
  <c r="E363" i="3"/>
  <c r="E76" i="3"/>
  <c r="E59" i="3"/>
  <c r="E425" i="3"/>
  <c r="E64" i="3"/>
  <c r="E160" i="3"/>
  <c r="E267" i="3"/>
  <c r="E310" i="3"/>
  <c r="E23" i="3"/>
  <c r="E84" i="3"/>
  <c r="E184" i="3"/>
  <c r="E233" i="3"/>
  <c r="E68" i="3"/>
  <c r="E264" i="3"/>
  <c r="E309" i="3"/>
  <c r="E21" i="3"/>
  <c r="E332" i="3"/>
  <c r="E391" i="3"/>
  <c r="AL6" i="3"/>
  <c r="E18" i="3"/>
  <c r="E129" i="3"/>
  <c r="E235" i="3"/>
  <c r="E86" i="3"/>
  <c r="E206" i="3"/>
  <c r="E251" i="3"/>
  <c r="E113" i="3"/>
  <c r="E287" i="3"/>
  <c r="E308" i="3"/>
  <c r="E205" i="3"/>
  <c r="E140" i="3"/>
  <c r="E197" i="3"/>
  <c r="E525" i="3"/>
  <c r="E534" i="3"/>
  <c r="T6"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E240" i="3"/>
  <c r="E487" i="3"/>
  <c r="E219" i="3"/>
  <c r="W40" i="40"/>
  <c r="AC40" i="40"/>
  <c r="AC12" i="21"/>
  <c r="W12" i="21"/>
  <c r="AB12" i="21"/>
  <c r="U12" i="21"/>
  <c r="AA27" i="34"/>
  <c r="S27" i="34"/>
  <c r="AC26" i="37"/>
  <c r="W26" i="37"/>
  <c r="BL5" i="3"/>
  <c r="B15" i="71"/>
  <c r="B14" i="71"/>
  <c r="B13" i="71"/>
  <c r="B12" i="71"/>
  <c r="S16" i="71"/>
  <c r="F7"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56" i="39"/>
  <c r="H7" i="34"/>
  <c r="AB7" i="34"/>
  <c r="T49" i="34"/>
  <c r="G49" i="34"/>
  <c r="E67" i="39"/>
  <c r="E69" i="39"/>
  <c r="J7" i="34"/>
  <c r="W7" i="34"/>
  <c r="F7" i="34"/>
  <c r="S7" i="34"/>
  <c r="AA26" i="35"/>
  <c r="S26" i="35"/>
  <c r="AC26" i="35"/>
  <c r="W26" i="35"/>
  <c r="AB26" i="35"/>
  <c r="U26" i="35"/>
  <c r="E56" i="40"/>
  <c r="C9" i="69"/>
  <c r="C9" i="68"/>
  <c r="E72" i="43"/>
  <c r="B70" i="43"/>
  <c r="E60" i="40"/>
  <c r="E51" i="40"/>
  <c r="E62" i="39"/>
  <c r="M14" i="1"/>
  <c r="D5" i="43"/>
  <c r="C7" i="43"/>
  <c r="C5" i="43"/>
  <c r="D10" i="52"/>
  <c r="D125" i="9"/>
  <c r="D11" i="52"/>
  <c r="B7" i="74"/>
  <c r="C7" i="74"/>
  <c r="F67" i="39"/>
  <c r="F59" i="67"/>
  <c r="H7" i="37"/>
  <c r="AB7" i="37"/>
  <c r="T42" i="37"/>
  <c r="G42" i="37"/>
  <c r="H7" i="33"/>
  <c r="J7" i="33"/>
  <c r="D65" i="40"/>
  <c r="E63" i="40"/>
  <c r="F48" i="35"/>
  <c r="S7" i="36"/>
  <c r="AA7" i="36"/>
  <c r="R36" i="36"/>
  <c r="AC7" i="37"/>
  <c r="W7" i="37"/>
  <c r="U7" i="36"/>
  <c r="F7" i="33"/>
  <c r="E58" i="21"/>
  <c r="AC7" i="36"/>
  <c r="V36" i="36"/>
  <c r="I36" i="36"/>
  <c r="W7" i="36"/>
  <c r="F7" i="37"/>
  <c r="M17" i="67"/>
  <c r="M17" i="15"/>
  <c r="F59" i="15"/>
  <c r="P28" i="43"/>
  <c r="B66" i="40"/>
  <c r="P25" i="43"/>
  <c r="P29" i="43"/>
  <c r="P27" i="43"/>
  <c r="B70" i="39"/>
  <c r="M11" i="67"/>
  <c r="J10" i="67"/>
  <c r="F11" i="15"/>
  <c r="M11" i="15"/>
  <c r="J10" i="15"/>
  <c r="F11" i="67"/>
  <c r="Q60" i="15"/>
  <c r="AE11" i="1"/>
  <c r="AE9" i="1"/>
  <c r="AE8" i="1"/>
  <c r="AE12" i="1"/>
  <c r="AE10" i="1"/>
  <c r="AE7" i="1"/>
  <c r="C16" i="15"/>
  <c r="G1" i="73"/>
  <c r="C16" i="67"/>
  <c r="AE6" i="1"/>
  <c r="F27" i="69"/>
  <c r="C36" i="69"/>
  <c r="C47" i="69"/>
  <c r="D45" i="69"/>
  <c r="C49" i="67"/>
  <c r="C49" i="15"/>
  <c r="Q52" i="15"/>
  <c r="F1" i="15"/>
  <c r="C53" i="82"/>
  <c r="C48" i="82"/>
  <c r="C10" i="82"/>
  <c r="C5" i="82"/>
  <c r="J26" i="82"/>
  <c r="J24" i="82"/>
  <c r="Q61" i="15"/>
  <c r="J5" i="67"/>
  <c r="J24" i="67"/>
  <c r="Q73" i="67"/>
  <c r="Q52" i="67"/>
  <c r="Q74" i="67"/>
  <c r="J18" i="15"/>
  <c r="J5" i="15"/>
  <c r="J24" i="15"/>
  <c r="H6" i="3"/>
  <c r="AF6" i="3"/>
  <c r="E522" i="3"/>
  <c r="E482" i="3"/>
  <c r="E494" i="3"/>
  <c r="E63" i="3"/>
  <c r="E144" i="3"/>
  <c r="E300" i="3"/>
  <c r="E467" i="3"/>
  <c r="E389" i="3"/>
  <c r="E95" i="3"/>
  <c r="E554" i="3"/>
  <c r="E286" i="3"/>
  <c r="C48" i="11"/>
  <c r="C30" i="11"/>
  <c r="F48" i="68"/>
  <c r="C48" i="68"/>
  <c r="C30" i="68"/>
  <c r="C32" i="15"/>
  <c r="F48" i="69"/>
  <c r="C48" i="69"/>
  <c r="C30" i="69"/>
  <c r="D26" i="43"/>
  <c r="C25" i="43"/>
  <c r="E276" i="3"/>
  <c r="E108" i="3"/>
  <c r="E401" i="3"/>
  <c r="AH6" i="3"/>
  <c r="E422" i="3"/>
  <c r="E543" i="3"/>
  <c r="E105" i="3"/>
  <c r="E16" i="3"/>
  <c r="E158" i="3"/>
  <c r="E49" i="3"/>
  <c r="E220" i="3"/>
  <c r="E428" i="3"/>
  <c r="E115" i="3"/>
  <c r="E420" i="3"/>
  <c r="E497" i="3"/>
  <c r="E408" i="3"/>
  <c r="E405" i="3"/>
  <c r="E173" i="3"/>
  <c r="E22" i="3"/>
  <c r="E102" i="3"/>
  <c r="E34" i="3"/>
  <c r="E174" i="3"/>
  <c r="E75" i="3"/>
  <c r="E198" i="3"/>
  <c r="E283" i="3"/>
  <c r="E381" i="3"/>
  <c r="E67" i="3"/>
  <c r="E371" i="3"/>
  <c r="E103" i="3"/>
  <c r="E409" i="3"/>
  <c r="E349" i="3"/>
  <c r="E192" i="3"/>
  <c r="E435" i="3"/>
  <c r="E430" i="3"/>
  <c r="E212" i="3"/>
  <c r="F45" i="69"/>
  <c r="E383" i="3"/>
  <c r="E96" i="3"/>
  <c r="E42" i="3"/>
  <c r="E281" i="3"/>
  <c r="E513" i="3"/>
  <c r="E81" i="3"/>
  <c r="E355" i="3"/>
  <c r="E33" i="3"/>
  <c r="E492" i="3"/>
  <c r="E249" i="3"/>
  <c r="E46" i="3"/>
  <c r="E484" i="3"/>
  <c r="E544" i="3"/>
  <c r="E292" i="3"/>
  <c r="E152" i="3"/>
  <c r="E417" i="3"/>
  <c r="E255" i="3"/>
  <c r="E502" i="3"/>
  <c r="E536" i="3"/>
  <c r="AP6" i="3"/>
  <c r="AC6" i="3"/>
  <c r="E6" i="3"/>
  <c r="F27" i="11"/>
  <c r="C29" i="11"/>
  <c r="D27" i="11"/>
  <c r="F28" i="12"/>
  <c r="C29" i="12"/>
  <c r="D28" i="12"/>
  <c r="E16" i="6"/>
  <c r="E61" i="39"/>
  <c r="F27" i="68"/>
  <c r="C47" i="68"/>
  <c r="D45" i="68"/>
  <c r="C29" i="69"/>
  <c r="D27" i="69"/>
  <c r="E63" i="39"/>
  <c r="E59" i="40"/>
  <c r="E37" i="3"/>
  <c r="E491" i="3"/>
  <c r="E466" i="3"/>
  <c r="E575" i="3"/>
  <c r="E539" i="3"/>
  <c r="I3" i="6"/>
  <c r="E541" i="3"/>
  <c r="R6" i="3"/>
  <c r="E199" i="3"/>
  <c r="AA10" i="39"/>
  <c r="F10" i="40"/>
  <c r="S10" i="40"/>
  <c r="H10" i="39"/>
  <c r="U10" i="39"/>
  <c r="H10" i="40"/>
  <c r="AB10" i="40"/>
  <c r="J10" i="40"/>
  <c r="AC10" i="40"/>
  <c r="J10" i="39"/>
  <c r="W10" i="39"/>
  <c r="AY176" i="3"/>
  <c r="D3" i="21"/>
  <c r="O65" i="71"/>
  <c r="D66" i="71"/>
  <c r="O66" i="71"/>
  <c r="T40" i="71"/>
  <c r="D40" i="71"/>
  <c r="T52" i="71"/>
  <c r="D52" i="71"/>
  <c r="D22" i="71"/>
  <c r="C21" i="71"/>
  <c r="E30" i="6"/>
  <c r="E31" i="6"/>
  <c r="D56" i="71"/>
  <c r="T56" i="71"/>
  <c r="F30" i="6"/>
  <c r="F31" i="6"/>
  <c r="B40" i="1"/>
  <c r="V42" i="37"/>
  <c r="I42" i="37"/>
  <c r="B11" i="71"/>
  <c r="B10" i="71"/>
  <c r="B9" i="71"/>
  <c r="B8" i="71"/>
  <c r="B7" i="71"/>
  <c r="B6" i="71"/>
  <c r="B5" i="71"/>
  <c r="S12" i="71"/>
  <c r="E11" i="71"/>
  <c r="E10" i="71"/>
  <c r="E9" i="71"/>
  <c r="E8" i="71"/>
  <c r="E7" i="71"/>
  <c r="E6" i="71"/>
  <c r="E5" i="71"/>
  <c r="V12"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6" i="69"/>
  <c r="C7" i="69"/>
  <c r="C41" i="43"/>
  <c r="K21" i="6"/>
  <c r="S8" i="1"/>
  <c r="E8" i="70"/>
  <c r="K25" i="6"/>
  <c r="K20" i="6"/>
  <c r="K23" i="6"/>
  <c r="K22" i="6"/>
  <c r="K24" i="6"/>
  <c r="O14" i="1"/>
  <c r="O16" i="1"/>
  <c r="M16" i="1"/>
  <c r="AY188" i="3"/>
  <c r="AY335" i="3"/>
  <c r="AY209" i="3"/>
  <c r="AY260" i="3"/>
  <c r="AY549" i="3"/>
  <c r="AY44" i="3"/>
  <c r="AY283" i="3"/>
  <c r="AY360" i="3"/>
  <c r="AY295" i="3"/>
  <c r="AY475" i="3"/>
  <c r="AY534" i="3"/>
  <c r="AY387" i="3"/>
  <c r="AY562" i="3"/>
  <c r="AY302" i="3"/>
  <c r="AY279" i="3"/>
  <c r="BN6" i="3"/>
  <c r="AY31" i="3"/>
  <c r="AY478" i="3"/>
  <c r="AY173" i="3"/>
  <c r="AY29" i="3"/>
  <c r="AY419"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14" i="12"/>
  <c r="M20" i="6"/>
  <c r="I20" i="6"/>
  <c r="L18" i="9"/>
  <c r="C39" i="43"/>
  <c r="C42" i="43"/>
  <c r="E42" i="43"/>
  <c r="C38" i="43"/>
  <c r="W10" i="40"/>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C53" i="67"/>
  <c r="C10" i="67"/>
  <c r="C5" i="67"/>
  <c r="C38" i="67"/>
  <c r="C53" i="15"/>
  <c r="C10" i="15"/>
  <c r="C5" i="15"/>
  <c r="C38" i="15"/>
  <c r="F41" i="67"/>
  <c r="F41" i="15"/>
  <c r="M27" i="15"/>
  <c r="M27" i="67"/>
  <c r="F41" i="82"/>
  <c r="F69" i="67"/>
  <c r="C48" i="15"/>
  <c r="C66" i="15"/>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480" i="3"/>
  <c r="AY507" i="3"/>
  <c r="AY20" i="3"/>
  <c r="AY212" i="3"/>
  <c r="AY49" i="3"/>
  <c r="AY435" i="3"/>
  <c r="AY40" i="3"/>
  <c r="AY146" i="3"/>
  <c r="AY481" i="3"/>
  <c r="AY90" i="3"/>
  <c r="BQ6" i="3"/>
  <c r="AY348" i="3"/>
  <c r="AY166" i="3"/>
  <c r="AY397" i="3"/>
  <c r="AY133" i="3"/>
  <c r="AY61" i="3"/>
  <c r="AY420" i="3"/>
  <c r="AY26" i="3"/>
  <c r="AY261" i="3"/>
  <c r="AY225" i="3"/>
  <c r="AY115"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341" i="3"/>
  <c r="AY227" i="3"/>
  <c r="AY100" i="3"/>
  <c r="AY497" i="3"/>
  <c r="AY577" i="3"/>
  <c r="AY467" i="3"/>
  <c r="BS6" i="3"/>
  <c r="AY36" i="3"/>
  <c r="AY244" i="3"/>
  <c r="AY501" i="3"/>
  <c r="AY398" i="3"/>
  <c r="AY353" i="3"/>
  <c r="AY56" i="3"/>
  <c r="AY230" i="3"/>
  <c r="AY154" i="3"/>
  <c r="AY97" i="3"/>
  <c r="AY310" i="3"/>
  <c r="AY441" i="3"/>
  <c r="AY289" i="3"/>
  <c r="AY2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25" i="6"/>
  <c r="AY579" i="3"/>
  <c r="AY410" i="3"/>
  <c r="AY453" i="3"/>
  <c r="AY487" i="3"/>
  <c r="AY313" i="3"/>
  <c r="AY369" i="3"/>
  <c r="AY266" i="3"/>
  <c r="AY129" i="3"/>
  <c r="AY189" i="3"/>
  <c r="AY80" i="3"/>
  <c r="AY519" i="3"/>
  <c r="AY584" i="3"/>
  <c r="AY536" i="3"/>
  <c r="AY275" i="3"/>
  <c r="AY286" i="3"/>
  <c r="AY573" i="3"/>
  <c r="AY350" i="3"/>
  <c r="AY508" i="3"/>
  <c r="AY356" i="3"/>
  <c r="AY222" i="3"/>
  <c r="AY89" i="3"/>
  <c r="AY425" i="3"/>
  <c r="AY495" i="3"/>
  <c r="AY462" i="3"/>
  <c r="AY242" i="3"/>
  <c r="AY109" i="3"/>
  <c r="AY247" i="3"/>
  <c r="AY190" i="3"/>
  <c r="AY533" i="3"/>
  <c r="AY372" i="3"/>
  <c r="AY473" i="3"/>
  <c r="AY50" i="3"/>
  <c r="AY276" i="3"/>
  <c r="AY66" i="3"/>
  <c r="C48" i="67"/>
  <c r="C66" i="67"/>
  <c r="F69" i="82"/>
  <c r="J29" i="82"/>
  <c r="L36" i="43"/>
  <c r="L37" i="43"/>
  <c r="P37" i="43"/>
  <c r="F24" i="82"/>
  <c r="F22" i="81"/>
  <c r="L36" i="80"/>
  <c r="C38" i="82"/>
  <c r="C66" i="82"/>
  <c r="C60" i="82"/>
  <c r="AB10" i="39"/>
  <c r="F45" i="68"/>
  <c r="C29" i="68"/>
  <c r="D27" i="68"/>
  <c r="AA10" i="40"/>
  <c r="E65" i="39"/>
  <c r="D3" i="37"/>
  <c r="D37" i="11"/>
  <c r="D3" i="33"/>
  <c r="D3" i="34"/>
  <c r="E6" i="6"/>
  <c r="D19" i="11"/>
  <c r="C19" i="11"/>
  <c r="C17" i="4"/>
  <c r="B4" i="52"/>
  <c r="B43" i="72"/>
  <c r="M18" i="9"/>
  <c r="B118" i="9"/>
  <c r="B1" i="74"/>
  <c r="U10" i="40"/>
  <c r="F25" i="12"/>
  <c r="C26" i="12"/>
  <c r="D25" i="12"/>
  <c r="AC10" i="39"/>
  <c r="D21" i="71"/>
  <c r="C20" i="71"/>
  <c r="D116" i="43"/>
  <c r="F22" i="68"/>
  <c r="C44" i="68"/>
  <c r="D41" i="68"/>
  <c r="F22" i="11"/>
  <c r="C23" i="11"/>
  <c r="F24" i="67"/>
  <c r="C24" i="67"/>
  <c r="F24" i="15"/>
  <c r="C24" i="15"/>
  <c r="F22" i="69"/>
  <c r="F41" i="69"/>
  <c r="E49" i="34"/>
  <c r="M21" i="6"/>
  <c r="I21" i="6"/>
  <c r="S21" i="6"/>
  <c r="E6" i="70"/>
  <c r="C34" i="43"/>
  <c r="E34" i="43"/>
  <c r="F69" i="15"/>
  <c r="E33" i="43"/>
  <c r="M24" i="6"/>
  <c r="I24" i="6"/>
  <c r="S24" i="6"/>
  <c r="S11" i="1"/>
  <c r="E11" i="70"/>
  <c r="M22" i="6"/>
  <c r="I22" i="6"/>
  <c r="S22" i="6"/>
  <c r="S9" i="1"/>
  <c r="AQ8" i="1"/>
  <c r="T8" i="1"/>
  <c r="AR8" i="1"/>
  <c r="S20" i="6"/>
  <c r="S7" i="1"/>
  <c r="E7" i="70"/>
  <c r="AQ6" i="1"/>
  <c r="AR6" i="1"/>
  <c r="T6" i="1"/>
  <c r="M23" i="6"/>
  <c r="I23" i="6"/>
  <c r="S23" i="6"/>
  <c r="S10" i="1"/>
  <c r="E10" i="70"/>
  <c r="M25" i="6"/>
  <c r="I25" i="6"/>
  <c r="S25" i="6"/>
  <c r="S12" i="1"/>
  <c r="K27" i="6"/>
  <c r="C20" i="11"/>
  <c r="C28" i="11"/>
  <c r="C27" i="11"/>
  <c r="D17" i="12"/>
  <c r="C17" i="12"/>
  <c r="D10" i="11"/>
  <c r="C10" i="11"/>
  <c r="D20" i="12"/>
  <c r="C20" i="12"/>
  <c r="C18" i="12"/>
  <c r="D21" i="6"/>
  <c r="D26" i="6"/>
  <c r="D9" i="6"/>
  <c r="H24" i="6"/>
  <c r="D5" i="6"/>
  <c r="D28"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D10" i="68"/>
  <c r="D10" i="69"/>
  <c r="C17" i="67"/>
  <c r="C17" i="15"/>
  <c r="C34" i="69"/>
  <c r="C14" i="67"/>
  <c r="C60" i="67"/>
  <c r="D13" i="6"/>
  <c r="D23" i="6"/>
  <c r="H21" i="6"/>
  <c r="D6" i="6"/>
  <c r="H26" i="6"/>
  <c r="D11" i="6"/>
  <c r="D15" i="6"/>
  <c r="D22" i="6"/>
  <c r="H22" i="6"/>
  <c r="R22" i="6"/>
  <c r="R9" i="1"/>
  <c r="C18" i="4"/>
  <c r="D29" i="6"/>
  <c r="D14" i="6"/>
  <c r="D20" i="6"/>
  <c r="M19" i="9"/>
  <c r="C118" i="9"/>
  <c r="B2" i="74"/>
  <c r="D7" i="74"/>
  <c r="E61" i="40"/>
  <c r="D12" i="6"/>
  <c r="D10" i="6"/>
  <c r="D8" i="6"/>
  <c r="D16" i="6"/>
  <c r="D24" i="6"/>
  <c r="O37" i="43"/>
  <c r="P36" i="43"/>
  <c r="O36" i="43"/>
  <c r="Q37" i="43"/>
  <c r="M36" i="43"/>
  <c r="M37" i="43"/>
  <c r="N36" i="43"/>
  <c r="N37" i="43"/>
  <c r="Q36" i="43"/>
  <c r="P36" i="80"/>
  <c r="N36" i="80"/>
  <c r="O36" i="80"/>
  <c r="Q36" i="80"/>
  <c r="L37" i="80"/>
  <c r="M36" i="80"/>
  <c r="F41" i="81"/>
  <c r="C26" i="81"/>
  <c r="D22" i="81"/>
  <c r="C24" i="81"/>
  <c r="C44" i="81"/>
  <c r="D41" i="81"/>
  <c r="C42" i="81"/>
  <c r="C43" i="81"/>
  <c r="C23" i="81"/>
  <c r="C25" i="81"/>
  <c r="C24" i="82"/>
  <c r="C23" i="82"/>
  <c r="D30" i="6"/>
  <c r="H25" i="6"/>
  <c r="C44" i="11"/>
  <c r="D41" i="11"/>
  <c r="C26" i="11"/>
  <c r="D22" i="11"/>
  <c r="D20" i="71"/>
  <c r="U20" i="71"/>
  <c r="T20" i="71"/>
  <c r="C19" i="71"/>
  <c r="C26" i="68"/>
  <c r="D22" i="68"/>
  <c r="F41" i="68"/>
  <c r="C23" i="68"/>
  <c r="C25" i="11"/>
  <c r="C24" i="11"/>
  <c r="C44" i="69"/>
  <c r="D41" i="69"/>
  <c r="C26" i="69"/>
  <c r="D22" i="69"/>
  <c r="C18" i="67"/>
  <c r="C15" i="67"/>
  <c r="H23" i="6"/>
  <c r="R23" i="6"/>
  <c r="R10" i="1"/>
  <c r="C30" i="43"/>
  <c r="B2" i="43"/>
  <c r="B3" i="43"/>
  <c r="C31" i="43"/>
  <c r="H20" i="6"/>
  <c r="C38" i="69"/>
  <c r="C35" i="69"/>
  <c r="E12" i="70"/>
  <c r="F34" i="11"/>
  <c r="F11" i="12"/>
  <c r="S16" i="1"/>
  <c r="E9" i="70"/>
  <c r="E2" i="70"/>
  <c r="AR9" i="1"/>
  <c r="AQ9" i="1"/>
  <c r="T9" i="1"/>
  <c r="AQ11" i="1"/>
  <c r="AR11" i="1"/>
  <c r="T11" i="1"/>
  <c r="AR12" i="1"/>
  <c r="T12" i="1"/>
  <c r="AQ12" i="1"/>
  <c r="AQ10" i="1"/>
  <c r="T10" i="1"/>
  <c r="AR10" i="1"/>
  <c r="AR7" i="1"/>
  <c r="AQ7" i="1"/>
  <c r="T7" i="1"/>
  <c r="M27" i="6"/>
  <c r="R26" i="6"/>
  <c r="R24" i="6"/>
  <c r="R11" i="1"/>
  <c r="C15" i="12"/>
  <c r="C12" i="12"/>
  <c r="D27" i="6"/>
  <c r="R21" i="6"/>
  <c r="R8" i="1"/>
  <c r="C10" i="69"/>
  <c r="C8" i="69"/>
  <c r="C5" i="69"/>
  <c r="D19" i="69"/>
  <c r="C4" i="52"/>
  <c r="B45" i="72"/>
  <c r="A10" i="51"/>
  <c r="B9" i="72"/>
  <c r="A7" i="51"/>
  <c r="B7" i="72"/>
  <c r="R25" i="6"/>
  <c r="R12" i="1"/>
  <c r="C10" i="68"/>
  <c r="D19" i="68"/>
  <c r="H69" i="39"/>
  <c r="I67" i="39"/>
  <c r="G65" i="40"/>
  <c r="H63" i="40"/>
  <c r="C43" i="37"/>
  <c r="C42" i="37"/>
  <c r="I48" i="35"/>
  <c r="C48" i="33"/>
  <c r="C49" i="33"/>
  <c r="H58" i="21"/>
  <c r="E47" i="37"/>
  <c r="F47" i="37"/>
  <c r="E46" i="37"/>
  <c r="F46" i="37"/>
  <c r="I47" i="37"/>
  <c r="J47" i="37"/>
  <c r="E53" i="33"/>
  <c r="F53" i="33"/>
  <c r="E52" i="33"/>
  <c r="F52" i="33"/>
  <c r="C33" i="15"/>
  <c r="C33" i="67"/>
  <c r="J19" i="67"/>
  <c r="C34" i="68"/>
  <c r="C14" i="15"/>
  <c r="B6" i="76"/>
  <c r="E6" i="76"/>
  <c r="R20" i="6"/>
  <c r="R7" i="1"/>
  <c r="L19" i="9"/>
  <c r="H19" i="6"/>
  <c r="L19" i="83"/>
  <c r="D31" i="6"/>
  <c r="I6" i="6"/>
  <c r="C22" i="81"/>
  <c r="C31" i="81"/>
  <c r="C29" i="82"/>
  <c r="C13" i="82"/>
  <c r="C41" i="81"/>
  <c r="C49" i="81"/>
  <c r="O37" i="80"/>
  <c r="Q37" i="80"/>
  <c r="M37" i="80"/>
  <c r="N37" i="80"/>
  <c r="P37" i="80"/>
  <c r="C18" i="71"/>
  <c r="D19" i="71"/>
  <c r="C22" i="11"/>
  <c r="C31" i="11"/>
  <c r="C19" i="67"/>
  <c r="T16" i="1"/>
  <c r="C18" i="15"/>
  <c r="C15" i="15"/>
  <c r="C38" i="68"/>
  <c r="C35" i="68"/>
  <c r="C36" i="11"/>
  <c r="C37" i="11"/>
  <c r="C34" i="11"/>
  <c r="C23" i="12"/>
  <c r="C14" i="12"/>
  <c r="C16" i="12"/>
  <c r="C21" i="12"/>
  <c r="C22" i="12"/>
  <c r="S19" i="6"/>
  <c r="S27" i="6"/>
  <c r="I27" i="6"/>
  <c r="C19" i="68"/>
  <c r="D37" i="68"/>
  <c r="C37" i="68"/>
  <c r="C19" i="69"/>
  <c r="C24" i="69"/>
  <c r="D37" i="69"/>
  <c r="C37" i="69"/>
  <c r="C33" i="69"/>
  <c r="I5" i="6"/>
  <c r="C23" i="69"/>
  <c r="E2" i="76"/>
  <c r="B2" i="76"/>
  <c r="I69" i="39"/>
  <c r="J67" i="39"/>
  <c r="I63" i="40"/>
  <c r="H65" i="40"/>
  <c r="I58" i="21"/>
  <c r="J58" i="21"/>
  <c r="K58" i="21"/>
  <c r="L58" i="21"/>
  <c r="M58" i="21"/>
  <c r="N58" i="21"/>
  <c r="O58" i="21"/>
  <c r="H7" i="21"/>
  <c r="J48" i="35"/>
  <c r="C20" i="67"/>
  <c r="C26" i="67"/>
  <c r="C36" i="82"/>
  <c r="J59" i="82"/>
  <c r="J60" i="82"/>
  <c r="L46" i="82"/>
  <c r="J14" i="82"/>
  <c r="J22" i="82"/>
  <c r="Q49" i="82"/>
  <c r="C57" i="82"/>
  <c r="C64" i="82"/>
  <c r="C56" i="82"/>
  <c r="C65" i="82"/>
  <c r="C75" i="82"/>
  <c r="Q70" i="82"/>
  <c r="C37" i="82"/>
  <c r="C17" i="71"/>
  <c r="D18" i="71"/>
  <c r="F7" i="21"/>
  <c r="S7" i="21"/>
  <c r="J7" i="21"/>
  <c r="AC7" i="21"/>
  <c r="V48" i="21"/>
  <c r="I48" i="21"/>
  <c r="C19" i="15"/>
  <c r="C33" i="68"/>
  <c r="C91" i="83"/>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J13" i="82"/>
  <c r="J23" i="82"/>
  <c r="C94" i="83"/>
  <c r="C92" i="83"/>
  <c r="I91" i="9"/>
  <c r="C88" i="9"/>
  <c r="C89" i="9"/>
  <c r="C87" i="9"/>
  <c r="C23" i="67"/>
  <c r="C29" i="67"/>
  <c r="J59" i="67"/>
  <c r="J60" i="67"/>
  <c r="Q48" i="67"/>
  <c r="C39" i="68"/>
  <c r="C46" i="68"/>
  <c r="C45" i="68"/>
  <c r="C91" i="9"/>
  <c r="C20" i="15"/>
  <c r="C26" i="15"/>
  <c r="Q48" i="82"/>
  <c r="C16" i="71"/>
  <c r="D17" i="71"/>
  <c r="W7" i="21"/>
  <c r="AA7" i="21"/>
  <c r="R48" i="21"/>
  <c r="R49" i="21"/>
  <c r="J7" i="35"/>
  <c r="W7" i="35"/>
  <c r="C33" i="11"/>
  <c r="C39" i="11"/>
  <c r="C61" i="67"/>
  <c r="C42" i="68"/>
  <c r="C32" i="12"/>
  <c r="B2" i="12"/>
  <c r="B3" i="12"/>
  <c r="C41" i="69"/>
  <c r="R27" i="6"/>
  <c r="R6" i="1"/>
  <c r="C46" i="69"/>
  <c r="C45" i="69"/>
  <c r="C25" i="69"/>
  <c r="C22" i="69"/>
  <c r="C31" i="69"/>
  <c r="C25" i="68"/>
  <c r="C22" i="68"/>
  <c r="C31" i="68"/>
  <c r="L67" i="39"/>
  <c r="K69" i="39"/>
  <c r="J65" i="40"/>
  <c r="K63" i="40"/>
  <c r="I52" i="21"/>
  <c r="J52" i="21"/>
  <c r="U7" i="35"/>
  <c r="AB7" i="35"/>
  <c r="T38" i="35"/>
  <c r="G38" i="35"/>
  <c r="E48" i="21"/>
  <c r="G52" i="21"/>
  <c r="H52" i="21"/>
  <c r="G53" i="21"/>
  <c r="H53" i="21"/>
  <c r="F7" i="35"/>
  <c r="F35" i="15"/>
  <c r="F35" i="67"/>
  <c r="M21" i="15"/>
  <c r="M21" i="82"/>
  <c r="M21" i="67"/>
  <c r="F35" i="82"/>
  <c r="J14" i="67"/>
  <c r="J13" i="67"/>
  <c r="J23" i="67"/>
  <c r="Q49" i="67"/>
  <c r="C43" i="68"/>
  <c r="C41" i="68"/>
  <c r="C49" i="68"/>
  <c r="C13" i="67"/>
  <c r="Q70" i="67"/>
  <c r="C57" i="67"/>
  <c r="C64" i="67"/>
  <c r="C36" i="67"/>
  <c r="C23" i="15"/>
  <c r="C29" i="15"/>
  <c r="C36" i="15"/>
  <c r="C92" i="9"/>
  <c r="C94" i="9"/>
  <c r="F63" i="82"/>
  <c r="C62" i="82"/>
  <c r="C59" i="82"/>
  <c r="C58" i="82"/>
  <c r="C67" i="82"/>
  <c r="C68" i="82"/>
  <c r="C34" i="82"/>
  <c r="C31" i="82"/>
  <c r="C30" i="82"/>
  <c r="C39" i="82"/>
  <c r="J20" i="82"/>
  <c r="J17" i="82"/>
  <c r="J16" i="82"/>
  <c r="J25" i="82"/>
  <c r="T16" i="71"/>
  <c r="D16" i="71"/>
  <c r="U16" i="71"/>
  <c r="C15" i="71"/>
  <c r="AC7" i="35"/>
  <c r="V38" i="35"/>
  <c r="I38" i="35"/>
  <c r="G43" i="35"/>
  <c r="H43" i="35"/>
  <c r="J22" i="67"/>
  <c r="C46" i="11"/>
  <c r="C45" i="11"/>
  <c r="C43" i="11"/>
  <c r="C42" i="11"/>
  <c r="C34" i="67"/>
  <c r="C31" i="67"/>
  <c r="F63" i="67"/>
  <c r="C62" i="67"/>
  <c r="C59" i="67"/>
  <c r="J20" i="67"/>
  <c r="J17" i="67"/>
  <c r="J19" i="15"/>
  <c r="F63" i="15"/>
  <c r="C62" i="15"/>
  <c r="C34" i="15"/>
  <c r="J20" i="15"/>
  <c r="R16" i="1"/>
  <c r="C49" i="69"/>
  <c r="L69" i="39"/>
  <c r="M67" i="39"/>
  <c r="S7" i="35"/>
  <c r="AA7" i="35"/>
  <c r="R38" i="35"/>
  <c r="C49" i="21"/>
  <c r="C48" i="21"/>
  <c r="E52" i="21"/>
  <c r="F52" i="21"/>
  <c r="E53" i="21"/>
  <c r="F53" i="21"/>
  <c r="G42" i="35"/>
  <c r="H42" i="35"/>
  <c r="I53" i="21"/>
  <c r="J53" i="21"/>
  <c r="K65" i="40"/>
  <c r="L63" i="40"/>
  <c r="L51" i="82"/>
  <c r="C75" i="67"/>
  <c r="C37" i="67"/>
  <c r="C13" i="15"/>
  <c r="Q70" i="15"/>
  <c r="C56" i="67"/>
  <c r="C65" i="67"/>
  <c r="C58" i="67"/>
  <c r="C67" i="67"/>
  <c r="C68" i="67"/>
  <c r="C71" i="67"/>
  <c r="J14" i="15"/>
  <c r="J13" i="15"/>
  <c r="J23" i="15"/>
  <c r="C57" i="15"/>
  <c r="Q49" i="15"/>
  <c r="J59" i="15"/>
  <c r="J60" i="15"/>
  <c r="Q48" i="15"/>
  <c r="Q67" i="82"/>
  <c r="Q69" i="82"/>
  <c r="Q68" i="82"/>
  <c r="C40" i="82"/>
  <c r="C80" i="82"/>
  <c r="C79" i="82"/>
  <c r="C71" i="82"/>
  <c r="I42" i="35"/>
  <c r="J42" i="35"/>
  <c r="C14" i="71"/>
  <c r="D15" i="71"/>
  <c r="J16" i="67"/>
  <c r="J25" i="67"/>
  <c r="J26" i="67"/>
  <c r="J29" i="67"/>
  <c r="C30" i="67"/>
  <c r="C39" i="67"/>
  <c r="Q69" i="67"/>
  <c r="Q68" i="67"/>
  <c r="C41" i="11"/>
  <c r="C49" i="11"/>
  <c r="C61" i="15"/>
  <c r="C59" i="15"/>
  <c r="C64" i="15"/>
  <c r="C37" i="15"/>
  <c r="J17" i="15"/>
  <c r="C31" i="15"/>
  <c r="M69" i="39"/>
  <c r="N67" i="39"/>
  <c r="R39" i="35"/>
  <c r="E38" i="35"/>
  <c r="M63" i="40"/>
  <c r="L65" i="40"/>
  <c r="D2" i="21"/>
  <c r="C75" i="15"/>
  <c r="C56" i="15"/>
  <c r="C65" i="15"/>
  <c r="J22" i="15"/>
  <c r="J16" i="15"/>
  <c r="J25" i="15"/>
  <c r="J26" i="15"/>
  <c r="J29" i="15"/>
  <c r="Q65" i="82"/>
  <c r="Q75" i="82"/>
  <c r="Q56" i="82"/>
  <c r="Q62" i="82"/>
  <c r="Q47" i="82"/>
  <c r="Q53" i="82"/>
  <c r="C83" i="82"/>
  <c r="C82" i="82"/>
  <c r="C43" i="82"/>
  <c r="D2" i="82"/>
  <c r="C45" i="82"/>
  <c r="C46" i="82"/>
  <c r="D14" i="71"/>
  <c r="C13" i="71"/>
  <c r="C80" i="67"/>
  <c r="C79" i="67"/>
  <c r="C40" i="67"/>
  <c r="C45" i="67"/>
  <c r="B2" i="21"/>
  <c r="B3" i="21"/>
  <c r="C58" i="15"/>
  <c r="C67" i="15"/>
  <c r="C68" i="15"/>
  <c r="C71" i="15"/>
  <c r="C30" i="15"/>
  <c r="C39" i="15"/>
  <c r="Q69" i="15"/>
  <c r="Q68" i="15"/>
  <c r="O67" i="39"/>
  <c r="O69" i="39"/>
  <c r="N69" i="39"/>
  <c r="F7" i="39"/>
  <c r="C39" i="35"/>
  <c r="C38" i="35"/>
  <c r="N63" i="40"/>
  <c r="M65" i="40"/>
  <c r="E43" i="35"/>
  <c r="F43" i="35"/>
  <c r="E42" i="35"/>
  <c r="F42" i="35"/>
  <c r="I43" i="35"/>
  <c r="J43" i="35"/>
  <c r="D2" i="33"/>
  <c r="L51" i="67"/>
  <c r="B3" i="82"/>
  <c r="B2" i="82"/>
  <c r="C12" i="71"/>
  <c r="D13"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4"/>
  <c r="D19" i="9"/>
  <c r="D19" i="83"/>
  <c r="L51" i="15"/>
  <c r="D2" i="37"/>
  <c r="D2" i="35"/>
  <c r="D2" i="36"/>
  <c r="D21" i="83"/>
  <c r="D102" i="83"/>
  <c r="D102" i="9"/>
  <c r="D21" i="9"/>
  <c r="D12" i="71"/>
  <c r="U12" i="71"/>
  <c r="C11" i="71"/>
  <c r="T12"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2" i="1"/>
  <c r="AO7" i="1"/>
  <c r="AO8" i="1"/>
  <c r="D20" i="9"/>
  <c r="AO6" i="1"/>
  <c r="D20" i="83"/>
  <c r="AO9" i="1"/>
  <c r="AO10" i="1"/>
  <c r="AO11" i="1"/>
  <c r="D103" i="83"/>
  <c r="D103" i="9"/>
  <c r="C10" i="71"/>
  <c r="D11"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10" i="71"/>
  <c r="C9"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9" i="71"/>
  <c r="C8"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D6" i="71"/>
  <c r="C5" i="71"/>
  <c r="D5" i="71"/>
  <c r="M24" i="43"/>
  <c r="J14" i="74"/>
  <c r="E14" i="74"/>
  <c r="F14" i="74"/>
  <c r="D59" i="9"/>
  <c r="M55" i="9"/>
  <c r="D59" i="83"/>
  <c r="M55" i="83"/>
  <c r="N16" i="1"/>
  <c r="F50" i="81"/>
  <c r="C51" i="81"/>
  <c r="C52" i="81"/>
  <c r="B2" i="81"/>
  <c r="B3" i="81"/>
  <c r="C20" i="83"/>
  <c r="G20" i="83"/>
  <c r="C32" i="83"/>
  <c r="I118" i="83"/>
  <c r="H118" i="83"/>
  <c r="H101" i="83"/>
  <c r="H107" i="83"/>
  <c r="M49" i="83"/>
  <c r="D45" i="83"/>
  <c r="D53" i="83"/>
  <c r="D48" i="83"/>
  <c r="M52" i="83"/>
  <c r="D55" i="83"/>
  <c r="M53" i="83"/>
  <c r="C85" i="83"/>
  <c r="C93" i="83"/>
  <c r="C86" i="83"/>
  <c r="C95" i="83"/>
  <c r="C96" i="83"/>
  <c r="C97" i="83"/>
  <c r="D58" i="83"/>
  <c r="D56" i="83"/>
  <c r="M54" i="83"/>
  <c r="N57" i="83"/>
  <c r="N59" i="83"/>
  <c r="H111" i="83"/>
  <c r="I15" i="74"/>
  <c r="B8" i="74"/>
  <c r="C8" i="74"/>
  <c r="D8" i="74"/>
  <c r="E8" i="74"/>
  <c r="D126" i="83"/>
  <c r="D127" i="83"/>
  <c r="N60" i="83"/>
  <c r="N61" i="83"/>
  <c r="H112" i="83"/>
  <c r="J111" i="83"/>
  <c r="C72" i="83"/>
  <c r="C78" i="83"/>
  <c r="C73" i="83"/>
  <c r="C79" i="83"/>
  <c r="C80" i="83"/>
  <c r="C81" i="83"/>
  <c r="P57" i="83"/>
  <c r="N58" i="83"/>
  <c r="D15" i="74"/>
  <c r="G15" i="74"/>
  <c r="B6" i="74"/>
  <c r="D6" i="74"/>
  <c r="C6" i="74"/>
  <c r="L63" i="83"/>
  <c r="M63" i="83"/>
  <c r="L64" i="83"/>
  <c r="M64" i="83"/>
  <c r="L65" i="83"/>
  <c r="M65" i="83"/>
  <c r="L66" i="83"/>
  <c r="M66" i="83"/>
  <c r="L67" i="83"/>
  <c r="M67" i="83"/>
  <c r="L68" i="83"/>
  <c r="M68" i="83"/>
  <c r="M69" i="83"/>
  <c r="N69" i="83"/>
  <c r="B5" i="74"/>
  <c r="C5" i="74"/>
  <c r="D5" i="74"/>
  <c r="C64" i="83"/>
  <c r="C63" i="83"/>
  <c r="C67" i="83"/>
  <c r="C68" i="83"/>
  <c r="D54" i="83"/>
  <c r="E80" i="83"/>
  <c r="E81" i="83"/>
  <c r="J15" i="74"/>
  <c r="E6" i="74"/>
  <c r="D52" i="83"/>
  <c r="E96" i="83"/>
  <c r="E97" i="83"/>
  <c r="H102" i="83"/>
  <c r="H108" i="83"/>
  <c r="D122" i="83"/>
  <c r="D123" i="83"/>
  <c r="E15" i="74"/>
  <c r="F15" i="74"/>
  <c r="M48" i="83"/>
  <c r="C105" i="83"/>
  <c r="H119" i="83"/>
  <c r="C35" i="83"/>
  <c r="G118" i="83"/>
  <c r="E118" i="83"/>
  <c r="D118" i="83"/>
  <c r="D119" i="83"/>
  <c r="C104" i="83"/>
  <c r="F118" i="83"/>
  <c r="F119" i="83"/>
  <c r="F50" i="69"/>
  <c r="C51" i="69"/>
  <c r="C52" i="69"/>
  <c r="B2" i="69"/>
  <c r="B3" i="69"/>
  <c r="C20" i="9"/>
  <c r="G20" i="9"/>
  <c r="C32" i="9"/>
  <c r="I118" i="9"/>
  <c r="H118" i="9"/>
  <c r="H101" i="9"/>
  <c r="H107" i="9"/>
  <c r="M49" i="9"/>
  <c r="D45" i="9"/>
  <c r="D53" i="9"/>
  <c r="D48" i="9"/>
  <c r="M52" i="9"/>
  <c r="D55" i="9"/>
  <c r="M53" i="9"/>
  <c r="C85" i="9"/>
  <c r="C93" i="9"/>
  <c r="C86" i="9"/>
  <c r="C95" i="9"/>
  <c r="C96" i="9"/>
  <c r="C97" i="9"/>
  <c r="D58" i="9"/>
  <c r="D56" i="9"/>
  <c r="M54" i="9"/>
  <c r="N57" i="9"/>
  <c r="N59" i="9"/>
  <c r="H111" i="9"/>
  <c r="D19" i="53"/>
  <c r="D20" i="53"/>
  <c r="B40" i="72"/>
  <c r="B38" i="72"/>
  <c r="D126" i="9"/>
  <c r="D127" i="9"/>
  <c r="D13" i="52"/>
  <c r="D12" i="52"/>
  <c r="N61" i="9"/>
  <c r="H112" i="9"/>
  <c r="D21" i="53"/>
  <c r="B39" i="72"/>
  <c r="N60" i="9"/>
  <c r="J111" i="9"/>
  <c r="P57" i="9"/>
  <c r="N58" i="9"/>
  <c r="L63" i="9"/>
  <c r="M63" i="9"/>
  <c r="L64" i="9"/>
  <c r="M64" i="9"/>
  <c r="L65" i="9"/>
  <c r="M65" i="9"/>
  <c r="L66" i="9"/>
  <c r="M66" i="9"/>
  <c r="L67" i="9"/>
  <c r="M67" i="9"/>
  <c r="L68" i="9"/>
  <c r="M68" i="9"/>
  <c r="M69" i="9"/>
  <c r="N69" i="9"/>
  <c r="C72" i="9"/>
  <c r="C78" i="9"/>
  <c r="C73" i="9"/>
  <c r="C79" i="9"/>
  <c r="C80" i="9"/>
  <c r="C81" i="9"/>
  <c r="D13" i="53"/>
  <c r="D14" i="53"/>
  <c r="B32" i="72"/>
  <c r="B30" i="72"/>
  <c r="D122" i="9"/>
  <c r="D123" i="9"/>
  <c r="D9" i="52"/>
  <c r="D8" i="52"/>
  <c r="E96" i="9"/>
  <c r="E97" i="9"/>
  <c r="H102" i="9"/>
  <c r="H108" i="9"/>
  <c r="D15" i="53"/>
  <c r="B31" i="72"/>
  <c r="C64" i="9"/>
  <c r="C63" i="9"/>
  <c r="C67" i="9"/>
  <c r="C68" i="9"/>
  <c r="D54" i="9"/>
  <c r="E80" i="9"/>
  <c r="E81" i="9"/>
  <c r="D5" i="53"/>
  <c r="D6" i="53"/>
  <c r="B22" i="72"/>
  <c r="B20" i="72"/>
  <c r="D52" i="9"/>
  <c r="C35" i="9"/>
  <c r="G118" i="9"/>
  <c r="E118" i="9"/>
  <c r="D118" i="9"/>
  <c r="D119" i="9"/>
  <c r="D5" i="52"/>
  <c r="B49" i="72"/>
  <c r="D4" i="52"/>
  <c r="B47" i="72"/>
  <c r="M48" i="9"/>
  <c r="F118" i="9"/>
  <c r="F119" i="9"/>
  <c r="F5" i="52"/>
  <c r="B53" i="72"/>
  <c r="F4" i="52"/>
  <c r="B51" i="72"/>
  <c r="E4" i="52"/>
  <c r="B48" i="72"/>
  <c r="H119" i="9"/>
  <c r="H5" i="52"/>
  <c r="C104" i="9"/>
  <c r="H4" i="52"/>
  <c r="I4" i="52"/>
  <c r="C105" i="9"/>
  <c r="D7" i="53"/>
  <c r="B21" i="72"/>
  <c r="G4" i="52"/>
  <c r="B52" i="72"/>
  <c r="C34" i="9"/>
  <c r="C34" i="83"/>
  <c r="C19" i="9"/>
  <c r="D22" i="9"/>
  <c r="G19" i="9"/>
  <c r="G21" i="9"/>
  <c r="C19" i="83"/>
  <c r="G19" i="83"/>
  <c r="G21" i="83"/>
  <c r="D22" i="83"/>
  <c r="C103" i="83"/>
  <c r="C21" i="83"/>
  <c r="C102" i="83"/>
  <c r="F50" i="11"/>
  <c r="C51" i="11"/>
  <c r="C52" i="11"/>
  <c r="C56" i="11"/>
  <c r="C57" i="11"/>
  <c r="C103" i="9"/>
  <c r="F50" i="68"/>
  <c r="C51" i="68"/>
  <c r="C52" i="68"/>
  <c r="C57" i="68"/>
  <c r="C56" i="68"/>
  <c r="C57" i="69"/>
  <c r="C56" i="69"/>
  <c r="B2" i="11"/>
  <c r="B3" i="11"/>
  <c r="C21" i="9"/>
  <c r="C102" i="9"/>
  <c r="B2" i="68"/>
  <c r="B3" i="68"/>
  <c r="C57" i="81"/>
  <c r="C56"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4343A67-C455-4B89-976C-52E4EF5E9961}">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7FF88407-CDD8-4C37-A6F8-7B4991BED41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F016F9B6-A2A7-4345-BFE5-48F4C6533E69}">
      <text>
        <r>
          <rPr>
            <sz val="11"/>
            <color indexed="81"/>
            <rFont val="宋体"/>
            <family val="3"/>
            <charset val="134"/>
          </rPr>
          <t>需在下方列示计算过程</t>
        </r>
        <r>
          <rPr>
            <sz val="9"/>
            <color indexed="81"/>
            <rFont val="宋体"/>
            <family val="3"/>
            <charset val="134"/>
          </rPr>
          <t xml:space="preserve">
</t>
        </r>
      </text>
    </comment>
    <comment ref="H75" authorId="2" shapeId="0" xr:uid="{34281551-40FF-4FF6-989B-6E9AFBAC1C2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1A45D6E7-6D65-4775-9A88-B7D079380380}">
      <text>
        <r>
          <rPr>
            <b/>
            <sz val="9"/>
            <color indexed="81"/>
            <rFont val="宋体"/>
            <family val="3"/>
            <charset val="134"/>
          </rPr>
          <t>对应区片地价表</t>
        </r>
        <r>
          <rPr>
            <sz val="9"/>
            <color indexed="81"/>
            <rFont val="宋体"/>
            <family val="3"/>
            <charset val="134"/>
          </rPr>
          <t xml:space="preserve">
</t>
        </r>
      </text>
    </comment>
    <comment ref="Y9" authorId="1" shapeId="0" xr:uid="{4124F023-8A38-4F48-842A-687DC049510E}">
      <text>
        <r>
          <rPr>
            <sz val="11"/>
            <color indexed="81"/>
            <rFont val="宋体"/>
            <family val="3"/>
            <charset val="134"/>
          </rPr>
          <t xml:space="preserve">录入层数，将对应的结果录入至左侧相应层的楼层修正系数单元格中
</t>
        </r>
      </text>
    </comment>
    <comment ref="C16" authorId="1" shapeId="0" xr:uid="{BD0BB05F-C3F9-461F-98DB-7F689AB0874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259338B-083A-44F2-B1A9-260B0A499A10}">
      <text>
        <r>
          <rPr>
            <sz val="12"/>
            <color indexed="81"/>
            <rFont val="宋体"/>
            <family val="3"/>
            <charset val="134"/>
          </rPr>
          <t>1.05~1.1</t>
        </r>
        <r>
          <rPr>
            <sz val="9"/>
            <color indexed="81"/>
            <rFont val="宋体"/>
            <family val="3"/>
            <charset val="134"/>
          </rPr>
          <t xml:space="preserve">
</t>
        </r>
      </text>
    </comment>
    <comment ref="E16" authorId="1" shapeId="0" xr:uid="{55A46050-EC3A-4335-960A-7FBB82BC05C6}">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F30FB93-EED6-42F9-B847-A5D64B0A535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750E91F9-C55B-43EC-8FEA-86A237C597E3}">
      <text>
        <r>
          <rPr>
            <b/>
            <sz val="14"/>
            <color indexed="81"/>
            <rFont val="宋体"/>
            <family val="3"/>
            <charset val="134"/>
          </rPr>
          <t>工业选“中心城区”</t>
        </r>
        <r>
          <rPr>
            <sz val="9"/>
            <color indexed="81"/>
            <rFont val="宋体"/>
            <family val="3"/>
            <charset val="134"/>
          </rPr>
          <t xml:space="preserve">
</t>
        </r>
      </text>
    </comment>
    <comment ref="B35" authorId="4" shapeId="0" xr:uid="{FB14877F-15C4-45AD-A402-84E34F197CD8}">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3D26C5C-E9B8-4914-9870-DA8373305FBA}">
      <text>
        <r>
          <rPr>
            <sz val="9"/>
            <color indexed="81"/>
            <rFont val="宋体"/>
            <family val="3"/>
            <charset val="134"/>
          </rPr>
          <t xml:space="preserve">需在此处填写剩余土地年限
</t>
        </r>
      </text>
    </comment>
    <comment ref="C111" authorId="0" shapeId="0" xr:uid="{897925C9-B3DC-444D-B5FB-1ECF70CCFA85}">
      <text>
        <r>
          <rPr>
            <b/>
            <sz val="9"/>
            <color indexed="81"/>
            <rFont val="宋体"/>
            <family val="3"/>
            <charset val="134"/>
          </rPr>
          <t xml:space="preserve">所在楼层
</t>
        </r>
        <r>
          <rPr>
            <sz val="9"/>
            <color indexed="81"/>
            <rFont val="宋体"/>
            <family val="3"/>
            <charset val="134"/>
          </rPr>
          <t xml:space="preserve">
</t>
        </r>
      </text>
    </comment>
    <comment ref="D111" authorId="0" shapeId="0" xr:uid="{485F1B99-0B11-455F-8A3B-D22EF27260E3}">
      <text>
        <r>
          <rPr>
            <b/>
            <sz val="9"/>
            <color indexed="81"/>
            <rFont val="宋体"/>
            <family val="3"/>
            <charset val="134"/>
          </rPr>
          <t xml:space="preserve">所在楼层
</t>
        </r>
        <r>
          <rPr>
            <sz val="9"/>
            <color indexed="81"/>
            <rFont val="宋体"/>
            <family val="3"/>
            <charset val="134"/>
          </rPr>
          <t xml:space="preserve">
</t>
        </r>
      </text>
    </comment>
    <comment ref="E111" authorId="0" shapeId="0" xr:uid="{BEFCF5CB-64ED-4BF5-909B-E7F3552B24E1}">
      <text>
        <r>
          <rPr>
            <b/>
            <sz val="9"/>
            <color indexed="81"/>
            <rFont val="宋体"/>
            <family val="3"/>
            <charset val="134"/>
          </rPr>
          <t xml:space="preserve">所在楼层
</t>
        </r>
        <r>
          <rPr>
            <sz val="9"/>
            <color indexed="81"/>
            <rFont val="宋体"/>
            <family val="3"/>
            <charset val="134"/>
          </rPr>
          <t xml:space="preserve">
</t>
        </r>
      </text>
    </comment>
    <comment ref="F111" authorId="0" shapeId="0" xr:uid="{23AEA145-58E2-4B0C-A91B-3199B07D257A}">
      <text>
        <r>
          <rPr>
            <b/>
            <sz val="9"/>
            <color indexed="81"/>
            <rFont val="宋体"/>
            <family val="3"/>
            <charset val="134"/>
          </rPr>
          <t xml:space="preserve">所在楼层
</t>
        </r>
        <r>
          <rPr>
            <sz val="9"/>
            <color indexed="81"/>
            <rFont val="宋体"/>
            <family val="3"/>
            <charset val="134"/>
          </rPr>
          <t xml:space="preserve">
</t>
        </r>
      </text>
    </comment>
    <comment ref="G111" authorId="0" shapeId="0" xr:uid="{9011A986-A78B-486C-938C-683E2140EBE6}">
      <text>
        <r>
          <rPr>
            <b/>
            <sz val="9"/>
            <color indexed="81"/>
            <rFont val="宋体"/>
            <family val="3"/>
            <charset val="134"/>
          </rPr>
          <t xml:space="preserve">所在楼层
</t>
        </r>
        <r>
          <rPr>
            <sz val="9"/>
            <color indexed="81"/>
            <rFont val="宋体"/>
            <family val="3"/>
            <charset val="134"/>
          </rPr>
          <t xml:space="preserve">
</t>
        </r>
      </text>
    </comment>
    <comment ref="H111" authorId="0" shapeId="0" xr:uid="{B10D9287-B9A7-4CF9-8D7F-95A453385890}">
      <text>
        <r>
          <rPr>
            <b/>
            <sz val="9"/>
            <color indexed="81"/>
            <rFont val="宋体"/>
            <family val="3"/>
            <charset val="134"/>
          </rPr>
          <t xml:space="preserve">所在楼层
</t>
        </r>
        <r>
          <rPr>
            <sz val="9"/>
            <color indexed="81"/>
            <rFont val="宋体"/>
            <family val="3"/>
            <charset val="134"/>
          </rPr>
          <t xml:space="preserve">
</t>
        </r>
      </text>
    </comment>
    <comment ref="I111" authorId="0" shapeId="0" xr:uid="{4DCDFBE4-F92B-4DCE-B8EA-3A320EF09B7E}">
      <text>
        <r>
          <rPr>
            <b/>
            <sz val="9"/>
            <color indexed="81"/>
            <rFont val="宋体"/>
            <family val="3"/>
            <charset val="134"/>
          </rPr>
          <t xml:space="preserve">所在楼层
</t>
        </r>
        <r>
          <rPr>
            <sz val="9"/>
            <color indexed="81"/>
            <rFont val="宋体"/>
            <family val="3"/>
            <charset val="134"/>
          </rPr>
          <t xml:space="preserve">
</t>
        </r>
      </text>
    </comment>
    <comment ref="J111" authorId="0" shapeId="0" xr:uid="{681110C3-6C40-4000-9324-ABA95B583D48}">
      <text>
        <r>
          <rPr>
            <b/>
            <sz val="9"/>
            <color indexed="81"/>
            <rFont val="宋体"/>
            <family val="3"/>
            <charset val="134"/>
          </rPr>
          <t xml:space="preserve">所在楼层
</t>
        </r>
        <r>
          <rPr>
            <sz val="9"/>
            <color indexed="81"/>
            <rFont val="宋体"/>
            <family val="3"/>
            <charset val="134"/>
          </rPr>
          <t xml:space="preserve">
</t>
        </r>
      </text>
    </comment>
    <comment ref="K111" authorId="0" shapeId="0" xr:uid="{B475385A-53C4-495C-BA64-4F7A34B99E29}">
      <text>
        <r>
          <rPr>
            <b/>
            <sz val="9"/>
            <color indexed="81"/>
            <rFont val="宋体"/>
            <family val="3"/>
            <charset val="134"/>
          </rPr>
          <t xml:space="preserve">所在楼层
</t>
        </r>
        <r>
          <rPr>
            <sz val="9"/>
            <color indexed="81"/>
            <rFont val="宋体"/>
            <family val="3"/>
            <charset val="134"/>
          </rPr>
          <t xml:space="preserve">
</t>
        </r>
      </text>
    </comment>
    <comment ref="L111" authorId="0" shapeId="0" xr:uid="{5B6F5CF1-70E8-47F6-BF92-B810B67AC999}">
      <text>
        <r>
          <rPr>
            <b/>
            <sz val="9"/>
            <color indexed="81"/>
            <rFont val="宋体"/>
            <family val="3"/>
            <charset val="134"/>
          </rPr>
          <t xml:space="preserve">所在楼层
</t>
        </r>
        <r>
          <rPr>
            <sz val="9"/>
            <color indexed="81"/>
            <rFont val="宋体"/>
            <family val="3"/>
            <charset val="134"/>
          </rPr>
          <t xml:space="preserve">
</t>
        </r>
      </text>
    </comment>
    <comment ref="M111" authorId="0" shapeId="0" xr:uid="{6BF5E962-33FE-4FB8-96C8-FD9EA6C7745B}">
      <text>
        <r>
          <rPr>
            <b/>
            <sz val="9"/>
            <color indexed="81"/>
            <rFont val="宋体"/>
            <family val="3"/>
            <charset val="134"/>
          </rPr>
          <t xml:space="preserve">所在楼层
</t>
        </r>
        <r>
          <rPr>
            <sz val="9"/>
            <color indexed="81"/>
            <rFont val="宋体"/>
            <family val="3"/>
            <charset val="134"/>
          </rPr>
          <t xml:space="preserve">
</t>
        </r>
      </text>
    </comment>
    <comment ref="N111" authorId="0" shapeId="0" xr:uid="{E1F6E51B-2BAB-46C5-853F-5A937AB2DC22}">
      <text>
        <r>
          <rPr>
            <b/>
            <sz val="9"/>
            <color indexed="81"/>
            <rFont val="宋体"/>
            <family val="3"/>
            <charset val="134"/>
          </rPr>
          <t xml:space="preserve">所在楼层
</t>
        </r>
        <r>
          <rPr>
            <sz val="9"/>
            <color indexed="81"/>
            <rFont val="宋体"/>
            <family val="3"/>
            <charset val="134"/>
          </rPr>
          <t xml:space="preserve">
</t>
        </r>
      </text>
    </comment>
    <comment ref="D116" authorId="0" shapeId="0" xr:uid="{78CF7826-5164-48A0-87CF-FFE04FC1EFE1}">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C9022B0B-B55D-4052-A5FB-89BB08589CC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9A89125-0321-43F3-94F9-29B5B403C3EA}">
      <text>
        <r>
          <rPr>
            <sz val="10"/>
            <color indexed="81"/>
            <rFont val="宋体"/>
            <family val="3"/>
            <charset val="134"/>
          </rPr>
          <t xml:space="preserve">需注意，采用基准地价系数修正法中土地结果计算时，土地报酬率应采用该方法中报酬率（还原率）。
</t>
        </r>
      </text>
    </comment>
    <comment ref="L55" authorId="0" shapeId="0" xr:uid="{C1FA8E3C-1BF0-4C75-AA32-7B673A9D76B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21FA7FE-0670-4FD4-AB77-8D75312CE265}">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2656CB72-2196-40FA-9439-091C603494A7}">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<sst xmlns="http://schemas.openxmlformats.org/spreadsheetml/2006/main" count="9135" uniqueCount="3469">
  <si>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</si>
  <si>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</si>
  <si>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</si>
  <si>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</si>
  <si>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</si>
  <si>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</si>
  <si>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</si>
  <si>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</si>
  <si>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</si>
  <si>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</si>
  <si>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</si>
  <si>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</si>
  <si>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</si>
  <si>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</si>
  <si>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</si>
  <si>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</si>
  <si>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</si>
  <si>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</si>
  <si>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</si>
  <si>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</si>
  <si>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</si>
  <si>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</si>
  <si>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</si>
  <si>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</si>
  <si>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</si>
  <si>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</si>
  <si>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</si>
  <si>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</si>
  <si>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</si>
  <si>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</si>
  <si>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</si>
  <si>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</si>
  <si>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</si>
  <si>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</si>
  <si>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</si>
  <si>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</si>
  <si>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</si>
  <si>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</si>
  <si>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</si>
  <si>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</si>
  <si>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</si>
  <si>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</si>
  <si>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</si>
  <si>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</si>
  <si>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</si>
  <si>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</si>
  <si>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</si>
  <si>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</si>
  <si>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</si>
  <si>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</si>
  <si>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</si>
  <si>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</si>
  <si>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</si>
  <si>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</si>
  <si>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</si>
  <si>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</si>
  <si>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</si>
  <si>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</si>
  <si>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</si>
  <si>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</si>
  <si>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</si>
  <si>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</si>
  <si>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</si>
  <si>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</si>
  <si>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</si>
  <si>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</si>
  <si>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</si>
  <si>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</si>
  <si>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</si>
  <si>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</si>
  <si>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</si>
  <si>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</si>
  <si>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</si>
  <si>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</si>
  <si>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</si>
  <si>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</si>
  <si>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</si>
  <si>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</si>
  <si>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</si>
  <si>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</si>
  <si>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</si>
  <si>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</si>
  <si>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</si>
  <si>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</si>
  <si>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</si>
  <si>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</si>
  <si>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</si>
  <si>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</si>
  <si>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</si>
  <si>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</si>
  <si>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</si>
  <si>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</si>
  <si>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</si>
  <si>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</si>
  <si>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</si>
  <si>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</si>
  <si>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</si>
  <si>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</si>
  <si>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</si>
  <si>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</si>
  <si>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</si>
  <si>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</si>
  <si>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</si>
  <si>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</si>
  <si>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</si>
  <si>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</si>
  <si>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</si>
  <si>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</si>
  <si>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</si>
  <si>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</si>
  <si>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</si>
  <si>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</si>
  <si>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</si>
  <si>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</si>
  <si>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</si>
  <si>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</si>
  <si>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</si>
  <si>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</si>
  <si>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</si>
  <si>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</si>
  <si>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</si>
  <si>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</si>
  <si>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</si>
  <si>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</si>
  <si>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</si>
  <si>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</si>
  <si>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</si>
  <si>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</si>
  <si>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</si>
  <si>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</si>
  <si>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</si>
  <si>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</si>
  <si>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</si>
  <si>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</si>
  <si>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</si>
  <si>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</si>
  <si>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</si>
  <si>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</si>
  <si>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</si>
  <si>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</si>
  <si>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</si>
  <si>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</si>
  <si>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</si>
  <si>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</si>
  <si>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</si>
  <si>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</si>
  <si>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</si>
  <si>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</si>
  <si>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</si>
  <si>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</si>
  <si>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</si>
  <si>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</si>
  <si>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</si>
  <si>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</si>
  <si>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</si>
  <si>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</si>
  <si>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</si>
  <si>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</si>
  <si>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</si>
  <si>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</si>
  <si>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</si>
  <si>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</si>
  <si>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</si>
  <si>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</si>
  <si>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</si>
  <si>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</si>
  <si>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</si>
  <si>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</si>
  <si>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</si>
  <si>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</si>
  <si>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</si>
  <si>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</si>
  <si>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</si>
  <si>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</si>
  <si>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</si>
  <si>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</si>
  <si>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</si>
  <si>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</si>
  <si>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</si>
  <si>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</si>
  <si>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</si>
  <si>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</si>
  <si>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</si>
  <si>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</si>
  <si>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</si>
  <si>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</si>
  <si>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</si>
  <si>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</si>
  <si>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</si>
  <si>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</si>
  <si>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</si>
  <si>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</si>
  <si>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</si>
  <si>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</si>
  <si>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</si>
  <si>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</si>
  <si>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</si>
  <si>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</si>
  <si>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</si>
  <si>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</si>
  <si>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</si>
  <si>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</si>
  <si>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</si>
  <si>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</si>
  <si>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</si>
  <si>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</si>
  <si>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</si>
  <si>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</si>
  <si>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</si>
  <si>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</si>
  <si>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</si>
  <si>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</si>
  <si>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</si>
  <si>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</si>
  <si>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</si>
  <si>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</si>
  <si>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</si>
  <si>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</si>
  <si>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</si>
  <si>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</si>
  <si>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</si>
  <si>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</si>
  <si>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</si>
  <si>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</si>
  <si>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</si>
  <si>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</si>
  <si>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</si>
  <si>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</si>
  <si>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</si>
  <si>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</si>
  <si>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</si>
  <si>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</si>
  <si>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</si>
  <si>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</si>
  <si>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</si>
  <si>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</si>
  <si>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</si>
  <si>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</si>
  <si>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</si>
  <si>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</si>
  <si>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</si>
  <si>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</si>
  <si>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</si>
  <si>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</si>
  <si>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</si>
  <si>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</si>
  <si>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</si>
  <si>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</si>
  <si>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</si>
  <si>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</si>
  <si>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</si>
  <si>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</si>
  <si>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</si>
  <si>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</si>
  <si>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</si>
  <si>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</si>
  <si>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</si>
  <si>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</si>
  <si>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</si>
  <si>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</si>
  <si>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</si>
  <si>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</si>
  <si>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</si>
  <si>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</si>
  <si>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</si>
  <si>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</si>
  <si>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</si>
  <si>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</si>
  <si>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</si>
  <si>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</si>
  <si>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</si>
  <si>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</si>
  <si>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</si>
  <si>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</si>
  <si>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</si>
  <si>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</si>
  <si>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</si>
  <si>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</si>
  <si>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</si>
  <si>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</si>
  <si>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</si>
  <si>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</si>
  <si>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</si>
  <si>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</si>
  <si>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</si>
  <si>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</si>
  <si>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</si>
  <si>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</si>
  <si>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</si>
  <si>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</si>
  <si>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</si>
  <si>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</si>
  <si>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</si>
  <si>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</si>
  <si>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</si>
  <si>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</si>
  <si>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</si>
  <si>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</si>
  <si>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</si>
  <si>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</si>
  <si>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</si>
  <si>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</si>
  <si>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</si>
  <si>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</si>
  <si>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</si>
  <si>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</si>
  <si>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</si>
  <si>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</si>
  <si>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</si>
  <si>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</si>
  <si>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</si>
  <si>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</si>
  <si>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</si>
  <si>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</si>
  <si>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</si>
  <si>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</si>
  <si>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</si>
  <si>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</si>
  <si>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</si>
  <si>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</si>
  <si>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</si>
  <si>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</si>
  <si>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</si>
  <si>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</si>
  <si>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</si>
  <si>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</si>
  <si>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</si>
  <si>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</si>
  <si>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</si>
  <si>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</si>
  <si>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</si>
  <si>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</si>
  <si>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</si>
  <si>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</si>
  <si>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</si>
  <si>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</si>
  <si>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</si>
  <si>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</si>
  <si>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</si>
  <si>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</si>
  <si>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</si>
  <si>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</si>
  <si>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</si>
  <si>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</si>
  <si>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</si>
  <si>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</si>
  <si>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</si>
  <si>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</si>
  <si>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</si>
  <si>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</si>
  <si>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</si>
  <si>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</si>
  <si>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</si>
  <si>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</si>
  <si>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</si>
  <si>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</si>
  <si>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</si>
  <si>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</si>
  <si>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</si>
  <si>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</si>
  <si>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</si>
  <si>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</si>
  <si>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</si>
  <si>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</si>
  <si>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</si>
  <si>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</si>
  <si>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</si>
  <si>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</si>
  <si>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</si>
  <si>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</si>
  <si>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</si>
  <si>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</si>
  <si>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</si>
  <si>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</si>
  <si>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</si>
  <si>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</si>
  <si>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</si>
  <si>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</si>
  <si>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</si>
  <si>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</si>
  <si>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</si>
  <si>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</si>
  <si>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</si>
  <si>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</si>
  <si>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</si>
  <si>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</si>
  <si>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</si>
  <si>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</si>
  <si>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</si>
  <si>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</si>
  <si>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</si>
  <si>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</si>
  <si>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</si>
  <si>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</si>
  <si>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</si>
  <si>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</si>
  <si>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</si>
  <si>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</si>
  <si>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</si>
  <si>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</si>
  <si>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</si>
  <si>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</si>
  <si>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</si>
  <si>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</si>
  <si>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</si>
  <si>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</si>
  <si>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</si>
  <si>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</si>
  <si>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</si>
  <si>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</si>
  <si>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</si>
  <si>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</si>
  <si>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</si>
  <si>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</si>
  <si>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</si>
  <si>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</si>
  <si>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</si>
  <si>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</si>
  <si>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</si>
  <si>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</si>
  <si>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</si>
  <si>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</si>
  <si>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</si>
  <si>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</si>
  <si>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</si>
  <si>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</si>
  <si>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</si>
  <si>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</si>
  <si>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</si>
  <si>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</si>
  <si>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</si>
  <si>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</si>
  <si>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</si>
  <si>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</si>
  <si>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</si>
  <si>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</si>
  <si>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</si>
  <si>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</si>
  <si>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</si>
  <si>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</si>
  <si>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</si>
  <si>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</si>
  <si>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</si>
  <si>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</si>
  <si>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</si>
  <si>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</si>
  <si>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</si>
  <si>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</si>
  <si>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</si>
  <si>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</si>
  <si>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</si>
  <si>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</si>
  <si>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</si>
  <si>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</si>
  <si>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</si>
  <si>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</si>
  <si>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</si>
  <si>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</si>
  <si>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</si>
  <si>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</si>
  <si>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</si>
  <si>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</si>
  <si>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</si>
  <si>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</si>
  <si>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</si>
  <si>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</si>
  <si>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</si>
  <si>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</si>
  <si>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</si>
  <si>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</si>
  <si>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</si>
  <si>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</si>
  <si>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</si>
  <si>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</si>
  <si>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</si>
  <si>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</si>
  <si>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</si>
  <si>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</si>
  <si>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</si>
  <si>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</si>
  <si>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</si>
  <si>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</si>
  <si>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</si>
  <si>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</si>
  <si>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</si>
  <si>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</si>
  <si>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</si>
  <si>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</si>
  <si>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</si>
  <si>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</si>
  <si>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</si>
  <si>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</si>
  <si>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</si>
  <si>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</si>
  <si>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</si>
  <si>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</si>
  <si>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</si>
  <si>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</si>
  <si>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</si>
  <si>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</si>
  <si>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</si>
  <si>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</si>
  <si>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</si>
  <si>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</si>
  <si>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</si>
  <si>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</si>
  <si>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</si>
  <si>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</si>
  <si>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</si>
  <si>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</si>
  <si>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</si>
  <si>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</si>
  <si>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</si>
  <si>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</si>
  <si>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</si>
  <si>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</si>
  <si>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</si>
  <si>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</si>
  <si>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</si>
  <si>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</si>
  <si>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</si>
  <si>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</si>
  <si>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</si>
  <si>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</si>
  <si>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</si>
  <si>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</si>
  <si>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</si>
  <si>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</si>
  <si>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</si>
  <si>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</si>
  <si>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</si>
  <si>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</si>
  <si>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</si>
  <si>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</si>
  <si>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</si>
  <si>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</si>
  <si>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</si>
  <si>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</si>
  <si>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</si>
  <si>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</si>
  <si>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</si>
  <si>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</si>
  <si>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</si>
  <si>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</si>
  <si>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</si>
  <si>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</si>
  <si>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</si>
  <si>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</si>
  <si>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</si>
  <si>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</si>
  <si>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</si>
  <si>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</si>
  <si>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</si>
  <si>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</si>
  <si>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</si>
  <si>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</si>
  <si>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</si>
  <si>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</si>
  <si>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</si>
  <si>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</si>
  <si>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</si>
  <si>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</si>
  <si>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</si>
  <si>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</si>
  <si>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</si>
  <si>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</si>
  <si>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</si>
  <si>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</si>
  <si>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</si>
  <si>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</si>
  <si>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</si>
  <si>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</si>
  <si>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</si>
  <si>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</si>
  <si>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</si>
  <si>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</si>
  <si>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</si>
  <si>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</si>
  <si>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</si>
  <si>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</si>
  <si>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</si>
  <si>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</si>
  <si>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</si>
  <si>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</si>
  <si>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</si>
  <si>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</si>
  <si>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</si>
  <si>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</si>
  <si>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</si>
  <si>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</si>
  <si>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</si>
  <si>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</si>
  <si>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</si>
  <si>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</si>
  <si>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</si>
  <si>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</si>
  <si>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</si>
  <si>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</si>
  <si>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</si>
  <si>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</si>
  <si>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</si>
  <si>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</si>
  <si>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</si>
  <si>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</si>
  <si>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</si>
  <si>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</si>
  <si>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</si>
  <si>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</si>
  <si>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</si>
  <si>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</si>
  <si>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</si>
  <si>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</si>
  <si>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</si>
  <si>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</si>
  <si>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</si>
  <si>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</si>
  <si>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</si>
  <si>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</si>
  <si>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</si>
  <si>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</si>
  <si>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</si>
  <si>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</si>
  <si>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</si>
  <si>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</si>
  <si>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</si>
  <si>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</si>
  <si>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</si>
  <si>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</si>
  <si>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</si>
  <si>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</si>
  <si>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</si>
  <si>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</si>
  <si>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</si>
  <si>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</si>
  <si>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</si>
  <si>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</si>
  <si>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</si>
  <si>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</si>
  <si>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</si>
  <si>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</si>
  <si>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</si>
  <si>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</si>
  <si>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</si>
  <si>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</si>
  <si>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</si>
  <si>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</si>
  <si>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</si>
  <si>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</si>
  <si>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</si>
  <si>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</si>
  <si>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</si>
  <si>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</si>
  <si>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</si>
  <si>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</si>
  <si>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</si>
  <si>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</si>
  <si>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</si>
  <si>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</si>
  <si>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</si>
  <si>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</si>
  <si>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</si>
  <si>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</si>
  <si>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</si>
  <si>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</si>
  <si>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</si>
  <si>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</si>
  <si>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</si>
  <si>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</si>
  <si>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</si>
  <si>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</si>
  <si>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</si>
  <si>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</si>
  <si>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</si>
  <si>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</si>
  <si>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</si>
  <si>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</si>
  <si>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</si>
  <si>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</si>
  <si>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</si>
  <si>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</si>
  <si>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</si>
  <si>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</si>
  <si>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</si>
  <si>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</si>
  <si>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</si>
  <si>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</si>
  <si>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</si>
  <si>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</si>
  <si>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</si>
  <si>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</si>
  <si>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</si>
  <si>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</si>
  <si>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</si>
  <si>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</si>
  <si>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</si>
  <si>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</si>
  <si>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</si>
  <si>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</si>
  <si>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</si>
  <si>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</si>
  <si>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</si>
  <si>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</si>
  <si>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</si>
  <si>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</si>
  <si>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</si>
  <si>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</si>
  <si>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</si>
  <si>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</si>
  <si>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</si>
  <si>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</si>
  <si>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</si>
  <si>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</si>
  <si>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</si>
  <si>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</si>
  <si>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</si>
  <si>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</si>
  <si>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</si>
  <si>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</si>
  <si>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</si>
  <si>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</si>
  <si>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</si>
  <si>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</si>
  <si>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</si>
  <si>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</si>
  <si>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</si>
  <si>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</si>
  <si>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</si>
  <si>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</si>
  <si>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</si>
  <si>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</si>
  <si>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</si>
  <si>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</si>
  <si>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</si>
  <si>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</si>
  <si>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</si>
  <si>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</si>
  <si>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</si>
  <si>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</si>
  <si>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</si>
  <si>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</si>
  <si>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</si>
  <si>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</si>
  <si>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</si>
  <si>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</si>
  <si>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</si>
  <si>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</si>
  <si>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</si>
  <si>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</si>
  <si>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</si>
  <si>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</si>
  <si>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</si>
  <si>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</si>
  <si>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</si>
  <si>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</si>
  <si>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</si>
  <si>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</si>
  <si>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</si>
  <si>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</si>
  <si>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</si>
  <si>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</si>
  <si>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</si>
  <si>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</si>
  <si>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</si>
  <si>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</si>
  <si>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</si>
  <si>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</si>
  <si>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</si>
  <si>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</si>
  <si>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</si>
  <si>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</si>
  <si>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</si>
  <si>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</si>
  <si>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</si>
  <si>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</si>
  <si>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</si>
  <si>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</si>
  <si>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</si>
  <si>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</si>
  <si>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</si>
  <si>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</si>
  <si>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</si>
  <si>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</si>
  <si>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</si>
  <si>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</si>
  <si>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</si>
  <si>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</si>
  <si>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</si>
  <si>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</si>
  <si>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</si>
  <si>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</si>
  <si>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</si>
  <si>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</si>
  <si>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</si>
  <si>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</si>
  <si>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</si>
  <si>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</si>
  <si>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</si>
  <si>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</si>
  <si>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</si>
  <si>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</si>
  <si>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</si>
  <si>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</si>
  <si>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</si>
  <si>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</si>
  <si>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</si>
  <si>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</si>
  <si>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</si>
  <si>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</si>
  <si>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</si>
  <si>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</si>
  <si>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</si>
  <si>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</si>
  <si>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</si>
  <si>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</si>
  <si>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</si>
  <si>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</si>
  <si>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</si>
  <si>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</si>
  <si>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</si>
  <si>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</si>
  <si>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</si>
  <si>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</si>
  <si>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</si>
  <si>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</si>
  <si>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</si>
  <si>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</si>
  <si>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</si>
  <si>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</si>
  <si>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</si>
  <si>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</si>
  <si>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</si>
  <si>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</si>
  <si>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</si>
  <si>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</si>
  <si>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</si>
  <si>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</si>
  <si>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</si>
  <si>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</si>
  <si>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</si>
  <si>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</si>
  <si>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</si>
  <si>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</si>
  <si>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</si>
  <si>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</si>
  <si>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</si>
  <si>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</si>
  <si>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</si>
  <si>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</si>
  <si>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</si>
  <si>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</si>
  <si>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</si>
  <si>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</si>
  <si>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</si>
  <si>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</si>
  <si>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</si>
  <si>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</si>
  <si>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</si>
  <si>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</si>
  <si>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</si>
  <si>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</si>
  <si>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</si>
  <si>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</si>
  <si>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</si>
  <si>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</si>
  <si>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</si>
  <si>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</si>
  <si>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</si>
  <si>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</si>
  <si>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</si>
  <si>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</si>
  <si>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</si>
  <si>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</si>
  <si>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</si>
  <si>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</si>
  <si>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</si>
  <si>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</si>
  <si>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</si>
  <si>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</si>
  <si>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</si>
  <si>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</si>
  <si>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</si>
  <si>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</si>
  <si>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</si>
  <si>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</si>
  <si>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</si>
  <si>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</si>
  <si>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</si>
  <si>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</si>
  <si>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</si>
  <si>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</si>
  <si>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</si>
  <si>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</si>
  <si>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</si>
  <si>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</si>
  <si>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</si>
  <si>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</si>
  <si>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</si>
  <si>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</si>
  <si>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</si>
  <si>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</si>
  <si>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</si>
  <si>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</si>
  <si>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</si>
  <si>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</si>
  <si>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</si>
  <si>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</si>
  <si>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</si>
  <si>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</si>
  <si>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</si>
  <si>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</si>
  <si>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</si>
  <si>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</si>
  <si>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</si>
  <si>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</si>
  <si>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</si>
  <si>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</si>
  <si>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</si>
  <si>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</si>
  <si>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</si>
  <si>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</si>
  <si>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</si>
  <si>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</si>
  <si>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</si>
  <si>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</si>
  <si>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</si>
  <si>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</si>
  <si>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</si>
  <si>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</si>
  <si>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</si>
  <si>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</si>
  <si>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</si>
  <si>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</si>
  <si>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</si>
  <si>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</si>
  <si>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</si>
  <si>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</si>
  <si>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</si>
  <si>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</si>
  <si>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</si>
  <si>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</si>
  <si>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</si>
  <si>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</si>
  <si>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</si>
  <si>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</si>
  <si>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</si>
  <si>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</si>
  <si>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</si>
  <si>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</si>
  <si>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</si>
  <si>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</si>
  <si>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</si>
  <si>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</si>
  <si>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</si>
  <si>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</si>
  <si>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</si>
  <si>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</si>
  <si>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</si>
  <si>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</si>
  <si>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</si>
  <si>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</si>
  <si>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</si>
  <si>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</si>
  <si>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</si>
  <si>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</si>
  <si>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</si>
  <si>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</si>
  <si>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</si>
  <si>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</si>
  <si>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</si>
  <si>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</si>
  <si>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</si>
  <si>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</si>
  <si>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</si>
  <si>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</si>
  <si>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</si>
  <si>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</si>
  <si>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</si>
  <si>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</si>
  <si>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</si>
  <si>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</si>
  <si>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</si>
  <si>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</si>
  <si>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</si>
  <si>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</si>
  <si>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</si>
  <si>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</si>
  <si>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</si>
  <si>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</si>
  <si>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</si>
  <si>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</si>
  <si>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</si>
  <si>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</si>
  <si>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</si>
  <si>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</si>
  <si>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</si>
  <si>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</si>
  <si>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</si>
  <si>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</si>
  <si>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</si>
  <si>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</si>
  <si>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</si>
  <si>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</si>
  <si>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</si>
  <si>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</si>
  <si>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</si>
  <si>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</si>
  <si>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</si>
  <si>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</si>
  <si>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</si>
  <si>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</si>
  <si>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</si>
  <si>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</si>
  <si>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</si>
  <si>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</si>
  <si>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</si>
  <si>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</si>
  <si>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</si>
  <si>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</si>
  <si>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</si>
  <si>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</si>
  <si>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</si>
  <si>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</si>
  <si>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</si>
  <si>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</si>
  <si>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</si>
  <si>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</si>
  <si>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</si>
  <si>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</si>
  <si>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</si>
  <si>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</si>
  <si>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</si>
  <si>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</si>
  <si>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</si>
  <si>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</si>
  <si>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</si>
  <si>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</si>
  <si>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</si>
  <si>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</si>
  <si>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</si>
  <si>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</si>
  <si>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</si>
  <si>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</si>
  <si>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</si>
  <si>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</si>
  <si>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</si>
  <si>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</si>
  <si>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</si>
  <si>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</si>
  <si>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</si>
  <si>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</si>
  <si>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</si>
  <si>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</si>
  <si>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</si>
  <si>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</si>
  <si>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</si>
  <si>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</si>
  <si>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</si>
  <si>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</si>
  <si>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</si>
  <si>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</si>
  <si>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</si>
  <si>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</si>
  <si>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</si>
  <si>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</si>
  <si>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</si>
  <si>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</si>
  <si>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</si>
  <si>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</si>
  <si>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</si>
  <si>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</si>
  <si>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</si>
  <si>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</si>
  <si>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</si>
  <si>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</si>
  <si>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</si>
  <si>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</si>
  <si>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</si>
  <si>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</si>
  <si>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</si>
  <si>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</si>
  <si>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</si>
  <si>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</si>
  <si>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</si>
  <si>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</si>
  <si>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</si>
  <si>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</si>
  <si>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</si>
  <si>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</si>
  <si>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</si>
  <si>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</si>
  <si>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</si>
  <si>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</si>
  <si>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</si>
  <si>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</si>
  <si>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</si>
  <si>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</si>
  <si>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</si>
  <si>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</si>
  <si>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</si>
  <si>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</si>
  <si>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</si>
  <si>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</si>
  <si>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</si>
  <si>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</si>
  <si>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</si>
  <si>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</si>
  <si>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</si>
  <si>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</si>
  <si>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</si>
  <si>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</si>
  <si>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</si>
  <si>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</si>
  <si>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</si>
  <si>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</si>
  <si>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</si>
  <si>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</si>
  <si>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</si>
  <si>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</si>
  <si>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</si>
  <si>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</si>
  <si>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</si>
  <si>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</si>
  <si>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</si>
  <si>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</si>
  <si>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</si>
  <si>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</si>
  <si>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</si>
  <si>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</si>
  <si>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</si>
  <si>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</si>
  <si>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</si>
  <si>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</si>
  <si>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</si>
  <si>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</si>
  <si>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</si>
  <si>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</si>
  <si>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</si>
  <si>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</si>
  <si>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</si>
  <si>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</si>
  <si>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</si>
  <si>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</si>
  <si>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</si>
  <si>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</si>
  <si>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</si>
  <si>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</si>
  <si>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</si>
  <si>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</si>
  <si>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</si>
  <si>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</si>
  <si>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</si>
  <si>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</si>
  <si>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</si>
  <si>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</si>
  <si>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</si>
  <si>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</si>
  <si>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</si>
  <si>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</si>
  <si>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</si>
  <si>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</si>
  <si>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</si>
  <si>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</si>
  <si>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</si>
  <si>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</si>
  <si>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</si>
  <si>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</si>
  <si>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</si>
  <si>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</si>
  <si>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</si>
  <si>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</si>
  <si>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</si>
  <si>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</si>
  <si>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</si>
  <si>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</si>
  <si>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</si>
  <si>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</si>
  <si>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</si>
  <si>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</si>
  <si>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</si>
  <si>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</si>
  <si>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</si>
  <si>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</si>
  <si>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</si>
  <si>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</si>
  <si>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</si>
  <si>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</si>
  <si>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</si>
  <si>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</si>
  <si>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</si>
  <si>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</si>
  <si>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</si>
  <si>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</si>
  <si>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</si>
  <si>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</si>
  <si>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</si>
  <si>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</si>
  <si>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</si>
  <si>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</si>
  <si>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</si>
  <si>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</si>
  <si>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</si>
  <si>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</si>
  <si>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</si>
  <si>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</si>
  <si>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</si>
  <si>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</si>
  <si>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</si>
  <si>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</si>
  <si>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</si>
  <si>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</si>
  <si>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</si>
  <si>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</si>
  <si>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</si>
  <si>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</si>
  <si>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</si>
  <si>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</si>
  <si>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</si>
  <si>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</si>
  <si>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</si>
  <si>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</si>
  <si>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</si>
  <si>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</si>
  <si>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</si>
  <si>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</si>
  <si>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</si>
  <si>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</si>
  <si>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</si>
  <si>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</si>
  <si>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</si>
  <si>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</si>
  <si>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</si>
  <si>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</si>
  <si>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</si>
  <si>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</si>
  <si>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</si>
  <si>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</si>
  <si>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</si>
  <si>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</si>
  <si>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</si>
  <si>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</si>
  <si>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</si>
  <si>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</si>
  <si>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</si>
  <si>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</si>
  <si>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</si>
  <si>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</si>
  <si>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</si>
  <si>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</si>
  <si>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</si>
  <si>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</si>
  <si>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</si>
  <si>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</si>
  <si>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</si>
  <si>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</si>
  <si>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</si>
  <si>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</si>
  <si>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</si>
  <si>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</si>
  <si>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</si>
  <si>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</si>
  <si>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</si>
  <si>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</si>
  <si>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</si>
  <si>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</si>
  <si>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</si>
  <si>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</si>
  <si>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</si>
  <si>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</si>
  <si>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</si>
  <si>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</si>
  <si>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</si>
  <si>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</si>
  <si>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</si>
  <si>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</si>
  <si>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</si>
  <si>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</si>
  <si>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</si>
  <si>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</si>
  <si>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</si>
  <si>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</si>
  <si>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</si>
  <si>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</si>
  <si>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</si>
  <si>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</si>
  <si>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</si>
  <si>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</si>
  <si>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</si>
  <si>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</si>
  <si>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</si>
  <si>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</si>
  <si>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</si>
  <si>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</si>
  <si>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</si>
  <si>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</si>
  <si>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</si>
  <si>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</si>
  <si>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</si>
  <si>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</si>
  <si>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</si>
  <si>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</si>
  <si>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</si>
  <si>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</si>
  <si>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</si>
  <si>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</si>
  <si>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</si>
  <si>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</si>
  <si>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</si>
  <si>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</si>
  <si>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</si>
  <si>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</si>
  <si>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</si>
  <si>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</si>
  <si>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</si>
  <si>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</si>
  <si>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</si>
  <si>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</si>
  <si>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</si>
  <si>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</si>
  <si>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</si>
  <si>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</si>
  <si>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</si>
  <si>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</si>
  <si>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</si>
  <si>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</si>
  <si>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</si>
  <si>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</si>
  <si>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</si>
  <si>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</si>
  <si>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</si>
  <si>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</si>
  <si>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</si>
  <si>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</si>
  <si>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</si>
  <si>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</si>
  <si>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</si>
  <si>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</si>
  <si>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</si>
  <si>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</si>
  <si>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</si>
  <si>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</si>
  <si>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</si>
  <si>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</si>
  <si>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</si>
  <si>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</si>
  <si>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</si>
  <si>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</si>
  <si>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</si>
  <si>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</si>
  <si>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</si>
  <si>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</si>
  <si>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</si>
  <si>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</si>
  <si>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</si>
  <si>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</si>
  <si>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</si>
  <si>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</si>
  <si>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</si>
  <si>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</si>
  <si>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</si>
  <si>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</si>
  <si>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</si>
  <si>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</si>
  <si>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</si>
  <si>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</si>
  <si>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</si>
  <si>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</si>
  <si>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</si>
  <si>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</si>
  <si>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</si>
  <si>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</si>
  <si>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</si>
  <si>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</si>
  <si>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</si>
  <si>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</si>
  <si>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</si>
  <si>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</si>
  <si>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</si>
  <si>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</si>
  <si>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</si>
  <si>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</si>
  <si>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</si>
  <si>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</si>
  <si>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</si>
  <si>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</si>
  <si>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</si>
  <si>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</si>
  <si>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</si>
  <si>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</si>
  <si>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</si>
  <si>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</si>
  <si>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</si>
  <si>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</si>
  <si>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</si>
  <si>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</si>
  <si>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</si>
  <si>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</si>
  <si>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</si>
  <si>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</si>
  <si>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</si>
  <si>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</si>
  <si>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</si>
  <si>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</si>
  <si>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</si>
  <si>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</si>
  <si>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</si>
  <si>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</si>
  <si>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</si>
  <si>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</si>
  <si>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</si>
  <si>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</si>
  <si>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</si>
  <si>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</si>
  <si>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</si>
  <si>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</si>
  <si>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</si>
  <si>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</si>
  <si>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</si>
  <si>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</si>
  <si>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</si>
  <si>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</si>
  <si>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</si>
  <si>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</si>
  <si>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</si>
  <si>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</si>
  <si>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</si>
  <si>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</si>
  <si>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</si>
  <si>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</si>
  <si>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</si>
  <si>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</si>
  <si>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</si>
  <si>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</si>
  <si>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</si>
  <si>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</si>
  <si>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</si>
  <si>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</si>
  <si>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</si>
  <si>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</si>
  <si>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</si>
  <si>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</si>
  <si>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</si>
  <si>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</si>
  <si>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</si>
  <si>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</si>
  <si>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</si>
  <si>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</si>
  <si>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</si>
  <si>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</si>
  <si>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</si>
  <si>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</si>
  <si>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</si>
  <si>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</si>
  <si>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</si>
  <si>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</si>
  <si>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</si>
  <si>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</si>
  <si>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</si>
  <si>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</si>
  <si>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</si>
  <si>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</si>
  <si>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</si>
  <si>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</si>
  <si>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</si>
  <si>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</si>
  <si>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</si>
  <si>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</si>
  <si>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</si>
  <si>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</si>
  <si>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</si>
  <si>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</si>
  <si>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</si>
  <si>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</si>
  <si>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</si>
  <si>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</si>
  <si>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</si>
  <si>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</si>
  <si>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</si>
  <si>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</si>
  <si>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</si>
  <si>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</si>
  <si>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</si>
  <si>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</si>
  <si>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</si>
  <si>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</si>
  <si>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</si>
  <si>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</si>
  <si>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</si>
  <si>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</si>
  <si>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</si>
  <si>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</si>
  <si>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</si>
  <si>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</si>
  <si>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</si>
  <si>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</si>
  <si>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</si>
  <si>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</si>
  <si>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</si>
  <si>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</si>
  <si>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</si>
  <si>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</si>
  <si>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</si>
  <si>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</si>
  <si>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</si>
  <si>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</si>
  <si>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</si>
  <si>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</si>
  <si>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</si>
  <si>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</si>
  <si>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</si>
  <si>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</si>
  <si>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</si>
  <si>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</si>
  <si>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</si>
  <si>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</si>
  <si>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</si>
  <si>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</si>
  <si>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</si>
  <si>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</si>
  <si>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</si>
  <si>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</si>
  <si>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</si>
  <si>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</si>
  <si>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</si>
  <si>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</si>
  <si>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</si>
  <si>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</si>
  <si>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</si>
  <si>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</si>
  <si>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</si>
  <si>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</si>
  <si>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</si>
  <si>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</si>
  <si>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</si>
  <si>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</si>
  <si>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</si>
  <si>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</si>
  <si>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</si>
  <si>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</si>
  <si>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</si>
  <si>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</si>
  <si>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</si>
  <si>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</si>
  <si>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</si>
  <si>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</si>
  <si>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</si>
  <si>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</si>
  <si>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</si>
  <si>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</si>
  <si>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</si>
  <si>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</si>
  <si>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</si>
  <si>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</si>
  <si>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</si>
  <si>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</si>
  <si>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</si>
  <si>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</si>
  <si>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</si>
  <si>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</si>
  <si>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</si>
  <si>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</si>
  <si>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</si>
  <si>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</si>
  <si>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</si>
  <si>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</si>
  <si>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</si>
  <si>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</si>
  <si>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</si>
  <si>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</si>
  <si>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</si>
  <si>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</si>
  <si>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</si>
  <si>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</si>
  <si>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</si>
  <si>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</si>
  <si>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</si>
  <si>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</si>
  <si>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</si>
  <si>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</si>
  <si>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</si>
  <si>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</si>
  <si>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</si>
  <si>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</si>
  <si>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</si>
  <si>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</si>
  <si>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</si>
  <si>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</si>
  <si>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</si>
  <si>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</si>
  <si>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</si>
  <si>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</si>
  <si>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</si>
  <si>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</si>
  <si>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</si>
  <si>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</si>
  <si>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</si>
  <si>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</si>
  <si>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</si>
  <si>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</si>
  <si>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</si>
  <si>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</si>
  <si>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</si>
  <si>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</si>
  <si>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</si>
  <si>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</si>
  <si>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</si>
  <si>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</si>
  <si>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</si>
  <si>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</si>
  <si>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</si>
  <si>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</si>
  <si>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</si>
  <si>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</si>
  <si>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</si>
  <si>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</si>
  <si>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</si>
  <si>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</si>
  <si>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</si>
  <si>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</si>
  <si>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</si>
  <si>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</si>
  <si>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</si>
  <si>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</si>
  <si>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</si>
  <si>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</si>
  <si>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</si>
  <si>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</si>
  <si>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</si>
  <si>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</si>
  <si>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</si>
  <si>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</si>
  <si>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</si>
  <si>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</si>
  <si>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</si>
  <si>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</si>
  <si>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</si>
  <si>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</si>
  <si>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</si>
  <si>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</si>
  <si>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</si>
  <si>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</si>
  <si>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</si>
  <si>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</si>
  <si>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</si>
  <si>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</si>
  <si>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</si>
  <si>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</si>
  <si>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</si>
  <si>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</si>
  <si>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</si>
  <si>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</si>
  <si>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</si>
  <si>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</si>
  <si>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</si>
  <si>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</si>
  <si>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</si>
  <si>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</si>
  <si>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</si>
  <si>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</si>
  <si>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</si>
  <si>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</si>
  <si>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</si>
  <si>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</si>
  <si>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</si>
  <si>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</si>
  <si>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</si>
  <si>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</si>
  <si>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</si>
  <si>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</si>
  <si>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</si>
  <si>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</si>
  <si>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</si>
  <si>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</si>
  <si>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</si>
  <si>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</si>
  <si>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</si>
  <si>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</si>
  <si>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</si>
  <si>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</si>
  <si>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</si>
  <si>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</si>
  <si>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</si>
  <si>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</si>
  <si>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</si>
  <si>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</si>
  <si>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</si>
  <si>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</si>
  <si>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</si>
  <si>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</si>
  <si>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</si>
  <si>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</si>
  <si>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</si>
  <si>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</si>
  <si>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</si>
  <si>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</si>
  <si>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</si>
  <si>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</si>
  <si>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</si>
  <si>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</si>
  <si>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</si>
  <si>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</si>
  <si>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</si>
  <si>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</si>
  <si>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</si>
  <si>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</si>
  <si>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</si>
  <si>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</si>
  <si>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</si>
  <si>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</si>
  <si>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</si>
  <si>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</si>
  <si>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</si>
  <si>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</si>
  <si>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</si>
  <si>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</si>
  <si>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</si>
  <si>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</si>
  <si>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</si>
  <si>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</si>
  <si>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</si>
  <si>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</si>
  <si>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</si>
  <si>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</si>
  <si>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</si>
  <si>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</si>
  <si>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</si>
  <si>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</si>
  <si>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</si>
  <si>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</si>
  <si>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</si>
  <si>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</si>
  <si>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</si>
  <si>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</si>
  <si>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</si>
  <si>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</si>
  <si>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</si>
  <si>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</si>
  <si>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</si>
  <si>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</si>
  <si>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</si>
  <si>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</si>
  <si>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</si>
  <si>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</si>
  <si>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</si>
  <si>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</si>
  <si>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</si>
  <si>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</si>
  <si>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</si>
  <si>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</si>
  <si>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</si>
  <si>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</si>
  <si>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</si>
  <si>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</si>
  <si>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</si>
  <si>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</si>
  <si>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</si>
  <si>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</si>
  <si>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</si>
  <si>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</si>
  <si>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</si>
  <si>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</si>
  <si>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</si>
  <si>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</si>
  <si>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</si>
  <si>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</si>
  <si>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</si>
  <si>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</si>
  <si>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</si>
  <si>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</si>
  <si>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</si>
  <si>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</si>
  <si>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</si>
  <si>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</si>
  <si>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</si>
  <si>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</si>
  <si>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</si>
  <si>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</si>
  <si>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</si>
  <si>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</si>
  <si>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</si>
  <si>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</si>
  <si>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</si>
  <si>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</si>
  <si>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</si>
  <si>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</si>
  <si>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</si>
  <si>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</si>
  <si>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</si>
  <si>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</si>
  <si>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</si>
  <si>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</si>
  <si>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</si>
  <si>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</si>
  <si>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</si>
  <si>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</si>
  <si>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</si>
  <si>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</si>
  <si>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</si>
  <si>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</si>
  <si>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</si>
  <si>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</si>
  <si>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</si>
  <si>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</si>
  <si>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</si>
  <si>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</si>
  <si>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</si>
  <si>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</si>
  <si>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</si>
  <si>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</si>
  <si>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</si>
  <si>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</si>
  <si>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</si>
  <si>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</si>
  <si>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</si>
  <si>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</si>
  <si>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</si>
  <si>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</si>
  <si>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</si>
  <si>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</si>
  <si>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</si>
  <si>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</si>
  <si>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</si>
  <si>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</si>
  <si>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</si>
  <si>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</si>
  <si>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</si>
  <si>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</si>
  <si>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</si>
  <si>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</si>
  <si>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</si>
  <si>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</si>
  <si>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</si>
  <si>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</si>
  <si>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</si>
  <si>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</si>
  <si>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</si>
  <si>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</si>
  <si>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</si>
  <si>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</si>
  <si>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</si>
  <si>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</si>
  <si>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</si>
  <si>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</si>
  <si>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</si>
  <si>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</si>
  <si>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</si>
  <si>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</si>
  <si>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</si>
  <si>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</si>
  <si>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</si>
  <si>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</si>
  <si>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</si>
  <si>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</si>
  <si>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</si>
  <si>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</si>
  <si>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</si>
  <si>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</si>
  <si>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</si>
  <si>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</si>
  <si>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</si>
  <si>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</si>
  <si>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</si>
  <si>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</si>
  <si>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</si>
  <si>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</si>
  <si>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</si>
  <si>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</si>
  <si>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</si>
  <si>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</si>
  <si>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</si>
  <si>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</si>
  <si>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</si>
  <si>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</si>
  <si>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</si>
  <si>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</si>
  <si>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</si>
  <si>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</si>
  <si>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</si>
  <si>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</si>
  <si>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</si>
  <si>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</si>
  <si>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</si>
  <si>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</si>
  <si>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</si>
  <si>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</si>
  <si>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</si>
  <si>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</si>
  <si>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</si>
  <si>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</si>
  <si>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</si>
  <si>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</si>
  <si>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</si>
  <si>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</si>
  <si>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</si>
  <si>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</si>
  <si>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</si>
  <si>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</si>
  <si>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</si>
  <si>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</si>
  <si>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</si>
  <si>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</si>
  <si>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</si>
  <si>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</si>
  <si>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</si>
  <si>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</si>
  <si>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</si>
  <si>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</si>
  <si>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</si>
  <si>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</si>
  <si>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</si>
  <si>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</si>
  <si>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</si>
  <si>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</si>
  <si>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</si>
  <si>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</si>
  <si>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</si>
  <si>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</si>
  <si>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</si>
  <si>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</si>
  <si>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</si>
  <si>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</si>
  <si>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</si>
  <si>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</si>
  <si>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</si>
  <si>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</si>
  <si>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</si>
  <si>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</si>
  <si>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</si>
  <si>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</si>
  <si>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</si>
  <si>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</si>
  <si>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</si>
  <si>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</si>
  <si>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</si>
  <si>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</si>
  <si>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</si>
  <si>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</si>
  <si>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</si>
  <si>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</si>
  <si>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</si>
  <si>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</si>
  <si>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</si>
  <si>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</si>
  <si>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</si>
  <si>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</si>
  <si>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</si>
  <si>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</si>
  <si>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</si>
  <si>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</si>
  <si>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</si>
  <si>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</si>
  <si>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</si>
  <si>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</si>
  <si>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</si>
  <si>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</si>
  <si>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</si>
  <si>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</si>
  <si>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</si>
  <si>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</si>
  <si>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</si>
  <si>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</si>
  <si>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</si>
  <si>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</si>
  <si>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</si>
  <si>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</si>
  <si>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</si>
  <si>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</si>
  <si>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</si>
  <si>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</si>
  <si>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</si>
  <si>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</si>
  <si>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</si>
  <si>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</si>
  <si>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</si>
  <si>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</si>
  <si>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</si>
  <si>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</si>
  <si>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</si>
  <si>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</si>
  <si>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</si>
  <si>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</si>
  <si>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</si>
  <si>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</si>
  <si>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</si>
  <si>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</si>
  <si>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</si>
  <si>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</si>
  <si>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</si>
  <si>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</si>
  <si>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</si>
  <si>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</si>
  <si>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</si>
  <si>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</si>
  <si>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</si>
  <si>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</si>
  <si>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</si>
  <si>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</si>
  <si>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</si>
  <si>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</si>
  <si>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</si>
  <si>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</si>
  <si>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</si>
  <si>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</si>
  <si>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</si>
  <si>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</si>
  <si>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</si>
  <si>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</si>
  <si>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</si>
  <si>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</si>
  <si>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</si>
  <si>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</si>
  <si>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</si>
  <si>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</si>
  <si>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</si>
  <si>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</si>
  <si>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</si>
  <si>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</si>
  <si>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</si>
  <si>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</si>
  <si>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</si>
  <si>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</si>
  <si>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</si>
  <si>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</si>
  <si>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</si>
  <si>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</si>
  <si>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</si>
  <si>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</si>
  <si>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</si>
  <si>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</si>
  <si>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</si>
  <si>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</si>
  <si>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</si>
  <si>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</si>
  <si>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</si>
  <si>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</si>
  <si>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</si>
  <si>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</si>
  <si>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</si>
  <si>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</si>
  <si>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</si>
  <si>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</si>
  <si>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</si>
  <si>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</si>
  <si>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</si>
  <si>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</si>
  <si>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</si>
  <si>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</si>
  <si>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</si>
  <si>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</si>
  <si>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</si>
  <si>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</si>
  <si>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</si>
  <si>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</si>
  <si>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</si>
  <si>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</si>
  <si>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</si>
  <si>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</si>
  <si>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</si>
  <si>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</si>
  <si>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</si>
  <si>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</si>
  <si>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</si>
  <si>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</si>
  <si>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</si>
  <si>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</si>
  <si>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</si>
  <si>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</si>
  <si>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</si>
  <si>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</si>
  <si>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</si>
  <si>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</si>
  <si>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</si>
  <si>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</si>
  <si>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</si>
  <si>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</si>
  <si>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</si>
  <si>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</si>
  <si>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</si>
  <si>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</si>
  <si>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</si>
  <si>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</si>
  <si>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</si>
  <si>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</si>
  <si>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</si>
  <si>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</si>
  <si>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</si>
  <si>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</si>
  <si>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</si>
  <si>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</si>
  <si>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</si>
  <si>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</si>
  <si>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</si>
  <si>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</si>
  <si>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</si>
  <si>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</si>
  <si>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</si>
  <si>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</si>
  <si>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</si>
  <si>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</si>
  <si>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</si>
  <si>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</si>
  <si>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</si>
  <si>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</si>
  <si>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</si>
  <si>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</si>
  <si>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</si>
  <si>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</si>
  <si>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</si>
  <si>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</si>
  <si>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</si>
  <si>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</si>
  <si>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</si>
  <si>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</si>
  <si>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</si>
  <si>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</si>
  <si>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</si>
  <si>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</si>
  <si>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</si>
  <si>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</si>
  <si>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</si>
  <si>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</si>
  <si>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</si>
  <si>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</si>
  <si>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</si>
  <si>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</si>
  <si>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</si>
  <si>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</si>
  <si>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</si>
  <si>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</si>
  <si>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</si>
  <si>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</si>
  <si>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</si>
  <si>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</si>
  <si>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</si>
  <si>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</si>
  <si>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</si>
  <si>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</si>
  <si>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</si>
  <si>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</si>
  <si>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</si>
  <si>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</si>
  <si>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</si>
  <si>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</si>
  <si>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</si>
  <si>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</si>
  <si>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</si>
  <si>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</si>
  <si>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</si>
  <si>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</si>
  <si>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</si>
  <si>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</si>
  <si>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</si>
  <si>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</si>
  <si>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</si>
  <si>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</si>
  <si>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</si>
  <si>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</si>
  <si>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</si>
  <si>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</si>
  <si>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</si>
  <si>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</si>
  <si>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</si>
  <si>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</si>
  <si>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</si>
  <si>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</si>
  <si>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</si>
  <si>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</si>
  <si>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</si>
  <si>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</si>
  <si>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</si>
  <si>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</si>
  <si>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</si>
  <si>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</si>
  <si>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</si>
  <si>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</si>
  <si>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</si>
  <si>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</si>
  <si>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</si>
  <si>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</si>
  <si>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</si>
  <si>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</si>
  <si>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</si>
  <si>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</si>
  <si>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</si>
  <si>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</si>
  <si>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</si>
  <si>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</si>
  <si>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</si>
  <si>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</si>
  <si>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</si>
  <si>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</si>
  <si>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</si>
  <si>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</si>
  <si>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</si>
  <si>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</si>
  <si>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</si>
  <si>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</si>
  <si>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</si>
  <si>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</si>
  <si>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</si>
  <si>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</si>
  <si>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</si>
  <si>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</si>
  <si>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</si>
  <si>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</si>
  <si>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</si>
  <si>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</si>
  <si>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</si>
  <si>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</si>
  <si>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</si>
  <si>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</si>
  <si>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</si>
  <si>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</si>
  <si>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</si>
  <si>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</si>
  <si>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</si>
  <si>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</si>
  <si>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</si>
  <si>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</si>
  <si>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</si>
  <si>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</si>
  <si>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</si>
  <si>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</si>
  <si>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</si>
  <si>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</si>
  <si>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</si>
  <si>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</si>
  <si>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</si>
  <si>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</si>
  <si>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</si>
  <si>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</si>
  <si>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</si>
  <si>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</si>
  <si>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</si>
  <si>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</si>
  <si>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</si>
  <si>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</si>
  <si>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</si>
  <si>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</si>
  <si>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</si>
  <si>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</si>
  <si>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</si>
  <si>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</si>
  <si>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</si>
  <si>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</si>
  <si>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</si>
  <si>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</si>
  <si>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</si>
  <si>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</si>
  <si>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</si>
  <si>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</si>
  <si>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</si>
  <si>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</si>
  <si>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</si>
  <si>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</si>
  <si>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</si>
  <si>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</si>
  <si>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</si>
  <si>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</si>
  <si>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</si>
  <si>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</si>
  <si>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</si>
  <si>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</si>
  <si>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</si>
  <si>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</si>
  <si>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</si>
  <si>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</si>
  <si>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</si>
  <si>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</si>
  <si>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</si>
  <si>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</si>
  <si>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</si>
  <si>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</si>
  <si>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</si>
  <si>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</si>
  <si>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</si>
  <si>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</si>
  <si>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</si>
  <si>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</si>
  <si>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</si>
  <si>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</si>
  <si>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</si>
  <si>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</si>
  <si>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</si>
  <si>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</si>
  <si>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</si>
  <si>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</si>
  <si>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</si>
  <si>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</si>
  <si>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</si>
  <si>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</si>
  <si>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</si>
  <si>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</si>
  <si>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</si>
  <si>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</si>
  <si>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</si>
  <si>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</si>
  <si>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</si>
  <si>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</si>
  <si>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</si>
  <si>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</si>
  <si>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</si>
  <si>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</si>
  <si>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</si>
  <si>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</si>
  <si>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</si>
  <si>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</si>
  <si>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</si>
  <si>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</si>
  <si>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</si>
  <si>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</si>
  <si>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</si>
  <si>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</si>
  <si>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</si>
  <si>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</si>
  <si>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</si>
  <si>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</si>
  <si>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</si>
  <si>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</si>
  <si>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</si>
  <si>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</si>
  <si>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</si>
  <si>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</si>
  <si>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</si>
  <si>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</si>
  <si>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</si>
  <si>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</si>
  <si>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</si>
  <si>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</si>
  <si>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</si>
  <si>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</si>
  <si>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</si>
  <si>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</si>
  <si>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</si>
  <si>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</si>
  <si>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</si>
  <si>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</si>
  <si>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</si>
  <si>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</si>
  <si>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</si>
  <si>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</si>
  <si>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</si>
  <si>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</si>
  <si>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</si>
  <si>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</si>
  <si>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</si>
  <si>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</si>
  <si>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</si>
  <si>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</si>
  <si>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</si>
  <si>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</si>
  <si>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</si>
  <si>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</si>
  <si>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</si>
  <si>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</si>
  <si>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</si>
  <si>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</si>
  <si>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</si>
  <si>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</si>
  <si>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</si>
  <si>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</si>
  <si>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</si>
  <si>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</si>
  <si>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</si>
  <si>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</si>
  <si>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</si>
  <si>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</si>
  <si>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</si>
  <si>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</si>
  <si>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</si>
  <si>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</si>
  <si>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</si>
  <si>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</si>
  <si>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</si>
  <si>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</si>
  <si>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</si>
  <si>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</si>
  <si>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</si>
  <si>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</si>
  <si>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</si>
  <si>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</si>
  <si>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</si>
  <si>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</si>
  <si>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</si>
  <si>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</si>
  <si>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</si>
  <si>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</si>
  <si>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</si>
  <si>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</si>
  <si>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</si>
  <si>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</si>
  <si>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</si>
  <si>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</si>
  <si>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</si>
  <si>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</si>
  <si>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</si>
  <si>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</si>
  <si>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</si>
  <si>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</si>
  <si>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</si>
  <si>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</si>
  <si>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</si>
  <si>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</si>
  <si>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</si>
  <si>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</si>
  <si>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</si>
  <si>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</si>
  <si>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</si>
  <si>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</si>
  <si>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</si>
  <si>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</si>
  <si>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</si>
  <si>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</si>
  <si>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</si>
  <si>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</si>
  <si>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</si>
  <si>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</si>
  <si>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</si>
  <si>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</si>
  <si>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</si>
  <si>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</si>
  <si>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</si>
  <si>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</si>
  <si>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</si>
  <si>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</si>
  <si>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</si>
  <si>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</si>
  <si>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</si>
  <si>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</si>
  <si>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</si>
  <si>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</si>
  <si>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</si>
  <si>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</si>
  <si>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</si>
  <si>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</si>
  <si>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</si>
  <si>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</si>
  <si>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</si>
  <si>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</si>
  <si>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</si>
  <si>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</si>
  <si>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</si>
  <si>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</si>
  <si>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</si>
  <si>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</si>
  <si>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</si>
  <si>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</si>
  <si>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</si>
  <si>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</si>
  <si>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</si>
  <si>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</si>
  <si>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</si>
  <si>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</si>
  <si>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</si>
  <si>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</si>
  <si>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</si>
  <si>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</si>
  <si>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</si>
  <si>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</si>
  <si>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</si>
  <si>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</si>
  <si>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</si>
  <si>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</si>
  <si>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</si>
  <si>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</si>
  <si>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</si>
  <si>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</si>
  <si>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</si>
  <si>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</si>
  <si>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</si>
  <si>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</si>
  <si>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</si>
  <si>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</si>
  <si>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</si>
  <si>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</si>
  <si>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</si>
  <si>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</si>
  <si>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</si>
  <si>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</si>
  <si>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</si>
  <si>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</si>
  <si>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</si>
  <si>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</si>
  <si>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</si>
  <si>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</si>
  <si>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</si>
  <si>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</si>
  <si>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</si>
  <si>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</si>
  <si>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</si>
  <si>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</si>
  <si>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</si>
  <si>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</si>
  <si>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</si>
  <si>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</si>
  <si>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</si>
  <si>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</si>
  <si>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</si>
  <si>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</si>
  <si>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</si>
  <si>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</si>
  <si>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</si>
  <si>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</si>
  <si>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</si>
  <si>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</si>
  <si>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</si>
  <si>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</si>
  <si>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</si>
  <si>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</si>
  <si>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</si>
  <si>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</si>
  <si>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</si>
  <si>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</si>
  <si>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</si>
  <si>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</si>
  <si>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</si>
  <si>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</si>
  <si>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</si>
  <si>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</si>
  <si>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</si>
  <si>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</si>
  <si>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</si>
  <si>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</si>
  <si>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</si>
  <si>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</si>
  <si>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</si>
  <si>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</si>
  <si>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</si>
  <si>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</si>
  <si>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</si>
  <si>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</si>
  <si>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</si>
  <si>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</si>
  <si>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</si>
  <si>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</si>
  <si>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</si>
  <si>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</si>
  <si>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</si>
  <si>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</si>
  <si>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</si>
  <si>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</si>
  <si>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</si>
  <si>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</si>
  <si>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</si>
  <si>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</si>
  <si>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</si>
  <si>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</si>
  <si>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</si>
  <si>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</si>
  <si>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</si>
  <si>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</si>
  <si>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</si>
  <si>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</si>
  <si>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</si>
  <si>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</si>
  <si>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</si>
  <si>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</si>
  <si>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</si>
  <si>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</si>
  <si>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</si>
  <si>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</si>
  <si>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</si>
  <si>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</si>
  <si>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</si>
  <si>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</si>
  <si>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</si>
  <si>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</si>
  <si>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</si>
  <si>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</si>
  <si>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</si>
  <si>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</si>
  <si>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</si>
  <si>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</si>
  <si>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</si>
  <si>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</si>
  <si>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</si>
  <si>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</si>
  <si>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</si>
  <si>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</si>
  <si>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</si>
  <si>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</si>
  <si>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</si>
  <si>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</si>
  <si>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</si>
  <si>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</si>
  <si>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</si>
  <si>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</si>
  <si>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</si>
  <si>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</si>
  <si>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</si>
  <si>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</si>
  <si>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</si>
  <si>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</si>
  <si>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</si>
  <si>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</si>
  <si>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</si>
  <si>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</si>
  <si>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</si>
  <si>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</si>
  <si>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</si>
  <si>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</si>
  <si>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</si>
  <si>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</si>
  <si>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</si>
  <si>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</si>
  <si>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</si>
  <si>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</si>
  <si>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</si>
  <si>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</si>
  <si>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</si>
  <si>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</si>
  <si>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</si>
  <si>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</si>
  <si>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</si>
  <si>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</si>
  <si>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</si>
  <si>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</si>
  <si>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</si>
  <si>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</si>
  <si>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</si>
  <si>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</si>
  <si>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</si>
  <si>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</si>
  <si>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</si>
  <si>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</si>
  <si>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</si>
  <si>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</si>
  <si>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</si>
  <si>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</si>
  <si>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</si>
  <si>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</si>
  <si>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</si>
  <si>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</si>
  <si>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</si>
  <si>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</si>
  <si>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</si>
  <si>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</si>
  <si>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</si>
  <si>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</si>
  <si>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</si>
  <si>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</si>
  <si>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</si>
  <si>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</si>
  <si>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</si>
  <si>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</si>
  <si>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</si>
  <si>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</si>
  <si>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</si>
  <si>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</si>
  <si>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</si>
  <si>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</si>
  <si>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</si>
  <si>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</si>
  <si>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</si>
  <si>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</si>
  <si>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</si>
  <si>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</si>
  <si>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</si>
  <si>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</si>
  <si>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</si>
  <si>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</si>
  <si>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</si>
  <si>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</si>
  <si>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</si>
  <si>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</si>
  <si>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</si>
  <si>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</si>
  <si>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</si>
  <si>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</si>
  <si>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</si>
  <si>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</si>
  <si>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</si>
  <si>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</si>
  <si>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</si>
  <si>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</si>
  <si>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</si>
  <si>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</si>
  <si>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</si>
  <si>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</si>
  <si>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</si>
  <si>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</si>
  <si>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</si>
  <si>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</si>
  <si>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</si>
  <si>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</si>
  <si>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</si>
  <si>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</si>
  <si>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</si>
  <si>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</si>
  <si>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</si>
  <si>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</si>
  <si>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</si>
  <si>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</si>
  <si>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</si>
  <si>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</si>
  <si>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</si>
  <si>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</si>
  <si>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</si>
  <si>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</si>
  <si>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</si>
  <si>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</si>
  <si>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</si>
  <si>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</si>
  <si>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</si>
  <si>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</si>
  <si>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</si>
  <si>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</si>
  <si>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</si>
  <si>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</si>
  <si>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</si>
  <si>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</si>
  <si>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</si>
  <si>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</si>
  <si>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</si>
  <si>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</si>
  <si>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</si>
  <si>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</si>
  <si>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</si>
  <si>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</si>
  <si>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</si>
  <si>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</si>
  <si>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</si>
  <si>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</si>
  <si>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</si>
  <si>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</si>
  <si>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</si>
  <si>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</si>
  <si>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</si>
  <si>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</si>
  <si>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</si>
  <si>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</si>
  <si>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</si>
  <si>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</si>
  <si>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</si>
  <si>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</si>
  <si>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</si>
  <si>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</si>
  <si>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</si>
  <si>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</si>
  <si>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</si>
  <si>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</si>
  <si>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</si>
  <si>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</si>
  <si>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</si>
  <si>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</si>
  <si>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</si>
  <si>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</si>
  <si>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</si>
  <si>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</si>
  <si>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</si>
  <si>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</si>
  <si>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</si>
  <si>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</si>
  <si>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</si>
  <si>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</si>
  <si>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</si>
  <si>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</si>
  <si>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</si>
  <si>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</si>
  <si>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</si>
  <si>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</si>
  <si>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</si>
  <si>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</si>
  <si>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</si>
  <si>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</si>
  <si>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</si>
  <si>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</si>
  <si>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</si>
  <si>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</si>
  <si>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</si>
  <si>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</si>
  <si>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</si>
  <si>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</si>
  <si>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</si>
  <si>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</si>
  <si>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</si>
  <si>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</si>
  <si>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</si>
  <si>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</si>
  <si>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</si>
  <si>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</si>
  <si>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</si>
  <si>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</si>
  <si>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</si>
  <si>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</si>
  <si>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</si>
  <si>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</si>
  <si>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</si>
  <si>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</si>
  <si>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</si>
  <si>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</si>
  <si>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</si>
  <si>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</si>
  <si>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</si>
  <si>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</si>
  <si>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</si>
  <si>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</si>
  <si>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</si>
  <si>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</si>
  <si>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</si>
  <si>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</si>
  <si>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</si>
  <si>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</si>
  <si>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</si>
  <si>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</si>
  <si>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</si>
  <si>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</si>
  <si>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</si>
  <si>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</si>
  <si>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</si>
  <si>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</si>
  <si>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</si>
  <si>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</si>
  <si>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</si>
  <si>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</si>
  <si>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</si>
  <si>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</si>
  <si>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</si>
  <si>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</si>
  <si>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</si>
  <si>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</si>
  <si>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</si>
  <si>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</si>
  <si>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</si>
  <si>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</si>
  <si>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</si>
  <si>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</si>
  <si>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</si>
  <si>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</si>
  <si>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</si>
  <si>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</si>
  <si>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</si>
  <si>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</si>
  <si>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</si>
  <si>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</si>
  <si>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</si>
  <si>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</si>
  <si>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</si>
  <si>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</si>
  <si>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</si>
  <si>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</si>
  <si>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</si>
  <si>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</si>
  <si>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</si>
  <si>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</si>
  <si>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</si>
  <si>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</si>
  <si>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</si>
  <si>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</si>
  <si>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</si>
  <si>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</si>
  <si>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</si>
  <si>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</si>
  <si>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</si>
  <si>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</si>
  <si>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</si>
  <si>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</si>
  <si>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</si>
  <si>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</si>
  <si>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</si>
  <si>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</si>
  <si>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</si>
  <si>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</si>
  <si>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</si>
  <si>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</si>
  <si>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</si>
  <si>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</si>
  <si>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</si>
  <si>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</si>
  <si>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</si>
  <si>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</si>
  <si>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</si>
  <si>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</si>
  <si>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</si>
  <si>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</si>
  <si>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</si>
  <si>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</si>
  <si>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</si>
  <si>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</si>
  <si>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</si>
  <si>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</si>
  <si>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</si>
  <si>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</si>
  <si>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</si>
  <si>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</si>
  <si>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</si>
  <si>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</si>
  <si>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</si>
  <si>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</si>
  <si>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</si>
  <si>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</si>
  <si>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</si>
  <si>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</si>
  <si>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</si>
  <si>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</si>
  <si>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</si>
  <si>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</si>
  <si>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</si>
  <si>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</si>
  <si>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</si>
  <si>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</si>
  <si>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</si>
  <si>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</si>
  <si>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</si>
  <si>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</si>
  <si>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</si>
  <si>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</si>
  <si>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</si>
  <si>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</si>
  <si>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</si>
  <si>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</si>
  <si>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</si>
  <si>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</si>
  <si>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</si>
  <si>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</si>
  <si>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</si>
  <si>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</si>
  <si>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</si>
  <si>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</si>
  <si>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</si>
  <si>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</si>
  <si>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</si>
  <si>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</si>
  <si>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</si>
  <si>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</si>
  <si>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</si>
  <si>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</si>
  <si>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</si>
  <si>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</si>
  <si>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</si>
  <si>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</si>
  <si>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</si>
  <si>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</si>
  <si>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</si>
  <si>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</si>
  <si>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</si>
  <si>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</si>
  <si>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</si>
  <si>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</si>
  <si>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</si>
  <si>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</si>
  <si>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</si>
  <si>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</si>
  <si>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</si>
  <si>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</si>
  <si>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</si>
  <si>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</si>
  <si>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</si>
  <si>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</si>
  <si>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</si>
  <si>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</si>
  <si>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</si>
  <si>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</si>
  <si>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</si>
  <si>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</si>
  <si>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</si>
  <si>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</si>
  <si>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</si>
  <si>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</si>
  <si>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</si>
  <si>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</si>
  <si>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</si>
  <si>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</si>
  <si>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</si>
  <si>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</si>
  <si>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</si>
  <si>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</si>
  <si>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</si>
  <si>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</si>
  <si>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</si>
  <si>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</si>
  <si>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</si>
  <si>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</si>
  <si>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</si>
  <si>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</si>
  <si>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</si>
  <si>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</si>
  <si>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</si>
  <si>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</si>
  <si>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</si>
  <si>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</si>
  <si>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</si>
  <si>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</si>
  <si>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</si>
  <si>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</si>
  <si>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</si>
  <si>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</si>
  <si>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</si>
  <si>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</si>
  <si>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</si>
  <si>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</si>
  <si>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</si>
  <si>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</si>
  <si>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</si>
  <si>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</si>
  <si>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</si>
  <si>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</si>
  <si>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</si>
  <si>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</si>
  <si>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</si>
  <si>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</si>
  <si>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</si>
  <si>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</si>
  <si>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</si>
  <si>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</si>
  <si>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</si>
  <si>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</si>
  <si>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</si>
  <si>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</si>
  <si>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</si>
  <si>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</si>
  <si>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</si>
  <si>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</si>
  <si>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</si>
  <si>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</si>
  <si>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</si>
  <si>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</si>
  <si>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</si>
  <si>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</si>
  <si>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</si>
  <si>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</si>
  <si>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</si>
  <si>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</si>
  <si>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</si>
  <si>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</si>
  <si>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</si>
  <si>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</si>
  <si>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</si>
  <si>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</si>
  <si>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</si>
  <si>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</si>
  <si>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</si>
  <si>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</si>
  <si>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</si>
  <si>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</si>
  <si>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</si>
  <si>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</si>
  <si>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</si>
  <si>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</si>
  <si>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</si>
  <si>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</si>
  <si>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</si>
  <si>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</si>
  <si>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</si>
  <si>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</si>
  <si>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</si>
  <si>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</si>
  <si>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</si>
  <si>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</si>
  <si>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</si>
  <si>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</si>
  <si>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</si>
  <si>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</si>
  <si>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</si>
  <si>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</si>
  <si>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</si>
  <si>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</si>
  <si>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</si>
  <si>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</si>
  <si>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</si>
  <si>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</si>
  <si>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</si>
  <si>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</si>
  <si>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</si>
  <si>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</si>
  <si>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</si>
  <si>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</si>
  <si>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</si>
  <si>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</si>
  <si>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</si>
  <si>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</si>
  <si>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</si>
  <si>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</si>
  <si>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</si>
  <si>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</si>
  <si>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</si>
  <si>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</si>
  <si>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</si>
  <si>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</si>
  <si>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</si>
  <si>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</si>
  <si>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</si>
  <si>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</si>
  <si>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</si>
  <si>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</si>
  <si>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</si>
  <si>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</si>
  <si>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</si>
  <si>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</si>
  <si>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</si>
  <si>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</si>
  <si>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</si>
  <si>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</si>
  <si>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</si>
  <si>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</si>
  <si>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</si>
  <si>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</si>
  <si>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</si>
  <si>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</si>
  <si>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</si>
  <si>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</si>
  <si>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</si>
  <si>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</si>
  <si>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</si>
  <si>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</si>
  <si>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</si>
  <si>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</si>
  <si>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</si>
  <si>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</si>
  <si>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</si>
  <si>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</si>
  <si>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</si>
  <si>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</si>
  <si>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</si>
  <si>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</si>
  <si>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</si>
  <si>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</si>
  <si>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</si>
  <si>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</si>
  <si>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</si>
  <si>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</si>
  <si>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</si>
  <si>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</si>
  <si>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</si>
  <si>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</si>
  <si>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</si>
  <si>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</si>
  <si>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</si>
  <si>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</si>
  <si>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</si>
  <si>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</si>
  <si>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</si>
  <si>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</si>
  <si>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</si>
  <si>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</si>
  <si>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</si>
  <si>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</si>
  <si>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</si>
  <si>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</si>
  <si>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</si>
  <si>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</si>
  <si>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</si>
  <si>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</si>
  <si>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</si>
  <si>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</si>
  <si>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</si>
  <si>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</si>
  <si>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</si>
  <si>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</si>
  <si>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</si>
  <si>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</si>
  <si>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</si>
  <si>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</si>
  <si>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</si>
  <si>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</si>
  <si>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</si>
  <si>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</si>
  <si>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</si>
  <si>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</si>
  <si>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</si>
  <si>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</si>
  <si>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</si>
  <si>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</si>
  <si>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</si>
  <si>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</si>
  <si>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</si>
  <si>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</si>
  <si>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</si>
  <si>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</si>
  <si>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</si>
  <si>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</si>
  <si>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</si>
  <si>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</si>
  <si>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</si>
  <si>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</si>
  <si>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</si>
  <si>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</si>
  <si>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</si>
  <si>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</si>
  <si>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</si>
  <si>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</si>
  <si>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</si>
  <si>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</si>
  <si>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</si>
  <si>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</si>
  <si>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</si>
  <si>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</si>
  <si>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</si>
  <si>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</si>
  <si>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</si>
  <si>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</si>
  <si>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</si>
  <si>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</si>
  <si>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</si>
  <si>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</si>
  <si>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</si>
  <si>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</si>
  <si>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</si>
  <si>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</si>
  <si>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</si>
  <si>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</si>
  <si>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</si>
  <si>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</si>
  <si>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</si>
  <si>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</si>
  <si>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</si>
  <si>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</si>
  <si>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</si>
  <si>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</si>
  <si>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</si>
  <si>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</si>
  <si>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</si>
  <si>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</si>
  <si>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</si>
  <si>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</si>
  <si>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</si>
  <si>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</si>
  <si>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</si>
  <si>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</si>
  <si>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</si>
  <si>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</si>
  <si>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</si>
  <si>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</si>
  <si>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</si>
  <si>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</si>
  <si>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</si>
  <si>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</si>
  <si>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</si>
  <si>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</si>
  <si>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</si>
  <si>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</si>
  <si>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</si>
  <si>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</si>
  <si>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</si>
  <si>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</si>
  <si>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</si>
  <si>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</si>
  <si>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</si>
  <si>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</si>
  <si>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</si>
  <si>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</si>
  <si>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</si>
  <si>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</si>
  <si>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</si>
  <si>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</si>
  <si>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</si>
  <si>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</si>
  <si>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</si>
  <si>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</si>
  <si>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</si>
  <si>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</si>
  <si>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</si>
  <si>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</si>
  <si>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</si>
  <si>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</si>
  <si>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</si>
  <si>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</si>
  <si>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</si>
  <si>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</si>
  <si>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</si>
  <si>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</si>
  <si>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</si>
  <si>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</si>
  <si>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</si>
  <si>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</si>
  <si>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</si>
  <si>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</si>
  <si>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</si>
  <si>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</si>
  <si>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</si>
  <si>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</si>
  <si>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</si>
  <si>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</si>
  <si>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</si>
  <si>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</si>
  <si>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</si>
  <si>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</si>
  <si>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</si>
  <si>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</si>
  <si>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</si>
  <si>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</si>
  <si>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</si>
  <si>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</si>
  <si>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</si>
  <si>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</si>
  <si>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</si>
  <si>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</si>
  <si>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</si>
  <si>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</si>
  <si>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</si>
  <si>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</si>
  <si>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</si>
  <si>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</si>
  <si>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</si>
  <si>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</si>
  <si>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</si>
  <si>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</si>
  <si>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</si>
  <si>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</si>
  <si>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</si>
  <si>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</si>
  <si>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</si>
  <si>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</si>
  <si>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</si>
  <si>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</si>
  <si>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</si>
  <si>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</si>
  <si>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</si>
  <si>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</si>
  <si>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</si>
  <si>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</si>
  <si>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</si>
  <si>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</si>
  <si>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</si>
  <si>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</si>
  <si>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</si>
  <si>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</si>
  <si>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</si>
  <si>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</si>
  <si>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</si>
  <si>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</si>
  <si>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</si>
  <si>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</si>
  <si>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</si>
  <si>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</si>
  <si>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</si>
  <si>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</si>
  <si>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</si>
  <si>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</si>
  <si>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</si>
  <si>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</si>
  <si>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</si>
  <si>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</si>
  <si>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</si>
  <si>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</si>
  <si>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</si>
  <si>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</si>
  <si>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</si>
  <si>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</si>
  <si>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</si>
  <si>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</si>
  <si>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</si>
  <si>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</si>
  <si>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</si>
  <si>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</si>
  <si>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</si>
  <si>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</si>
  <si>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</si>
  <si>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</si>
  <si>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</si>
  <si>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</si>
  <si>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</si>
  <si>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</si>
  <si>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</si>
  <si>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</si>
  <si>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</si>
  <si>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</si>
  <si>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</si>
  <si>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</si>
  <si>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</si>
  <si>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</si>
  <si>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</si>
  <si>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</si>
  <si>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</si>
  <si>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</si>
  <si>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</si>
  <si>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</si>
  <si>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</si>
  <si>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</si>
  <si>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</si>
  <si>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</si>
  <si>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</si>
  <si>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</si>
  <si>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</si>
  <si>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</si>
  <si>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</si>
  <si>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</si>
  <si>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</si>
  <si>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</si>
  <si>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</si>
  <si>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</si>
  <si>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</si>
  <si>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</si>
  <si>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</si>
  <si>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</si>
  <si>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</si>
  <si>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</si>
  <si>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</si>
  <si>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</si>
  <si>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</si>
  <si>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</si>
  <si>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</si>
  <si>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</si>
  <si>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</si>
  <si>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</si>
  <si>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</si>
  <si>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</si>
  <si>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</si>
  <si>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</si>
  <si>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</si>
  <si>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</si>
  <si>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</si>
  <si>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</si>
  <si>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</si>
  <si>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</si>
  <si>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</si>
  <si>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</si>
  <si>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</si>
  <si>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</si>
  <si>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</si>
  <si>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</si>
  <si>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</si>
  <si>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</si>
  <si>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</si>
  <si>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</si>
  <si>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r>
      <rPr>
        <sz val="10"/>
        <color theme="9" tint="-0.249977111117893"/>
        <rFont val="宋体"/>
        <family val="3"/>
        <charset val="134"/>
      </rPr>
      <t>北京市朝阳区朝阳门外大街</t>
    </r>
    <r>
      <rPr>
        <sz val="10"/>
        <color theme="9" tint="-0.249977111117893"/>
        <rFont val="Arial"/>
        <family val="2"/>
      </rPr>
      <t>18</t>
    </r>
    <r>
      <rPr>
        <sz val="10"/>
        <color theme="9" tint="-0.249977111117893"/>
        <rFont val="宋体"/>
        <family val="3"/>
        <charset val="134"/>
      </rPr>
      <t>号</t>
    </r>
    <phoneticPr fontId="7" type="noConversion"/>
  </si>
  <si>
    <t>通路</t>
  </si>
  <si>
    <t>通电</t>
  </si>
  <si>
    <t>通讯</t>
  </si>
  <si>
    <t>通上水</t>
  </si>
  <si>
    <t>通下水</t>
  </si>
  <si>
    <t>平整</t>
  </si>
  <si>
    <t>燃气</t>
  </si>
  <si>
    <t>2101单元</t>
  </si>
  <si>
    <t>2201单元</t>
  </si>
  <si>
    <t>B1层</t>
  </si>
  <si>
    <t>是</t>
  </si>
  <si>
    <t>地上</t>
  </si>
  <si>
    <t>成新度</t>
  </si>
  <si>
    <t>竣工时间</t>
    <phoneticPr fontId="4" type="noConversion"/>
  </si>
  <si>
    <t>直线</t>
    <phoneticPr fontId="4" type="noConversion"/>
  </si>
  <si>
    <t>观察</t>
    <phoneticPr fontId="4" type="noConversion"/>
  </si>
  <si>
    <t>办公</t>
    <phoneticPr fontId="8" type="noConversion"/>
  </si>
  <si>
    <t>收益法 (元)</t>
  </si>
  <si>
    <t>自定义容积率</t>
  </si>
  <si>
    <t>朝阳门外大街</t>
  </si>
  <si>
    <t>与级别开发程度不一致</t>
  </si>
  <si>
    <t>楼层修正</t>
  </si>
  <si>
    <t>较好</t>
  </si>
  <si>
    <r>
      <rPr>
        <sz val="10"/>
        <color theme="9" tint="-0.249977111117893"/>
        <rFont val="宋体"/>
        <family val="3"/>
        <charset val="134"/>
      </rPr>
      <t>估价对象位于朝阳门商圈，周边悠唐国际中心、</t>
    </r>
    <r>
      <rPr>
        <sz val="10"/>
        <color theme="9" tint="-0.249977111117893"/>
        <rFont val="Arial"/>
        <family val="2"/>
      </rPr>
      <t>THE BPX</t>
    </r>
    <r>
      <rPr>
        <sz val="10"/>
        <color theme="9" tint="-0.249977111117893"/>
        <rFont val="宋体"/>
        <family val="3"/>
        <charset val="134"/>
      </rPr>
      <t>等购物中心项目，人流量较大，商业繁华度较好</t>
    </r>
    <phoneticPr fontId="4" type="noConversion"/>
  </si>
  <si>
    <t>估价对象位于朝阳门商圈，周边办公楼项目较多，有联合大厦、华普国际大厦等写字楼，入驻率高，办公集聚程度较好</t>
    <phoneticPr fontId="4" type="noConversion"/>
  </si>
  <si>
    <t>周边有75、110、420路及地铁2号、6号线，周边道路密集，停车便捷程度，综合评价交通便捷度较好</t>
    <phoneticPr fontId="4" type="noConversion"/>
  </si>
  <si>
    <t>估价对象所在区域银行、购物场所、学校等公共配套设施齐备，综合评价公共配套设施水平较好</t>
    <phoneticPr fontId="4" type="noConversion"/>
  </si>
  <si>
    <t>估价对象所在区域基础设施水平“七通一平</t>
    <phoneticPr fontId="4" type="noConversion"/>
  </si>
  <si>
    <t>区域内有东城职业大学、日坛公园、富国海底世界等自然及人文环境，综合评价自然及人文环境状况较好。</t>
    <phoneticPr fontId="4" type="noConversion"/>
  </si>
  <si>
    <t>城市主干道——朝阳门外大街</t>
    <phoneticPr fontId="4" type="noConversion"/>
  </si>
  <si>
    <t>好</t>
  </si>
  <si>
    <t>未包含在土地购买价格中</t>
  </si>
  <si>
    <t>已包含在土地取得成本中</t>
  </si>
  <si>
    <t>押一</t>
  </si>
  <si>
    <t>钢混</t>
  </si>
  <si>
    <t>非生产用房</t>
  </si>
  <si>
    <t>现房</t>
  </si>
  <si>
    <t>项目局部</t>
  </si>
  <si>
    <t>成本法 (元)</t>
  </si>
  <si>
    <t>商务金融用地</t>
  </si>
  <si>
    <t>成本法办</t>
  </si>
  <si>
    <t>成本法办</t>
    <phoneticPr fontId="17" type="noConversion"/>
  </si>
  <si>
    <t>收益法办</t>
  </si>
  <si>
    <t>收益法办</t>
    <phoneticPr fontId="17" type="noConversion"/>
  </si>
  <si>
    <t>总建筑面积</t>
    <phoneticPr fontId="4" type="noConversion"/>
  </si>
  <si>
    <t>总土地面积</t>
    <phoneticPr fontId="4" type="noConversion"/>
  </si>
  <si>
    <t>楼面单价</t>
  </si>
  <si>
    <t>出让金+开发费</t>
  </si>
  <si>
    <t>企业提供（在右侧录入）</t>
  </si>
  <si>
    <t>情况3</t>
  </si>
  <si>
    <t>正常</t>
  </si>
  <si>
    <t>自行开发建设</t>
  </si>
  <si>
    <t>非个人房产</t>
  </si>
  <si>
    <t>丰联广场，办公单价33000-34000元/平方米，净值大概是31000-32000元/平方米；地下商业17000-18000元/平方米，净值16000-17000元/平方米；另外就是商业剩余年期很短了，大概就不到9年了，好像有的银行低于10年就不能贷了</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</si>
</sst>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2">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北京市北京市朝阳区朝阳门外大街18号房地产抵押价值预评估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受贵公司委托，我公司对北京市北京市朝阳区朝阳门外大街18号房地产抵押价值进行了预评估。</v>
      </c>
    </row>
    <row r="7" spans="1:2">
      <c r="A7" s="1119" t="s">
        <v>566</v>
      </c>
      <c r="B7" s="1120" t="str">
        <f>'预评函-1'!A7</f>
        <v>估价对象为北京市北京市朝阳区朝阳门外大街18号房地产，为所有。根据《国有土地使用证》[]，估价对象（分摊）出让国有建设用地使用权面积为54.66平方米，建筑面积为476.94平方米。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市朝阳区朝阳门外大街18号房地产,属开发建设的，该项目尚在开发建设中。根据《国有土地使用证》[]，估价对象（分摊）出让国有建设用地使用权面积为54.66平方米，规划建筑面积为476.94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2025年4月18日（评估专业人员实地查勘之日）</v>
      </c>
    </row>
    <row r="13" spans="1:2">
      <c r="A13" s="1119" t="s">
        <v>529</v>
      </c>
      <c r="B13" s="1120"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#N/A</v>
      </c>
    </row>
    <row r="21" spans="1:2">
      <c r="A21" s="1119" t="s">
        <v>537</v>
      </c>
      <c r="B21" s="1120" t="e">
        <f ca="1">'预评函-2'!D7</f>
        <v>#N/A</v>
      </c>
    </row>
    <row r="22" spans="1:2">
      <c r="A22" s="1119" t="s">
        <v>538</v>
      </c>
      <c r="B22" s="1120" t="e">
        <f ca="1">'预评函-2'!D6</f>
        <v>#N/A</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#N/A</v>
      </c>
    </row>
    <row r="31" spans="1:2">
      <c r="A31" s="1119" t="s">
        <v>576</v>
      </c>
      <c r="B31" s="1120" t="e">
        <f ca="1">'预评函-2'!D15</f>
        <v>#N/A</v>
      </c>
    </row>
    <row r="32" spans="1:2">
      <c r="A32" s="1119" t="s">
        <v>543</v>
      </c>
      <c r="B32" s="1120" t="e">
        <f ca="1">'预评函-2'!D14</f>
        <v>#N/A</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t="e">
        <f ca="1">'预评函-2'!D19</f>
        <v>#N/A</v>
      </c>
    </row>
    <row r="39" spans="1:2">
      <c r="A39" s="1119" t="s">
        <v>545</v>
      </c>
      <c r="B39" s="1120" t="e">
        <f ca="1">'预评函-2'!D21</f>
        <v>#N/A</v>
      </c>
    </row>
    <row r="40" spans="1:2">
      <c r="A40" s="1119" t="s">
        <v>546</v>
      </c>
      <c r="B40" s="1120" t="e">
        <f ca="1">'预评函-2'!D20</f>
        <v>#N/A</v>
      </c>
    </row>
    <row r="41" spans="1:2">
      <c r="A41" s="1119" t="s">
        <v>592</v>
      </c>
      <c r="B41" s="1120" t="str">
        <f>'预评函-3'!A4</f>
        <v>北京市北京市朝阳区朝阳门外大街18号房地产</v>
      </c>
    </row>
    <row r="42" spans="1:2" ht="31.2">
      <c r="A42" s="1119" t="s">
        <v>590</v>
      </c>
      <c r="B42" s="1120" t="str">
        <f>'预评函-3'!B2</f>
        <v>建筑面积</v>
      </c>
    </row>
    <row r="43" spans="1:2">
      <c r="A43" s="1119" t="s">
        <v>591</v>
      </c>
      <c r="B43" s="1120">
        <f>'预评函-3'!B4</f>
        <v>476.94000000000005</v>
      </c>
    </row>
    <row r="44" spans="1:2" ht="31.2">
      <c r="A44" s="1119" t="s">
        <v>575</v>
      </c>
      <c r="B44" s="1120" t="str">
        <f>'预评函-3'!C2</f>
        <v>(分摊)土地面积</v>
      </c>
    </row>
    <row r="45" spans="1:2">
      <c r="A45" s="1119" t="s">
        <v>547</v>
      </c>
      <c r="B45" s="1120">
        <f>'预评函-3'!C4</f>
        <v>54.66</v>
      </c>
    </row>
    <row r="46" spans="1:2">
      <c r="A46" s="1119" t="s">
        <v>573</v>
      </c>
      <c r="B46" s="1120" t="str">
        <f>'预评函-3'!D2</f>
        <v>出让国有建设用地使用权价值</v>
      </c>
    </row>
    <row r="47" spans="1:2">
      <c r="A47" s="1119" t="s">
        <v>548</v>
      </c>
      <c r="B47" s="1120" t="e">
        <f ca="1">'预评函-3'!D4</f>
        <v>#N/A</v>
      </c>
    </row>
    <row r="48" spans="1:2">
      <c r="A48" s="1119" t="s">
        <v>549</v>
      </c>
      <c r="B48" s="1120" t="e">
        <f ca="1">'预评函-3'!E4</f>
        <v>#N/A</v>
      </c>
    </row>
    <row r="49" spans="1:2">
      <c r="A49" s="1119" t="s">
        <v>550</v>
      </c>
      <c r="B49" s="1120" t="e">
        <f ca="1">'预评函-3'!D5</f>
        <v>#N/A</v>
      </c>
    </row>
    <row r="50" spans="1:2">
      <c r="A50" s="1119" t="s">
        <v>574</v>
      </c>
      <c r="B50" s="1120" t="str">
        <f>'预评函-3'!F2</f>
        <v>在建建筑物价值</v>
      </c>
    </row>
    <row r="51" spans="1:2">
      <c r="A51" s="1119" t="s">
        <v>551</v>
      </c>
      <c r="B51" s="1120" t="e">
        <f ca="1">'预评函-3'!F4</f>
        <v>#N/A</v>
      </c>
    </row>
    <row r="52" spans="1:2">
      <c r="A52" s="1119" t="s">
        <v>552</v>
      </c>
      <c r="B52" s="1120" t="e">
        <f ca="1">'预评函-3'!G4</f>
        <v>#N/A</v>
      </c>
    </row>
    <row r="53" spans="1:2">
      <c r="A53" s="1119" t="s">
        <v>580</v>
      </c>
      <c r="B53" s="1120" t="e">
        <f ca="1">'预评函-3'!F5</f>
        <v>#N/A</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4" t="s">
        <v>3456</v>
      </c>
      <c r="C19" s="1442"/>
    </row>
    <row r="20" spans="1:3">
      <c r="A20" s="1441" t="s">
        <v>1048</v>
      </c>
      <c r="B20" s="1444" t="s">
        <v>3458</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06" t="s">
        <v>2576</v>
      </c>
      <c r="J2" s="3206"/>
      <c r="K2" s="3206"/>
      <c r="L2" s="3206"/>
      <c r="M2" s="3206"/>
      <c r="N2" s="3206"/>
      <c r="O2" s="3206"/>
      <c r="P2" s="3206"/>
      <c r="Q2" s="3206"/>
      <c r="R2" s="3206"/>
    </row>
    <row r="3" spans="1:18">
      <c r="A3" s="2760" t="s">
        <v>2497</v>
      </c>
      <c r="B3" s="2761">
        <f>项目基本情况!D3</f>
        <v>45765</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1.67</v>
      </c>
      <c r="D5" s="2765">
        <f>IF(ISERROR(ROUND(POWER(1+E5,A5-C5)*(POWER(1+E5,C5)-1)/(POWER(1+E5,A5)-1),3)),0,ROUND(POWER(1+E5,A5-C5)*(POWER(1+E5,C5)-1)/(POWER(1+E5,A5)-1),4))</f>
        <v>8.0100000000000005E-2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11.67</v>
      </c>
      <c r="D6" s="2765">
        <f>IF(ISERROR(ROUND(POWER(1+E6,A6-C6)*(POWER(1+E6,C6)-1)/(POWER(1+E6,A6)-1),3)),0,ROUND(POWER(1+E6,A6-C6)*(POWER(1+E6,C6)-1)/(POWER(1+E6,A6)-1),4))</f>
        <v>0.4274</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31.69</v>
      </c>
      <c r="D7" s="2765">
        <f>IF(ISERROR(ROUND(POWER(1+E7,A7-C7)*(POWER(1+E7,C7)-1)/(POWER(1+E7,A7)-1),3)),0,ROUND(POWER(1+E7,A7-C7)*(POWER(1+E7,C7)-1)/(POWER(1+E7,A7)-1),4))</f>
        <v>0.76029999999999998</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J36" sqref="J3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7" t="str">
        <f>IF(B10="北京市","北京市",C10)&amp;F10&amp;IF(结果表!G1="在建","出让国有建设用地使用权及在建建筑物",IF(结果表!G1="土地","出让国有建设用地使用权",))&amp;B9&amp;"预评估"</f>
        <v>北京市北京市朝阳区朝阳门外大街18号房地产抵押价值预评估</v>
      </c>
      <c r="C1" s="3208"/>
      <c r="D1" s="3208"/>
      <c r="E1" s="3208"/>
      <c r="F1" s="3208"/>
      <c r="G1" s="3208"/>
      <c r="H1" s="3208"/>
      <c r="I1" s="320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北京市北京市朝阳区朝阳门外大街18号房地产抵押价值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北京市北京市朝阳区朝阳门外大街18号房地产</v>
      </c>
      <c r="T2" s="1618"/>
      <c r="U2" s="1618"/>
      <c r="V2" s="1618"/>
      <c r="W2" s="1618"/>
      <c r="X2" s="1618"/>
      <c r="Y2" s="1618"/>
      <c r="Z2" s="1618"/>
      <c r="AA2" s="1618"/>
      <c r="AB2" s="1618"/>
    </row>
    <row r="3" spans="1:30">
      <c r="A3" s="294" t="s">
        <v>2170</v>
      </c>
      <c r="B3" s="2185">
        <v>45765</v>
      </c>
      <c r="C3" s="2186" t="s">
        <v>2171</v>
      </c>
      <c r="D3" s="2185">
        <f>B3</f>
        <v>45765</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3408</v>
      </c>
      <c r="C4" s="2188">
        <f ca="1">SUMIF(注册房地产估价师,B4,估价师及机构信息!B3:B24)</f>
        <v>1419970001</v>
      </c>
      <c r="D4" s="2187" t="s">
        <v>3409</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3410</v>
      </c>
      <c r="C8" s="2201"/>
      <c r="D8" s="3210" t="s">
        <v>2177</v>
      </c>
      <c r="E8" s="2202" t="s">
        <v>3411</v>
      </c>
      <c r="F8" s="2203"/>
      <c r="G8" s="2440"/>
      <c r="H8" s="2440"/>
      <c r="I8" s="2440"/>
      <c r="J8" s="2245"/>
      <c r="K8" s="2398"/>
      <c r="L8" s="2397"/>
      <c r="M8" s="2397"/>
      <c r="N8" s="2245"/>
      <c r="O8" s="1670"/>
      <c r="P8" s="2245"/>
      <c r="Q8" s="2245"/>
      <c r="R8" s="2245"/>
    </row>
    <row r="9" spans="1:30" ht="13.8" thickBot="1">
      <c r="A9" s="2204" t="s">
        <v>2178</v>
      </c>
      <c r="B9" s="2205" t="s">
        <v>3411</v>
      </c>
      <c r="C9" s="2206"/>
      <c r="D9" s="3211"/>
      <c r="E9" s="2205" t="s">
        <v>587</v>
      </c>
      <c r="F9" s="2207"/>
      <c r="G9" s="2441"/>
      <c r="H9" s="2441"/>
      <c r="I9" s="2441"/>
      <c r="J9" s="2245"/>
      <c r="K9" s="2400"/>
      <c r="L9" s="2397"/>
      <c r="M9" s="2397"/>
      <c r="N9" s="2245"/>
      <c r="O9" s="1670"/>
      <c r="P9" s="2245"/>
      <c r="Q9" s="2245"/>
      <c r="R9" s="2245"/>
    </row>
    <row r="10" spans="1:30" ht="13.8" thickTop="1">
      <c r="A10" s="2208" t="s">
        <v>2179</v>
      </c>
      <c r="B10" s="2209" t="s">
        <v>3412</v>
      </c>
      <c r="C10" s="2210"/>
      <c r="D10" s="2193"/>
      <c r="E10" s="2211" t="s">
        <v>2180</v>
      </c>
      <c r="F10" s="3160" t="s">
        <v>3414</v>
      </c>
      <c r="G10" s="2442"/>
      <c r="H10" s="2443"/>
      <c r="I10" s="2444"/>
      <c r="J10" s="2245"/>
      <c r="K10" s="2400"/>
      <c r="L10" s="2397"/>
      <c r="M10" s="2397"/>
      <c r="N10" s="2245"/>
      <c r="O10" s="1670"/>
      <c r="P10" s="2245"/>
      <c r="Q10" s="2245"/>
      <c r="R10" s="2245"/>
    </row>
    <row r="11" spans="1:30">
      <c r="A11" s="2212" t="s">
        <v>2181</v>
      </c>
      <c r="B11" s="2213" t="s">
        <v>3413</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2572</v>
      </c>
      <c r="J12" s="2800"/>
      <c r="K12" s="2397"/>
      <c r="L12" s="2397"/>
      <c r="M12" s="2245"/>
      <c r="N12" s="1670"/>
      <c r="O12" s="2245"/>
      <c r="P12" s="2245"/>
      <c r="Q12" s="2245"/>
      <c r="AD12" s="1618"/>
    </row>
    <row r="13" spans="1:30">
      <c r="A13" s="3119" t="s">
        <v>3328</v>
      </c>
      <c r="B13" s="2218" t="s">
        <v>2190</v>
      </c>
      <c r="C13" s="803"/>
      <c r="D13" s="803">
        <v>48977</v>
      </c>
      <c r="E13" s="803">
        <v>52629</v>
      </c>
      <c r="F13" s="803"/>
      <c r="G13" s="803"/>
      <c r="H13" s="803"/>
      <c r="I13" s="803"/>
      <c r="J13" s="2800"/>
      <c r="K13" s="2397"/>
      <c r="L13" s="2397"/>
      <c r="M13" s="2245"/>
      <c r="N13" s="1670"/>
      <c r="O13" s="2245"/>
      <c r="P13" s="2245"/>
      <c r="Q13" s="2245"/>
      <c r="AD13" s="1618"/>
    </row>
    <row r="14" spans="1:30">
      <c r="A14" s="1018"/>
      <c r="B14" s="2218" t="s">
        <v>2191</v>
      </c>
      <c r="C14" s="2219"/>
      <c r="D14" s="2219">
        <v>40</v>
      </c>
      <c r="E14" s="2219">
        <v>50</v>
      </c>
      <c r="F14" s="2219"/>
      <c r="G14" s="2219"/>
      <c r="H14" s="2219"/>
      <c r="I14" s="2219"/>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8.8000000000000007</v>
      </c>
      <c r="E15" s="2221">
        <f>IF(A13="出让",IF(E13="","",ROUNDDOWN(MIN((E13-$D$3)/365,E14),2)),E14)</f>
        <v>18.8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2"/>
      <c r="K15" s="1670"/>
      <c r="L15" s="1670"/>
      <c r="M15" s="2245"/>
      <c r="N15" s="1670"/>
      <c r="O15" s="2245"/>
      <c r="P15" s="2245"/>
      <c r="Q15" s="2245"/>
      <c r="AD15" s="1618"/>
    </row>
    <row r="16" spans="1:30">
      <c r="A16" s="2211" t="s">
        <v>2193</v>
      </c>
      <c r="B16" s="3217"/>
      <c r="C16" s="3218"/>
      <c r="D16" s="3219"/>
      <c r="E16" s="2222" t="s">
        <v>2194</v>
      </c>
      <c r="F16" s="3220"/>
      <c r="G16" s="3221"/>
      <c r="H16" s="3221"/>
      <c r="I16" s="3222"/>
      <c r="J16" s="2245"/>
      <c r="K16" s="2401"/>
      <c r="L16" s="1670"/>
      <c r="M16" s="1670"/>
      <c r="N16" s="2245"/>
      <c r="O16" s="1670"/>
      <c r="P16" s="2245"/>
      <c r="Q16" s="2245"/>
      <c r="R16" s="2245"/>
    </row>
    <row r="17" spans="1:28">
      <c r="A17" s="305" t="s">
        <v>2195</v>
      </c>
      <c r="B17" s="294" t="s">
        <v>2196</v>
      </c>
      <c r="C17" s="8">
        <f>'数据-汇总表'!E3</f>
        <v>476.94000000000005</v>
      </c>
      <c r="D17" s="1256" t="s">
        <v>2197</v>
      </c>
      <c r="E17" s="3223" t="s">
        <v>2198</v>
      </c>
      <c r="F17" s="3224"/>
      <c r="G17" s="3224"/>
      <c r="H17" s="3224"/>
      <c r="I17" s="3225"/>
      <c r="J17" s="2245"/>
      <c r="K17" s="2402"/>
      <c r="L17" s="1670"/>
      <c r="M17" s="1670"/>
      <c r="N17" s="2245"/>
      <c r="O17" s="1670"/>
      <c r="P17" s="2245"/>
      <c r="Q17" s="2245"/>
      <c r="R17" s="2245"/>
      <c r="S17" s="2245"/>
      <c r="T17" s="2245"/>
      <c r="U17" s="2245"/>
      <c r="V17" s="2245"/>
    </row>
    <row r="18" spans="1:28" ht="24.6" thickBot="1">
      <c r="A18" s="2223" t="s">
        <v>2199</v>
      </c>
      <c r="B18" s="1027" t="s">
        <v>2200</v>
      </c>
      <c r="C18" s="2224">
        <f>'数据-汇总表'!D3</f>
        <v>54.66</v>
      </c>
      <c r="D18" s="1029" t="s">
        <v>2201</v>
      </c>
      <c r="E18" s="3226" t="s">
        <v>2202</v>
      </c>
      <c r="F18" s="3227"/>
      <c r="G18" s="3227"/>
      <c r="H18" s="3227"/>
      <c r="I18" s="3228"/>
      <c r="J18" s="2245"/>
      <c r="K18" s="2402"/>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13" t="s">
        <v>2206</v>
      </c>
      <c r="C20" s="3214"/>
      <c r="D20" s="3215" t="s">
        <v>2207</v>
      </c>
      <c r="E20" s="3216"/>
      <c r="F20" s="2428" t="s">
        <v>1056</v>
      </c>
      <c r="G20" s="2440"/>
      <c r="H20" s="2440"/>
      <c r="I20" s="2440"/>
      <c r="J20" s="2245"/>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5"/>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5"/>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30"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30"/>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30"/>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31"/>
      <c r="B30" s="294" t="s">
        <v>2218</v>
      </c>
      <c r="C30" s="3232"/>
      <c r="D30" s="3233"/>
      <c r="E30" s="2440"/>
      <c r="F30" s="2440"/>
      <c r="G30" s="2440"/>
      <c r="H30" s="2440"/>
      <c r="I30" s="2440"/>
      <c r="J30" s="2245"/>
      <c r="K30" s="2400"/>
      <c r="L30" s="2397"/>
      <c r="M30" s="2397"/>
      <c r="N30" s="2245"/>
      <c r="O30" s="1670"/>
      <c r="P30" s="2245"/>
      <c r="Q30" s="2245"/>
      <c r="R30" s="2245"/>
      <c r="S30" s="2245"/>
      <c r="T30" s="2245"/>
      <c r="U30" s="2245"/>
      <c r="V30" s="2245"/>
    </row>
    <row r="31" spans="1:28">
      <c r="A31" s="3234"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35"/>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35"/>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t="s">
        <v>3415</v>
      </c>
      <c r="C34" s="1870" t="s">
        <v>3416</v>
      </c>
      <c r="D34" s="1870" t="s">
        <v>3417</v>
      </c>
      <c r="E34" s="1870" t="s">
        <v>3418</v>
      </c>
      <c r="F34" s="1870" t="s">
        <v>3419</v>
      </c>
      <c r="G34" s="1870" t="s">
        <v>3421</v>
      </c>
      <c r="H34" s="1870" t="s">
        <v>3420</v>
      </c>
      <c r="I34" s="2440"/>
      <c r="J34" s="2245"/>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5"/>
      <c r="V34" s="2245"/>
    </row>
    <row r="35" spans="1:30">
      <c r="A35" s="2236"/>
      <c r="B35" s="3229" t="s">
        <v>2229</v>
      </c>
      <c r="C35" s="3229"/>
      <c r="D35" s="3229"/>
      <c r="E35" s="3229"/>
      <c r="F35" s="8">
        <f>C10</f>
        <v>0</v>
      </c>
      <c r="G35" s="2440"/>
      <c r="H35" s="2440"/>
      <c r="I35" s="2440"/>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29"/>
      <c r="T35" s="138" t="str">
        <f>IF(T34="一通",L35,IF(T34="二通",M35,IF(T34="三通",N35,IF(T34="四通",O35,IF(T34="五通",P35,IF(T34="六通",Q35,R35))))))</f>
        <v>通路、通电、通讯、通上水、通下水、燃气、平整</v>
      </c>
      <c r="U35" s="2245"/>
      <c r="V35" s="2245"/>
    </row>
    <row r="36" spans="1:30">
      <c r="A36" s="2183"/>
      <c r="B36" s="8" t="s">
        <v>2185</v>
      </c>
      <c r="C36" s="8" t="s">
        <v>2186</v>
      </c>
      <c r="D36" s="8" t="s">
        <v>2184</v>
      </c>
      <c r="E36" s="8" t="s">
        <v>2189</v>
      </c>
      <c r="F36" s="2798" t="s">
        <v>2575</v>
      </c>
      <c r="G36" s="2440"/>
      <c r="H36" s="2440"/>
      <c r="I36" s="2440"/>
      <c r="J36" s="2245"/>
      <c r="K36" s="2400"/>
      <c r="L36" s="2397"/>
      <c r="M36" s="2397"/>
      <c r="N36" s="2245"/>
      <c r="O36" s="1670"/>
      <c r="P36" s="2245"/>
      <c r="Q36" s="2245"/>
      <c r="R36" s="2245"/>
      <c r="S36" s="2245"/>
      <c r="T36" s="2245"/>
      <c r="U36" s="2245"/>
      <c r="V36" s="2245"/>
    </row>
    <row r="37" spans="1:30">
      <c r="A37" s="2413" t="s">
        <v>2230</v>
      </c>
      <c r="B37" s="2237" t="s">
        <v>144</v>
      </c>
      <c r="C37" s="2237" t="s">
        <v>144</v>
      </c>
      <c r="D37" s="2237"/>
      <c r="E37" s="2237"/>
      <c r="F37" s="2237"/>
      <c r="G37" s="2440"/>
      <c r="H37" s="2440"/>
      <c r="I37" s="2440"/>
      <c r="J37" s="2245"/>
      <c r="K37" s="2400"/>
      <c r="L37" s="2397"/>
      <c r="M37" s="2397"/>
      <c r="N37" s="2245"/>
      <c r="O37" s="1670"/>
      <c r="P37" s="2245"/>
      <c r="Q37" s="2245"/>
      <c r="R37" s="2245"/>
      <c r="S37" s="2245"/>
      <c r="T37" s="2245"/>
      <c r="U37" s="2245"/>
      <c r="V37" s="2245"/>
    </row>
    <row r="38" spans="1:30" ht="13.8" thickBot="1">
      <c r="A38" s="2414" t="s">
        <v>2231</v>
      </c>
      <c r="B38" s="2238" t="s">
        <v>145</v>
      </c>
      <c r="C38" s="2238" t="s">
        <v>145</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ROUND(H5/B13*B14,2)</f>
        <v>54.66</v>
      </c>
      <c r="B3" s="11">
        <f>IF(C3="否",G5-AT5,G5)</f>
        <v>476.94000000000005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476.94000000000005</v>
      </c>
      <c r="H5" s="13">
        <f t="shared" ref="H5:AT5" si="0">SUM(H13:H656)</f>
        <v>476.94000000000005</v>
      </c>
      <c r="I5" s="13">
        <f t="shared" si="0"/>
        <v>0</v>
      </c>
      <c r="J5" s="13">
        <f t="shared" si="0"/>
        <v>0</v>
      </c>
      <c r="K5" s="13">
        <f t="shared" si="0"/>
        <v>476.94000000000005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476.94000000000005</v>
      </c>
      <c r="BA5" s="15">
        <f t="shared" si="1"/>
        <v>476.94000000000005</v>
      </c>
      <c r="BB5" s="15">
        <f t="shared" si="1"/>
        <v>0</v>
      </c>
      <c r="BC5" s="15">
        <f t="shared" si="1"/>
        <v>476.94000000000005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54.66</v>
      </c>
      <c r="F6" s="13" t="s">
        <v>0</v>
      </c>
      <c r="G6" s="13" t="s">
        <v>1</v>
      </c>
      <c r="H6" s="17">
        <f>SUMIF(I$12:AB$12,"总值",I6:AB6)</f>
        <v>54.66</v>
      </c>
      <c r="I6" s="13">
        <f t="shared" ref="I6:AB6" si="2">ROUND($A$3*I5/$B$3,2)</f>
        <v>0</v>
      </c>
      <c r="J6" s="13">
        <f t="shared" si="2"/>
        <v>0</v>
      </c>
      <c r="K6" s="13">
        <f t="shared" si="2"/>
        <v>54.66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54.66</v>
      </c>
      <c r="AZ6" s="13" t="s">
        <v>2</v>
      </c>
      <c r="BA6" s="13">
        <f>ROUND($AY$6*BA5/$AZ$5,2)</f>
        <v>54.66</v>
      </c>
      <c r="BB6" s="13">
        <f>ROUND($AY$6*BB5/$AZ$5,2)</f>
        <v>0</v>
      </c>
      <c r="BC6" s="13">
        <f t="shared" ref="BC6:BH6" si="4">ROUND($AY$6*BC5/$AZ$5,2)</f>
        <v>54.66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3426</v>
      </c>
      <c r="J9" s="761"/>
      <c r="K9" s="1491" t="s">
        <v>3426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1"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7.6">
      <c r="A13" s="31" t="s">
        <v>3459</v>
      </c>
      <c r="B13" s="31">
        <v>93222.79</v>
      </c>
      <c r="C13" s="3161" t="s">
        <v>3422</v>
      </c>
      <c r="D13" s="1513" t="s">
        <v>3425</v>
      </c>
      <c r="E13" s="13">
        <f>IF($C$3="是",ROUND($A$3*G13/$B$3,2),ROUND($A$3*(G13-AT13)/$B$3,2))</f>
        <v>27.14</v>
      </c>
      <c r="F13" s="29"/>
      <c r="G13" s="30">
        <f>H13+AC13+AT13</f>
        <v>236.83</v>
      </c>
      <c r="H13" s="17">
        <f>SUMIF(I$12:AB$12,"总值",I13:AB13)</f>
        <v>236.83</v>
      </c>
      <c r="I13" s="1514"/>
      <c r="J13" s="1514"/>
      <c r="K13" s="1514">
        <v>236.83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t="str">
        <f t="shared" ref="AV13:AX17" si="6">A13</f>
        <v>总建筑面积</v>
      </c>
      <c r="AW13" s="8">
        <f t="shared" si="6"/>
        <v>93222.79</v>
      </c>
      <c r="AX13" s="8" t="str">
        <f t="shared" si="6"/>
        <v>2101单元</v>
      </c>
      <c r="AY13" s="1260">
        <f>ROUND($AY$6*AZ13/$AZ$5,2)</f>
        <v>27.14</v>
      </c>
      <c r="AZ13" s="13">
        <f>BA13+BL13</f>
        <v>236.83</v>
      </c>
      <c r="BA13" s="13">
        <f>SUM(BB13:BK13)</f>
        <v>236.83</v>
      </c>
      <c r="BB13" s="13">
        <f>IF($D13="是",I13-J13,0)</f>
        <v>0</v>
      </c>
      <c r="BC13" s="13">
        <f>IF($D13="是",K13-L13,0)</f>
        <v>236.83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27.6">
      <c r="A14" s="31" t="s">
        <v>3460</v>
      </c>
      <c r="B14" s="31">
        <v>10682.89</v>
      </c>
      <c r="C14" s="3161" t="s">
        <v>3423</v>
      </c>
      <c r="D14" s="1513" t="s">
        <v>3425</v>
      </c>
      <c r="E14" s="13">
        <f>IF($C$3="是",ROUND($A$3*G14/$B$3,2),ROUND($A$3*(G14-AT14)/$B$3,2))</f>
        <v>27.52</v>
      </c>
      <c r="F14" s="29"/>
      <c r="G14" s="30">
        <f>H14+AC14+AT14</f>
        <v>240.11</v>
      </c>
      <c r="H14" s="17">
        <f>SUMIF(I$12:AB$12,"总值",I14:AB14)</f>
        <v>240.11</v>
      </c>
      <c r="I14" s="1514"/>
      <c r="J14" s="1514"/>
      <c r="K14" s="1514">
        <v>240.11</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t="str">
        <f t="shared" si="6"/>
        <v>总土地面积</v>
      </c>
      <c r="AW14" s="8">
        <f t="shared" si="6"/>
        <v>10682.89</v>
      </c>
      <c r="AX14" s="8" t="str">
        <f t="shared" si="6"/>
        <v>2201单元</v>
      </c>
      <c r="AY14" s="1260">
        <f>ROUND($AY$6*AZ14/$AZ$5,2)</f>
        <v>27.52</v>
      </c>
      <c r="AZ14" s="13">
        <f>BA14+BL14</f>
        <v>240.11</v>
      </c>
      <c r="BA14" s="13">
        <f>SUM(BB14:BK14)</f>
        <v>240.11</v>
      </c>
      <c r="BB14" s="13">
        <f>IF($D14="是",I14-J14,0)</f>
        <v>0</v>
      </c>
      <c r="BC14" s="13">
        <f>IF($D14="是",K14-L14,0)</f>
        <v>240.11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3161"/>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70" zoomScaleNormal="100" zoomScaleSheetLayoutView="70" workbookViewId="0">
      <selection activeCell="X27" sqref="X27"/>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7"/>
      <c r="G2" s="2430"/>
      <c r="H2" s="2431"/>
      <c r="I2" s="2146" t="s">
        <v>1132</v>
      </c>
      <c r="J2" s="2437"/>
      <c r="K2" s="2437"/>
      <c r="L2" s="2437"/>
      <c r="M2" s="2437"/>
      <c r="N2" s="2438"/>
      <c r="O2" s="2437"/>
      <c r="P2" s="2437"/>
    </row>
    <row r="3" spans="1:16" ht="15" thickBot="1">
      <c r="A3" s="3246" t="s">
        <v>1105</v>
      </c>
      <c r="B3" s="3246"/>
      <c r="C3" s="3246"/>
      <c r="D3" s="41">
        <f>'数据-基础表'!AY6</f>
        <v>54.66</v>
      </c>
      <c r="E3" s="41">
        <f>'数据-基础表'!AZ5</f>
        <v>476.94000000000005</v>
      </c>
      <c r="F3" s="2437"/>
      <c r="G3" s="42"/>
      <c r="H3" s="43" t="s">
        <v>1106</v>
      </c>
      <c r="I3" s="802">
        <f>ROUND('数据-基础表'!B3/'数据-基础表'!A3,2)</f>
        <v>8.73</v>
      </c>
      <c r="J3" s="2437"/>
      <c r="K3" s="2437"/>
      <c r="L3" s="2437"/>
      <c r="M3" s="2437"/>
      <c r="N3" s="2438"/>
      <c r="O3" s="2437"/>
      <c r="P3" s="2437"/>
    </row>
    <row r="4" spans="1:16" ht="14.4">
      <c r="A4" s="3247"/>
      <c r="B4" s="3248"/>
      <c r="C4" s="3249"/>
      <c r="D4" s="1524" t="s">
        <v>1107</v>
      </c>
      <c r="E4" s="1525" t="s">
        <v>1108</v>
      </c>
      <c r="F4" s="2437"/>
      <c r="G4" s="2432" t="s">
        <v>1133</v>
      </c>
      <c r="H4" s="43" t="s">
        <v>1113</v>
      </c>
      <c r="I4" s="802">
        <f>ROUND(SUMIF('数据-基础表'!I9:AS9,"地上",'数据-基础表'!I5:AS5)/'数据-基础表'!A3,2)</f>
        <v>8.73</v>
      </c>
      <c r="J4" s="2437"/>
      <c r="K4" s="2437"/>
      <c r="L4" s="2437"/>
      <c r="M4" s="2437"/>
      <c r="N4" s="2438"/>
      <c r="O4" s="2437"/>
      <c r="P4" s="2437"/>
    </row>
    <row r="5" spans="1:16" ht="14.4">
      <c r="A5" s="42" t="s">
        <v>1109</v>
      </c>
      <c r="B5" s="3250" t="s">
        <v>1110</v>
      </c>
      <c r="C5" s="3250"/>
      <c r="D5" s="43">
        <f>ROUND($D$3*E5/$E$3,2)</f>
        <v>0</v>
      </c>
      <c r="E5" s="44">
        <f>SUMIF('数据-基础表'!$11:$11,"住宅",'数据-基础表'!$5:$5)</f>
        <v>0</v>
      </c>
      <c r="F5" s="2437"/>
      <c r="G5" s="42"/>
      <c r="H5" s="43" t="s">
        <v>1106</v>
      </c>
      <c r="I5" s="802">
        <f>ROUND(E31/D31,2)</f>
        <v>8.73</v>
      </c>
      <c r="J5" s="2437"/>
      <c r="K5" s="2437"/>
      <c r="L5" s="2437"/>
      <c r="M5" s="2437"/>
      <c r="N5" s="2437"/>
      <c r="O5" s="2437"/>
      <c r="P5" s="2437"/>
    </row>
    <row r="6" spans="1:16" ht="15" thickBot="1">
      <c r="A6" s="1527"/>
      <c r="B6" s="3250" t="s">
        <v>1111</v>
      </c>
      <c r="C6" s="3250"/>
      <c r="D6" s="43">
        <f>ROUND($D$3*E6/$E$3,2)</f>
        <v>54.66</v>
      </c>
      <c r="E6" s="44">
        <f>E3-E5</f>
        <v>476.94000000000005</v>
      </c>
      <c r="F6" s="2437"/>
      <c r="G6" s="1529" t="s">
        <v>1112</v>
      </c>
      <c r="H6" s="45" t="s">
        <v>1113</v>
      </c>
      <c r="I6" s="2433">
        <f>ROUND(F31/D31,2)</f>
        <v>8.73</v>
      </c>
      <c r="J6" s="2437"/>
      <c r="K6" s="2437"/>
      <c r="L6" s="2437"/>
      <c r="M6" s="2437"/>
      <c r="N6" s="2437"/>
      <c r="O6" s="2437"/>
      <c r="P6" s="2437"/>
    </row>
    <row r="7" spans="1:16" ht="15" thickBot="1">
      <c r="A7" s="3242"/>
      <c r="B7" s="3243"/>
      <c r="C7" s="3244"/>
      <c r="D7" s="1524" t="s">
        <v>1107</v>
      </c>
      <c r="E7" s="1528" t="s">
        <v>1114</v>
      </c>
      <c r="F7" s="2437"/>
      <c r="G7" s="2434" t="s">
        <v>1115</v>
      </c>
      <c r="H7" s="95"/>
      <c r="I7" s="2435">
        <v>8.73</v>
      </c>
      <c r="J7" s="2437"/>
      <c r="K7" s="2437"/>
      <c r="L7" s="2437"/>
      <c r="M7" s="2437"/>
      <c r="N7" s="2437"/>
      <c r="O7" s="2437"/>
      <c r="P7" s="2437"/>
    </row>
    <row r="8" spans="1:16" ht="14.4">
      <c r="A8" s="42" t="s">
        <v>1116</v>
      </c>
      <c r="B8" s="45" t="s">
        <v>1117</v>
      </c>
      <c r="C8" s="43" t="s">
        <v>1118</v>
      </c>
      <c r="D8" s="43">
        <f t="shared" ref="D8:D15" si="0">ROUND($D$3*E8/$E$3,2)</f>
        <v>54.66</v>
      </c>
      <c r="E8" s="46">
        <f>SUMIF('数据-基础表'!BB10:BK10,"地上",'数据-基础表'!BB5:BK5)</f>
        <v>476.94000000000005</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54.66</v>
      </c>
      <c r="E16" s="48">
        <f>SUM(E8:E15)</f>
        <v>476.94000000000005</v>
      </c>
      <c r="F16" s="2437"/>
      <c r="G16" s="2437"/>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3431</v>
      </c>
      <c r="D19" s="43">
        <f>ROUND($D$3*E19/$E$3,2)</f>
        <v>54.66</v>
      </c>
      <c r="E19" s="51">
        <f t="shared" ref="E19:E26" si="1">SUM(F19:G19)</f>
        <v>476.94000000000005</v>
      </c>
      <c r="F19" s="2555">
        <f>'数据-基础表'!K5</f>
        <v>476.94000000000005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54.66</v>
      </c>
      <c r="S19" s="51">
        <f t="shared" si="5"/>
        <v>476.94000000000005</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54.66</v>
      </c>
      <c r="E27" s="1073">
        <f>IF(SUM(E19:E26)='数据-基础表'!BA5,SUM(E19:E26),IF(F27="地上面积有误","面积有误","地下面积有误"))</f>
        <v>476.94000000000005</v>
      </c>
      <c r="F27" s="1072">
        <f>IF(SUM(F19:F26)=E8,SUM(F19:F26),"地上面积有误")</f>
        <v>476.94000000000005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54.66</v>
      </c>
      <c r="S27" s="43">
        <f>IF(SUM(S19:S26)=$E$3,SUM(S19:S26),SUM(S19:S26)&amp;"误差"&amp;ROUND(SUM(S19:S26)-E3,2))</f>
        <v>476.94000000000005</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54.66</v>
      </c>
      <c r="E31" s="643">
        <f>E27+E30</f>
        <v>476.94000000000005</v>
      </c>
      <c r="F31" s="644">
        <f>F27+F30</f>
        <v>476.94000000000005</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Q10" sqref="Q1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45765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52629</v>
      </c>
      <c r="F6" s="61">
        <f>SUMIF(项目基本情况!C$12:I$12,C6,项目基本情况!C$15:I$15)</f>
        <v>18.8</v>
      </c>
      <c r="G6" s="62">
        <f>IF(ISERROR(ROUND(POWER(1+H6,D6-F6)*(POWER(1+H6,F6)-1)/(POWER(1+H6,D6)-1),3)),0,ROUND(POWER(1+H6,D6-F6)*(POWER(1+H6,F6)-1)/(POWER(1+H6,D6)-1),3))</f>
        <v>0.65800000000000003</v>
      </c>
      <c r="H6" s="691">
        <v>0.05</v>
      </c>
      <c r="I6" s="691">
        <v>5.5E-2</v>
      </c>
      <c r="J6" s="63">
        <v>7.0000000000000007E-2</v>
      </c>
      <c r="K6" s="970">
        <f>SUMIF('数据-汇总表'!C$19:C$33,A6,'数据-汇总表'!E$19:E$33)</f>
        <v>476.94000000000005</v>
      </c>
      <c r="L6" s="692">
        <v>5600</v>
      </c>
      <c r="M6" s="64">
        <f t="shared" ref="M6:M14" si="0">ROUND(K6*L6/10000,0)</f>
        <v>267</v>
      </c>
      <c r="N6" s="690">
        <f>O22</f>
        <v>0.69</v>
      </c>
      <c r="O6" s="64" t="str">
        <f>IF($N$5="成新度","——",ROUND(M6*N6,0))</f>
        <v>——</v>
      </c>
      <c r="P6" s="65" t="str">
        <f>IF($N$5="成新度","——",M6-O6)</f>
        <v>——</v>
      </c>
      <c r="Q6" s="693">
        <v>0.2</v>
      </c>
      <c r="R6" s="66">
        <f ca="1">SUMIF('数据-汇总表'!C$19:C$33,A6,'数据-汇总表'!R$19:R$27)</f>
        <v>54.66</v>
      </c>
      <c r="S6" s="49">
        <f>IF('数据-汇总表'!$I$17="按面积比例",SUMIF('数据-汇总表'!C$19:C$33,A6,'数据-汇总表'!K$19:K$33),SUMIF('数据-汇总表'!C$19:C$33,A6,'数据-汇总表'!N$19:N$33))</f>
        <v>0</v>
      </c>
      <c r="T6" s="1092">
        <f>ROUND($L$14*S6/10000,0)</f>
        <v>0</v>
      </c>
      <c r="U6" s="3124">
        <v>6.5</v>
      </c>
      <c r="V6" s="67">
        <v>0.02</v>
      </c>
      <c r="W6" s="67">
        <v>0.1</v>
      </c>
      <c r="X6" s="979"/>
      <c r="Y6" s="68">
        <f>N6</f>
        <v>0.69</v>
      </c>
      <c r="Z6" s="69"/>
      <c r="AA6" s="63"/>
      <c r="AB6" s="63"/>
      <c r="AC6" s="979"/>
      <c r="AD6" s="70"/>
      <c r="AE6" s="980">
        <f ca="1">IF(AN6="",0,SUMIF(INDIRECT("'"&amp;AN6&amp;"'"&amp;"!E:E"),$AE$5,INDIRECT("'"&amp;AN6&amp;"'"&amp;"!F:F")))</f>
        <v>18.8</v>
      </c>
      <c r="AF6" s="74"/>
      <c r="AG6" s="130">
        <f>IF(AF6="",0,AE6-AF6)</f>
        <v>0</v>
      </c>
      <c r="AH6" s="71"/>
      <c r="AI6" s="73">
        <v>365</v>
      </c>
      <c r="AJ6" s="74"/>
      <c r="AK6" s="75">
        <v>3.0000000000000001E-3</v>
      </c>
      <c r="AL6" s="76">
        <v>1E-3</v>
      </c>
      <c r="AM6" s="77">
        <v>5.0000000000000001E-3</v>
      </c>
      <c r="AN6" s="1589" t="s">
        <v>3457</v>
      </c>
      <c r="AO6" s="50">
        <f ca="1">SUMIF(INDIRECT("'"&amp;AN6&amp;"'"&amp;"!A:A"),"总价",INDIRECT("'"&amp;AN6&amp;"'"&amp;"!B:B"))</f>
        <v>1156.8995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t="s">
        <v>673</v>
      </c>
      <c r="D7" s="805">
        <f>SUMIF(项目基本情况!C$12:I$12,C7,项目基本情况!C$14:I$14)</f>
        <v>40</v>
      </c>
      <c r="E7" s="804" t="str">
        <f>IF(B7="","",SUMIF(项目基本情况!C$12:I$12,C7,项目基本情况!C$13:I$13))</f>
        <v/>
      </c>
      <c r="F7" s="61">
        <f>SUMIF(项目基本情况!C$12:I$12,C7,项目基本情况!C$15:I$15)</f>
        <v>8.8000000000000007</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0.65800000000000003</v>
      </c>
      <c r="H16" s="84">
        <f>ROUND(SUMPRODUCT(H6:H13,K6:K13)/SUMPRODUCT((H6:H13&gt;0)*(K6:K13)),3)</f>
        <v>0.05</v>
      </c>
      <c r="I16" s="85"/>
      <c r="J16" s="85"/>
      <c r="K16" s="86">
        <f>SUM(K6:K15)</f>
        <v>476.94000000000005</v>
      </c>
      <c r="L16" s="87">
        <f>ROUND(M16*10000/SUM(K6:K14),0)</f>
        <v>5598</v>
      </c>
      <c r="M16" s="87">
        <f>SUM(M6:M14)</f>
        <v>267</v>
      </c>
      <c r="N16" s="88">
        <f>ROUND(SUMPRODUCT(M6:M14,N6:N14)/M16,3)</f>
        <v>0.69</v>
      </c>
      <c r="O16" s="87">
        <f>SUM(O6:O14)</f>
        <v>0</v>
      </c>
      <c r="P16" s="87">
        <f>SUM(P6:P14)</f>
        <v>0</v>
      </c>
      <c r="Q16" s="89">
        <f>ROUND(SUMPRODUCT(Q6:Q13,K6:K13)/SUMPRODUCT((Q6:Q13&gt;0)*(K6:K13)),2)</f>
        <v>0.2</v>
      </c>
      <c r="R16" s="974">
        <f ca="1">SUM(R6:R13)</f>
        <v>54.66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2446"/>
      <c r="N19" s="3162" t="s">
        <v>3428</v>
      </c>
      <c r="O19" s="2446">
        <v>1996</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3</v>
      </c>
      <c r="C20" s="2559" t="s">
        <v>2296</v>
      </c>
      <c r="D20" s="2449"/>
      <c r="E20" s="2437"/>
      <c r="F20" s="2437"/>
      <c r="G20" s="2437"/>
      <c r="H20" s="2437"/>
      <c r="I20" s="2437"/>
      <c r="J20" s="2437"/>
      <c r="K20" s="2447"/>
      <c r="L20" s="2447"/>
      <c r="M20" s="2446"/>
      <c r="N20" s="3162" t="s">
        <v>3429</v>
      </c>
      <c r="O20" s="2446">
        <f>ROUND(1-(1-0)*(2025-O19)/60,2)</f>
        <v>0.52</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3</v>
      </c>
      <c r="C21" s="2437"/>
      <c r="D21" s="2449"/>
      <c r="E21" s="2437"/>
      <c r="F21" s="2437"/>
      <c r="G21" s="2437"/>
      <c r="H21" s="2437"/>
      <c r="I21" s="2437"/>
      <c r="J21" s="2437"/>
      <c r="K21" s="2447"/>
      <c r="L21" s="2447"/>
      <c r="M21" s="2446"/>
      <c r="N21" s="3162" t="s">
        <v>3430</v>
      </c>
      <c r="O21" s="2446">
        <v>0.85</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3</v>
      </c>
      <c r="C22" s="2437"/>
      <c r="D22" s="2449"/>
      <c r="E22" s="2437"/>
      <c r="F22" s="2437"/>
      <c r="G22" s="2437"/>
      <c r="H22" s="2437"/>
      <c r="I22" s="2437"/>
      <c r="J22" s="2437"/>
      <c r="K22" s="2447"/>
      <c r="L22" s="2447"/>
      <c r="M22" s="2446"/>
      <c r="N22" s="3162" t="s">
        <v>458</v>
      </c>
      <c r="O22" s="2446">
        <f>ROUND((O21+O20)/2,2)</f>
        <v>0.69</v>
      </c>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10</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0.08</v>
      </c>
      <c r="C33" s="2562"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2.5000000000000001E-2</v>
      </c>
      <c r="C37" s="2562"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4D18ECDA-751D-4238-9526-AFFDD67D5CE9}">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51" t="s">
        <v>2282</v>
      </c>
      <c r="B1" s="3252"/>
      <c r="C1" s="3252"/>
      <c r="D1" s="3252"/>
      <c r="E1" s="3252"/>
      <c r="F1" s="3252"/>
      <c r="G1" s="325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2278</v>
      </c>
      <c r="D2" s="1595"/>
      <c r="E2" s="2260"/>
      <c r="F2" s="2263"/>
      <c r="G2" s="2262" t="s">
        <v>2279</v>
      </c>
      <c r="H2" s="751"/>
      <c r="I2" s="751"/>
      <c r="J2" s="751"/>
      <c r="K2" s="751"/>
      <c r="L2" s="751"/>
      <c r="M2" s="751"/>
      <c r="N2" s="751"/>
      <c r="O2" s="751"/>
      <c r="P2" s="751"/>
      <c r="Q2" s="751"/>
    </row>
    <row r="3" spans="1:29" ht="40.200000000000003" thickBot="1">
      <c r="A3" s="2247" t="s">
        <v>2280</v>
      </c>
      <c r="B3" s="2264" t="s">
        <v>2252</v>
      </c>
      <c r="C3" s="2265"/>
      <c r="D3" s="2266"/>
      <c r="E3" s="2248" t="s">
        <v>2280</v>
      </c>
      <c r="F3" s="2267" t="s">
        <v>2253</v>
      </c>
      <c r="G3" s="2268" t="s">
        <v>2281</v>
      </c>
      <c r="H3" s="751"/>
      <c r="I3" s="751"/>
      <c r="J3" s="751"/>
      <c r="K3" s="751"/>
      <c r="L3" s="751"/>
      <c r="M3" s="751"/>
      <c r="N3" s="751"/>
      <c r="O3" s="751"/>
      <c r="P3" s="751"/>
      <c r="Q3" s="751"/>
    </row>
    <row r="4" spans="1:29" ht="51" thickBot="1">
      <c r="A4" s="2248"/>
      <c r="B4" s="315" t="s">
        <v>2254</v>
      </c>
      <c r="C4" s="2265" t="s">
        <v>3438</v>
      </c>
      <c r="D4" s="2266"/>
      <c r="E4" s="2269"/>
      <c r="F4" s="1281" t="s">
        <v>2255</v>
      </c>
      <c r="G4" s="2270" t="s">
        <v>2256</v>
      </c>
      <c r="H4" s="751"/>
      <c r="I4" s="751"/>
      <c r="J4" s="751"/>
      <c r="K4" s="751"/>
      <c r="L4" s="751"/>
      <c r="M4" s="751"/>
      <c r="N4" s="751"/>
      <c r="O4" s="751"/>
      <c r="P4" s="751"/>
      <c r="Q4" s="751"/>
    </row>
    <row r="5" spans="1:29" ht="66.599999999999994" thickBot="1">
      <c r="A5" s="2248"/>
      <c r="B5" s="315" t="s">
        <v>2257</v>
      </c>
      <c r="C5" s="2265" t="s">
        <v>3439</v>
      </c>
      <c r="D5" s="2266"/>
      <c r="E5" s="2269"/>
      <c r="F5" s="315" t="s">
        <v>2258</v>
      </c>
      <c r="G5" s="2270" t="s">
        <v>2259</v>
      </c>
      <c r="H5" s="751"/>
      <c r="I5" s="751"/>
      <c r="J5" s="751"/>
      <c r="K5" s="751"/>
      <c r="L5" s="751"/>
      <c r="M5" s="751"/>
      <c r="N5" s="751"/>
      <c r="O5" s="751"/>
      <c r="P5" s="751"/>
      <c r="Q5" s="751"/>
    </row>
    <row r="6" spans="1:29" ht="53.4" thickBot="1">
      <c r="A6" s="2248"/>
      <c r="B6" s="315" t="s">
        <v>2260</v>
      </c>
      <c r="C6" s="2265" t="s">
        <v>3440</v>
      </c>
      <c r="D6" s="2266"/>
      <c r="E6" s="2269"/>
      <c r="F6" s="315" t="s">
        <v>2261</v>
      </c>
      <c r="G6" s="2270" t="s">
        <v>2262</v>
      </c>
      <c r="H6" s="751"/>
      <c r="I6" s="751"/>
      <c r="J6" s="751"/>
      <c r="K6" s="751"/>
      <c r="L6" s="751"/>
      <c r="M6" s="751"/>
      <c r="N6" s="751"/>
      <c r="O6" s="751"/>
      <c r="P6" s="751"/>
      <c r="Q6" s="751"/>
    </row>
    <row r="7" spans="1:29" ht="53.4" thickBot="1">
      <c r="A7" s="2248"/>
      <c r="B7" s="315" t="s">
        <v>2258</v>
      </c>
      <c r="C7" s="2265" t="s">
        <v>3441</v>
      </c>
      <c r="D7" s="2245"/>
      <c r="E7" s="2271"/>
      <c r="F7" s="2272" t="s">
        <v>2263</v>
      </c>
      <c r="G7" s="2273" t="s">
        <v>2264</v>
      </c>
      <c r="H7" s="751"/>
      <c r="I7" s="751"/>
      <c r="J7" s="751"/>
      <c r="K7" s="751"/>
      <c r="L7" s="751"/>
      <c r="M7" s="751"/>
      <c r="N7" s="751"/>
      <c r="O7" s="751"/>
      <c r="P7" s="751"/>
      <c r="Q7" s="751"/>
    </row>
    <row r="8" spans="1:29" ht="27" thickBot="1">
      <c r="A8" s="2248"/>
      <c r="B8" s="315" t="s">
        <v>2261</v>
      </c>
      <c r="C8" s="2265" t="s">
        <v>3442</v>
      </c>
      <c r="D8" s="2245"/>
      <c r="E8" s="2245"/>
      <c r="F8" s="121"/>
      <c r="G8" s="121"/>
      <c r="H8" s="751"/>
      <c r="I8" s="751"/>
      <c r="J8" s="751"/>
      <c r="K8" s="751"/>
      <c r="L8" s="751"/>
      <c r="M8" s="751"/>
      <c r="N8" s="751"/>
      <c r="O8" s="751"/>
      <c r="P8" s="751"/>
      <c r="Q8" s="751"/>
    </row>
    <row r="9" spans="1:29" ht="53.4" thickBot="1">
      <c r="A9" s="2248"/>
      <c r="B9" s="315" t="s">
        <v>2265</v>
      </c>
      <c r="C9" s="2265" t="s">
        <v>3443</v>
      </c>
      <c r="D9" s="2266"/>
      <c r="E9" s="2245"/>
      <c r="F9" s="121"/>
      <c r="G9" s="121"/>
      <c r="H9" s="751"/>
      <c r="I9" s="751"/>
      <c r="J9" s="751"/>
      <c r="K9" s="751"/>
      <c r="L9" s="751"/>
      <c r="M9" s="751"/>
      <c r="N9" s="751"/>
      <c r="O9" s="751"/>
      <c r="P9" s="751"/>
      <c r="Q9" s="751"/>
    </row>
    <row r="10" spans="1:29" ht="27" thickBot="1">
      <c r="A10" s="2249"/>
      <c r="B10" s="2274" t="s">
        <v>2266</v>
      </c>
      <c r="C10" s="2265" t="s">
        <v>3444</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7.399999999999999">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2283</v>
      </c>
      <c r="B13" s="2278"/>
      <c r="C13" s="2278"/>
      <c r="D13" s="2277"/>
      <c r="E13" s="2278"/>
      <c r="F13" s="2278"/>
      <c r="G13" s="2278"/>
    </row>
    <row r="14" spans="1:29" ht="14.4" thickBot="1">
      <c r="A14" s="2283"/>
      <c r="B14" s="2283"/>
      <c r="C14" s="2284" t="s">
        <v>2267</v>
      </c>
      <c r="D14" s="2266"/>
      <c r="E14" s="2285"/>
      <c r="F14" s="2285"/>
      <c r="G14" s="2262" t="s">
        <v>2268</v>
      </c>
    </row>
    <row r="15" spans="1:29" ht="39.6">
      <c r="A15" s="2250" t="s">
        <v>2269</v>
      </c>
      <c r="B15" s="2286" t="s">
        <v>2252</v>
      </c>
      <c r="C15" s="2287">
        <f>C3</f>
        <v>0</v>
      </c>
      <c r="D15" s="2266"/>
      <c r="E15" s="2251" t="s">
        <v>2270</v>
      </c>
      <c r="F15" s="2286" t="s">
        <v>2271</v>
      </c>
      <c r="G15" s="2288" t="str">
        <f>G3</f>
        <v>估价对象位于XX开发区，园区建设成熟度XX，产业集聚程度XX</v>
      </c>
    </row>
    <row r="16" spans="1:29" ht="52.8">
      <c r="A16" s="2252"/>
      <c r="B16" s="2289" t="s">
        <v>2254</v>
      </c>
      <c r="C16" s="2290" t="str">
        <f>C4</f>
        <v>估价对象位于朝阳门商圈，周边悠唐国际中心、THE BPX等购物中心项目，人流量较大，商业繁华度较好</v>
      </c>
      <c r="D16" s="2266"/>
      <c r="E16" s="2253"/>
      <c r="F16" s="2291" t="s">
        <v>2255</v>
      </c>
      <c r="G16" s="2292" t="str">
        <f>G4</f>
        <v>估价对象周边道路状况、公共交通通达情况、停车便捷程度，综合评价交通便捷度较好</v>
      </c>
    </row>
    <row r="17" spans="1:17" ht="66">
      <c r="A17" s="2252"/>
      <c r="B17" s="2289" t="s">
        <v>2257</v>
      </c>
      <c r="C17" s="2290" t="str">
        <f>C5</f>
        <v>估价对象位于朝阳门商圈，周边办公楼项目较多，有联合大厦、华普国际大厦等写字楼，入驻率高，办公集聚程度较好</v>
      </c>
      <c r="D17" s="2245"/>
      <c r="E17" s="2253"/>
      <c r="F17" s="2291" t="s">
        <v>2272</v>
      </c>
      <c r="G17" s="2293"/>
    </row>
    <row r="18" spans="1:17" ht="52.8">
      <c r="A18" s="2252"/>
      <c r="B18" s="2291" t="s">
        <v>2260</v>
      </c>
      <c r="C18" s="2292" t="str">
        <f>C6</f>
        <v>周边有75、110、420路及地铁2号、6号线，周边道路密集，停车便捷程度，综合评价交通便捷度较好</v>
      </c>
      <c r="D18" s="2245"/>
      <c r="E18" s="2253"/>
      <c r="F18" s="2291" t="s">
        <v>2263</v>
      </c>
      <c r="G18" s="2292" t="str">
        <f>G7</f>
        <v>该园区内是否有污染型企业，绿化情况，卫生条件，整体环境状况判断</v>
      </c>
    </row>
    <row r="19" spans="1:17" ht="26.4">
      <c r="A19" s="2252"/>
      <c r="B19" s="2291" t="s">
        <v>2273</v>
      </c>
      <c r="C19" s="2293"/>
      <c r="D19" s="2266"/>
      <c r="E19" s="2253"/>
      <c r="F19" s="315" t="s">
        <v>2258</v>
      </c>
      <c r="G19" s="2292" t="str">
        <f>G5</f>
        <v>估价对象所在区域公共配套设施齐备情况</v>
      </c>
    </row>
    <row r="20" spans="1:17" ht="52.8">
      <c r="A20" s="2252"/>
      <c r="B20" s="2291" t="s">
        <v>2274</v>
      </c>
      <c r="C20" s="2290" t="str">
        <f>C9</f>
        <v>区域内有东城职业大学、日坛公园、富国海底世界等自然及人文环境，综合评价自然及人文环境状况较好。</v>
      </c>
      <c r="D20" s="2245"/>
      <c r="E20" s="2253"/>
      <c r="F20" s="315" t="s">
        <v>2261</v>
      </c>
      <c r="G20" s="2292" t="str">
        <f>G6</f>
        <v>估价对象所在区域基础设施水平</v>
      </c>
    </row>
    <row r="21" spans="1:17" ht="52.8">
      <c r="A21" s="2252"/>
      <c r="B21" s="315" t="s">
        <v>2258</v>
      </c>
      <c r="C21" s="2292" t="str">
        <f>C7</f>
        <v>估价对象所在区域银行、购物场所、学校等公共配套设施齐备，综合评价公共配套设施水平较好</v>
      </c>
      <c r="D21" s="2266"/>
      <c r="E21" s="2253"/>
      <c r="F21" s="2291" t="s">
        <v>2275</v>
      </c>
      <c r="G21" s="2294"/>
    </row>
    <row r="22" spans="1:17" ht="13.5" customHeight="1">
      <c r="A22" s="2252"/>
      <c r="B22" s="315" t="s">
        <v>2261</v>
      </c>
      <c r="C22" s="2292" t="str">
        <f>C8</f>
        <v>估价对象所在区域基础设施水平“七通一平</v>
      </c>
      <c r="D22" s="2266"/>
      <c r="E22" s="2253"/>
      <c r="F22" s="2291" t="s">
        <v>2266</v>
      </c>
      <c r="G22" s="2293"/>
    </row>
    <row r="23" spans="1:17" s="751" customFormat="1" ht="14.4"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27" thickBot="1">
      <c r="A24" s="2255"/>
      <c r="B24" s="2295" t="s">
        <v>2277</v>
      </c>
      <c r="C24" s="2297" t="str">
        <f>C10</f>
        <v>城市主干道——朝阳门外大街</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J21" sqref="J21"/>
    </sheetView>
  </sheetViews>
  <sheetFormatPr defaultColWidth="9" defaultRowHeight="14.4"/>
  <cols>
    <col min="1" max="1" width="25" style="2299" customWidth="1"/>
    <col min="2" max="9" width="15.77734375" style="2299" customWidth="1"/>
    <col min="10" max="10" width="29.44140625" style="2299" customWidth="1"/>
    <col min="11" max="16384" width="9" style="2299"/>
  </cols>
  <sheetData>
    <row r="1" spans="1:11" ht="16.2">
      <c r="A1" s="2298" t="s">
        <v>665</v>
      </c>
      <c r="B1" s="2298">
        <f>SUM(B14:B23)</f>
        <v>476.94000000000005</v>
      </c>
      <c r="C1" s="2459"/>
      <c r="D1" s="2459"/>
      <c r="E1" s="2459"/>
      <c r="F1" s="2459"/>
      <c r="G1" s="2460"/>
      <c r="H1" s="2460"/>
      <c r="I1" s="2460"/>
      <c r="J1" s="2460"/>
      <c r="K1" s="2460"/>
    </row>
    <row r="2" spans="1:11" ht="16.2">
      <c r="A2" s="2298" t="s">
        <v>653</v>
      </c>
      <c r="B2" s="2298">
        <f>SUM(C14:C23)</f>
        <v>54.66</v>
      </c>
      <c r="C2" s="2459"/>
      <c r="D2" s="2459"/>
      <c r="E2" s="2459"/>
      <c r="F2" s="2459"/>
      <c r="G2" s="2460"/>
      <c r="H2" s="2460"/>
      <c r="I2" s="2460"/>
      <c r="J2" s="2460"/>
      <c r="K2" s="2460"/>
    </row>
    <row r="3" spans="1:11" ht="15.6">
      <c r="A3" s="2298" t="s">
        <v>662</v>
      </c>
      <c r="B3" s="2300">
        <f>项目基本情况!D3</f>
        <v>45765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1615</v>
      </c>
      <c r="C5" s="2298">
        <f ca="1">IF(B5=D14,结果表!H102,ROUND(B5*10000/$B$1,0))</f>
        <v>33862</v>
      </c>
      <c r="D5" s="2298">
        <f ca="1">ROUND(B5*10000/$B$2,0)</f>
        <v>295463</v>
      </c>
      <c r="E5" s="2459"/>
      <c r="F5" s="2460"/>
      <c r="G5" s="2460"/>
      <c r="H5" s="2460"/>
      <c r="I5" s="2460"/>
      <c r="J5" s="2460"/>
      <c r="K5" s="2460"/>
    </row>
    <row r="6" spans="1:11" ht="15.6">
      <c r="A6" s="2298" t="s">
        <v>656</v>
      </c>
      <c r="B6" s="2298">
        <f ca="1">SUM(G14:G23)</f>
        <v>1615</v>
      </c>
      <c r="C6" s="2298">
        <f ca="1">IF(B6=G14,结果表!H108,ROUND(B6*10000/$B$1,0))</f>
        <v>33862</v>
      </c>
      <c r="D6" s="2298">
        <f ca="1">ROUND(B6*10000/$B$2,0)</f>
        <v>295463</v>
      </c>
      <c r="E6" s="3253" t="str">
        <f ca="1">NUMBERSTRING(INT(B6*10000),2)&amp;"元整"</f>
        <v>壹仟陆佰壹拾伍万元整</v>
      </c>
      <c r="F6" s="3254"/>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 ca="1">SUM(I14:I23)</f>
        <v>1252</v>
      </c>
      <c r="C8" s="2298">
        <f ca="1">IF(B8=I14,结果表!H112,ROUND(B8*10000/$B$1,0))</f>
        <v>26251</v>
      </c>
      <c r="D8" s="2298">
        <f ca="1">ROUND(B8*10000/$B$2,0)</f>
        <v>229052</v>
      </c>
      <c r="E8" s="3253" t="str">
        <f ca="1">NUMBERSTRING(INT(B8*10000),2)&amp;"元整"</f>
        <v>壹仟贰佰伍拾贰万元整</v>
      </c>
      <c r="F8" s="3254"/>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4"/>
      <c r="F10" s="3138" t="s">
        <v>3354</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c r="C14" s="2304"/>
      <c r="D14" s="2304"/>
      <c r="E14" s="2304" t="e">
        <f>ROUND(D14*10000/B14,0)</f>
        <v>#DIV/0!</v>
      </c>
      <c r="F14" s="2304" t="e">
        <f>ROUND(D14*10000/C14,0)</f>
        <v>#DIV/0!</v>
      </c>
      <c r="G14" s="2304"/>
      <c r="H14" s="2304"/>
      <c r="I14" s="2304"/>
      <c r="J14" s="3253" t="str">
        <f>NUMBERSTRING(INT(G14*10000),2)&amp;"元整"</f>
        <v>零元整</v>
      </c>
      <c r="K14" s="3254"/>
    </row>
    <row r="15" spans="1:11" ht="15.6">
      <c r="A15" s="2303" t="s">
        <v>649</v>
      </c>
      <c r="B15" s="2304">
        <f>结果表办!B118</f>
        <v>476.94000000000005</v>
      </c>
      <c r="C15" s="2304">
        <f>结果表办!C118</f>
        <v>54.66</v>
      </c>
      <c r="D15" s="2304">
        <f ca="1">结果表办!H118</f>
        <v>1615</v>
      </c>
      <c r="E15" s="2304">
        <f t="shared" ref="E15:E23" ca="1" si="0">ROUND(D15*10000/B15,0)</f>
        <v>33862</v>
      </c>
      <c r="F15" s="2304">
        <f t="shared" ref="F15:F23" ca="1" si="1">ROUND(D15*10000/C15,0)</f>
        <v>295463</v>
      </c>
      <c r="G15" s="2304">
        <f ca="1">D15</f>
        <v>1615</v>
      </c>
      <c r="H15" s="2304"/>
      <c r="I15" s="2304">
        <f ca="1">结果表办!H111</f>
        <v>1252</v>
      </c>
      <c r="J15" s="3253" t="str">
        <f ca="1">NUMBERSTRING(INT(G15*10000),2)&amp;"元整"</f>
        <v>壹仟陆佰壹拾伍万元整</v>
      </c>
      <c r="K15" s="3254"/>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row r="29" spans="1:11">
      <c r="B29" s="3164" t="s">
        <v>3468</v>
      </c>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E88" zoomScale="70" zoomScaleNormal="100" zoomScaleSheetLayoutView="7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3424</v>
      </c>
      <c r="D1" s="646"/>
      <c r="E1" s="646"/>
      <c r="F1" s="1621" t="s">
        <v>1263</v>
      </c>
      <c r="G1" s="1453" t="s">
        <v>3451</v>
      </c>
      <c r="H1" s="1621" t="str">
        <f>IF(G1="现房","——","估价对象范围")</f>
        <v>——</v>
      </c>
      <c r="I1" s="1622" t="s">
        <v>3452</v>
      </c>
    </row>
    <row r="2" spans="1:12" ht="21.75" customHeight="1" thickBot="1">
      <c r="A2" s="3322" t="str">
        <f>项目基本情况!S2</f>
        <v>北京市北京市朝阳区朝阳门外大街18号房地产</v>
      </c>
      <c r="B2" s="3323"/>
      <c r="C2" s="3323"/>
      <c r="D2" s="3323"/>
      <c r="E2" s="3323"/>
      <c r="F2" s="3323"/>
      <c r="G2" s="3323"/>
      <c r="H2" s="3323"/>
      <c r="I2" s="3324"/>
    </row>
    <row r="3" spans="1:12" ht="13.2">
      <c r="A3" s="3326" t="s">
        <v>1264</v>
      </c>
      <c r="B3" s="3327"/>
      <c r="C3" s="3327"/>
      <c r="D3" s="3327"/>
      <c r="E3" s="3327"/>
      <c r="F3" s="3327"/>
      <c r="G3" s="3327"/>
      <c r="H3" s="3327"/>
      <c r="I3" s="3327"/>
    </row>
    <row r="4" spans="1:12" ht="14.4">
      <c r="A4" s="1624" t="s">
        <v>1265</v>
      </c>
      <c r="B4" s="1625" t="s">
        <v>1266</v>
      </c>
      <c r="C4" s="1626" t="s">
        <v>3453</v>
      </c>
      <c r="D4" s="1626" t="s">
        <v>3432</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0" t="s">
        <v>1268</v>
      </c>
      <c r="B5" s="3325">
        <v>25</v>
      </c>
      <c r="C5" s="3328"/>
      <c r="D5" s="3316"/>
      <c r="E5" s="123" t="s">
        <v>1269</v>
      </c>
      <c r="F5" s="1627"/>
      <c r="G5" s="1627"/>
      <c r="H5" s="1627"/>
      <c r="I5" s="1281"/>
    </row>
    <row r="6" spans="1:12" ht="13.2">
      <c r="A6" s="3270"/>
      <c r="B6" s="3325"/>
      <c r="C6" s="3330"/>
      <c r="D6" s="3316"/>
      <c r="E6" s="123" t="s">
        <v>1270</v>
      </c>
      <c r="F6" s="1627"/>
      <c r="G6" s="1627"/>
      <c r="H6" s="1627"/>
      <c r="I6" s="1281"/>
    </row>
    <row r="7" spans="1:12" ht="13.2">
      <c r="A7" s="3270"/>
      <c r="B7" s="3325"/>
      <c r="C7" s="3329"/>
      <c r="D7" s="3316"/>
      <c r="E7" s="123" t="s">
        <v>1271</v>
      </c>
      <c r="F7" s="1627"/>
      <c r="G7" s="1627"/>
      <c r="H7" s="1627"/>
      <c r="I7" s="1281"/>
    </row>
    <row r="8" spans="1:12" ht="13.2">
      <c r="A8" s="3270" t="s">
        <v>1272</v>
      </c>
      <c r="B8" s="3325">
        <v>15</v>
      </c>
      <c r="C8" s="3328"/>
      <c r="D8" s="3316"/>
      <c r="E8" s="123" t="s">
        <v>1273</v>
      </c>
      <c r="F8" s="1627"/>
      <c r="G8" s="1627"/>
      <c r="H8" s="1627"/>
      <c r="I8" s="1281"/>
    </row>
    <row r="9" spans="1:12" ht="13.2">
      <c r="A9" s="3270"/>
      <c r="B9" s="3325"/>
      <c r="C9" s="3329"/>
      <c r="D9" s="3316"/>
      <c r="E9" s="123" t="s">
        <v>1274</v>
      </c>
      <c r="F9" s="1627"/>
      <c r="G9" s="1627"/>
      <c r="H9" s="1627"/>
      <c r="I9" s="1281"/>
    </row>
    <row r="10" spans="1:12" ht="13.2">
      <c r="A10" s="3270" t="s">
        <v>1275</v>
      </c>
      <c r="B10" s="3325">
        <v>15</v>
      </c>
      <c r="C10" s="3328"/>
      <c r="D10" s="3316"/>
      <c r="E10" s="123" t="s">
        <v>1276</v>
      </c>
      <c r="F10" s="1627"/>
      <c r="G10" s="1627"/>
      <c r="H10" s="1627"/>
      <c r="I10" s="1281"/>
    </row>
    <row r="11" spans="1:12" ht="13.2">
      <c r="A11" s="3270"/>
      <c r="B11" s="3325"/>
      <c r="C11" s="3329"/>
      <c r="D11" s="3316"/>
      <c r="E11" s="123" t="s">
        <v>1277</v>
      </c>
      <c r="F11" s="1627"/>
      <c r="G11" s="1627"/>
      <c r="H11" s="1627"/>
      <c r="I11" s="1281"/>
    </row>
    <row r="12" spans="1:12" ht="13.2">
      <c r="A12" s="3270" t="s">
        <v>1278</v>
      </c>
      <c r="B12" s="3325">
        <v>15</v>
      </c>
      <c r="C12" s="3328"/>
      <c r="D12" s="3316"/>
      <c r="E12" s="123" t="s">
        <v>1279</v>
      </c>
      <c r="F12" s="1627"/>
      <c r="G12" s="1627"/>
      <c r="H12" s="1627"/>
      <c r="I12" s="1281"/>
    </row>
    <row r="13" spans="1:12" ht="13.2">
      <c r="A13" s="3270"/>
      <c r="B13" s="3325"/>
      <c r="C13" s="3329"/>
      <c r="D13" s="3316"/>
      <c r="E13" s="123" t="s">
        <v>1280</v>
      </c>
      <c r="F13" s="1627"/>
      <c r="G13" s="1627"/>
      <c r="H13" s="1627"/>
      <c r="I13" s="1281"/>
    </row>
    <row r="14" spans="1:12" ht="13.2">
      <c r="A14" s="3270" t="s">
        <v>1281</v>
      </c>
      <c r="B14" s="3325">
        <v>30</v>
      </c>
      <c r="C14" s="3328">
        <v>6</v>
      </c>
      <c r="D14" s="3316">
        <v>4</v>
      </c>
      <c r="E14" s="123" t="s">
        <v>1282</v>
      </c>
      <c r="F14" s="1627"/>
      <c r="G14" s="1627"/>
      <c r="H14" s="1627"/>
      <c r="I14" s="1281"/>
    </row>
    <row r="15" spans="1:12" ht="13.2">
      <c r="A15" s="3270"/>
      <c r="B15" s="3325"/>
      <c r="C15" s="3330"/>
      <c r="D15" s="3316"/>
      <c r="E15" s="123" t="s">
        <v>1283</v>
      </c>
      <c r="F15" s="1627"/>
      <c r="G15" s="1627"/>
      <c r="H15" s="1627"/>
      <c r="I15" s="1281"/>
    </row>
    <row r="16" spans="1:12" ht="13.2">
      <c r="A16" s="3270"/>
      <c r="B16" s="3325"/>
      <c r="C16" s="3329"/>
      <c r="D16" s="331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47" t="s">
        <v>2131</v>
      </c>
      <c r="F18" s="3348"/>
      <c r="G18" s="3348"/>
      <c r="H18" s="3348"/>
      <c r="I18" s="3348"/>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#N/A</v>
      </c>
      <c r="D19" s="127" t="e">
        <f ca="1">SUMIF(INDIRECT("'"&amp;D4&amp;"'"&amp;"!A:A"),结果表!B19,INDIRECT("'"&amp;D4&amp;"'"&amp;"!B:B"))</f>
        <v>#N/A</v>
      </c>
      <c r="E19" s="1630" t="s">
        <v>1292</v>
      </c>
      <c r="F19" s="1631" t="s">
        <v>1291</v>
      </c>
      <c r="G19" s="128" t="e">
        <f ca="1">ROUND(C19*$C$18+D19*$D$18,0)</f>
        <v>#N/A</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#N/A</v>
      </c>
      <c r="D20" s="130">
        <f ca="1">SUMIF(INDIRECT("'"&amp;D4&amp;"'"&amp;"!A:A"),结果表!B20,INDIRECT("'"&amp;D4&amp;"'"&amp;"!B:B"))</f>
        <v>0</v>
      </c>
      <c r="E20" s="1633"/>
      <c r="F20" s="43" t="s">
        <v>1295</v>
      </c>
      <c r="G20" s="131" t="e">
        <f ca="1">ROUND(C20*$C$18+D20*$D$18,0)</f>
        <v>#N/A</v>
      </c>
      <c r="H20" s="760" t="s">
        <v>1296</v>
      </c>
      <c r="I20" s="121"/>
    </row>
    <row r="21" spans="1:36" ht="15" customHeight="1" thickBot="1">
      <c r="A21" s="449"/>
      <c r="B21" s="93" t="s">
        <v>1297</v>
      </c>
      <c r="C21" s="678" t="e">
        <f ca="1">ROUND(C19*10000/L19,0)</f>
        <v>#N/A</v>
      </c>
      <c r="D21" s="679" t="e">
        <f ca="1">ROUND(D19*10000/L19,0)</f>
        <v>#N/A</v>
      </c>
      <c r="E21" s="449"/>
      <c r="F21" s="93" t="s">
        <v>1297</v>
      </c>
      <c r="G21" s="132" t="e">
        <f ca="1">ROUND(G19*10000/L19,0)</f>
        <v>#N/A</v>
      </c>
      <c r="H21" s="1634" t="s">
        <v>1296</v>
      </c>
      <c r="I21" s="121"/>
    </row>
    <row r="22" spans="1:36" ht="15" thickBot="1">
      <c r="A22" s="1564" t="s">
        <v>1298</v>
      </c>
      <c r="B22" s="1635"/>
      <c r="C22" s="1636"/>
      <c r="D22" s="680" t="e">
        <f ca="1">IF(C19&lt;D19,D19/C19-1,C19/D19-1)</f>
        <v>#N/A</v>
      </c>
      <c r="E22" s="121"/>
      <c r="F22" s="121"/>
      <c r="G22" s="121"/>
      <c r="H22" s="121"/>
      <c r="I22" s="121"/>
    </row>
    <row r="23" spans="1:36" ht="13.8" thickBot="1">
      <c r="A23" s="646"/>
      <c r="B23" s="646"/>
      <c r="C23" s="646"/>
      <c r="D23" s="646"/>
      <c r="E23" s="121"/>
      <c r="F23" s="121"/>
      <c r="G23" s="121"/>
      <c r="H23" s="121"/>
      <c r="I23" s="121"/>
    </row>
    <row r="24" spans="1:36" ht="14.4">
      <c r="A24" s="3340" t="s">
        <v>1299</v>
      </c>
      <c r="B24" s="1631" t="s">
        <v>1291</v>
      </c>
      <c r="C24" s="128">
        <f>IF(B30=0,0,D30)</f>
        <v>0</v>
      </c>
      <c r="D24" s="1637"/>
      <c r="E24" s="121"/>
      <c r="F24" s="121"/>
      <c r="G24" s="121"/>
      <c r="H24" s="121"/>
      <c r="I24" s="121"/>
    </row>
    <row r="25" spans="1:36" ht="14.4">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#N/A</v>
      </c>
      <c r="D32" s="1641" t="s">
        <v>3461</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#N/A</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#N/A</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7" t="s">
        <v>1312</v>
      </c>
      <c r="B36" s="1652" t="s">
        <v>1313</v>
      </c>
      <c r="C36" s="137"/>
      <c r="D36" s="1653"/>
      <c r="E36" s="1567"/>
      <c r="F36" s="1654"/>
      <c r="G36" s="121"/>
      <c r="H36" s="121"/>
      <c r="I36" s="121"/>
    </row>
    <row r="37" spans="1:15" ht="15" thickBot="1">
      <c r="A37" s="3318"/>
      <c r="B37" s="1555" t="s">
        <v>1314</v>
      </c>
      <c r="C37" s="139"/>
      <c r="D37" s="1071"/>
      <c r="E37" s="1071"/>
      <c r="F37" s="1654"/>
      <c r="G37" s="121"/>
      <c r="H37" s="121"/>
      <c r="I37" s="121"/>
    </row>
    <row r="38" spans="1:15" ht="15" thickBot="1">
      <c r="A38" s="331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t="e">
        <f ca="1">ROUND(H101*F45,0)</f>
        <v>#N/A</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8">
        <v>1</v>
      </c>
      <c r="K46" s="3258" t="s">
        <v>1331</v>
      </c>
      <c r="L46" s="3258"/>
      <c r="M46" s="3259"/>
      <c r="N46" s="3259"/>
      <c r="O46" s="3259"/>
    </row>
    <row r="47" spans="1:15" ht="12" customHeight="1">
      <c r="A47" s="152" t="s">
        <v>1332</v>
      </c>
      <c r="B47" s="153"/>
      <c r="C47" s="154"/>
      <c r="D47" s="1024" t="s">
        <v>1333</v>
      </c>
      <c r="E47" s="294" t="s">
        <v>1334</v>
      </c>
      <c r="F47" s="155" t="s">
        <v>1335</v>
      </c>
      <c r="G47" s="2331" t="s">
        <v>1336</v>
      </c>
      <c r="H47" s="2332"/>
      <c r="I47" s="151"/>
      <c r="J47" s="2308">
        <v>2</v>
      </c>
      <c r="K47" s="3258" t="s">
        <v>1337</v>
      </c>
      <c r="L47" s="3258"/>
      <c r="M47" s="3260">
        <f>'数据-取费表'!B2</f>
        <v>45765</v>
      </c>
      <c r="N47" s="3260"/>
      <c r="O47" s="3260"/>
    </row>
    <row r="48" spans="1:15" ht="26.4">
      <c r="A48" s="3320" t="s">
        <v>1338</v>
      </c>
      <c r="B48" s="3321"/>
      <c r="C48" s="3321"/>
      <c r="D48" s="12" t="e">
        <f ca="1">IF(H48="情况1",0,IF(H48="情况2",D52,IF(H48="情况3",D53,IF(H48="情况4",D54))))</f>
        <v>#N/A</v>
      </c>
      <c r="E48" s="1256" t="str">
        <f>IF(H48="情况4","(销售额-原购置价)×税（费）率","销售额×税（费）率")</f>
        <v>销售额×税（费）率</v>
      </c>
      <c r="F48" s="2333">
        <f>IF(H48="情况1","免征",'数据-取费表'!B41)</f>
        <v>5.6000000000000001E-2</v>
      </c>
      <c r="G48" s="2334" t="s">
        <v>1339</v>
      </c>
      <c r="H48" s="2335" t="s">
        <v>3464</v>
      </c>
      <c r="I48" s="1668"/>
      <c r="J48" s="2308">
        <v>3</v>
      </c>
      <c r="K48" s="3258" t="s">
        <v>1340</v>
      </c>
      <c r="L48" s="3258"/>
      <c r="M48" s="3261" t="e">
        <f ca="1">H101</f>
        <v>#N/A</v>
      </c>
      <c r="N48" s="3261"/>
      <c r="O48" s="3261"/>
    </row>
    <row r="49" spans="1:35" ht="25.5" customHeight="1">
      <c r="A49" s="2152" t="s">
        <v>1341</v>
      </c>
      <c r="B49" s="3306" t="s">
        <v>1342</v>
      </c>
      <c r="C49" s="3306"/>
      <c r="D49" s="1478">
        <v>0</v>
      </c>
      <c r="E49" s="316" t="s">
        <v>1343</v>
      </c>
      <c r="F49" s="2233" t="s">
        <v>28</v>
      </c>
      <c r="G49" s="3289"/>
      <c r="H49" s="2134" t="s">
        <v>2134</v>
      </c>
      <c r="I49" s="2135"/>
      <c r="J49" s="2308">
        <v>4</v>
      </c>
      <c r="K49" s="3258" t="str">
        <f>IF(项目基本情况!E8="房地产抵押价值","房地产抵押价值","抵押担保权已注销时的房地产抵押价值")</f>
        <v>房地产抵押价值</v>
      </c>
      <c r="L49" s="3258"/>
      <c r="M49" s="3261" t="e">
        <f ca="1">IF(项目基本情况!E8="房地产抵押价值",H107,H109)</f>
        <v>#N/A</v>
      </c>
      <c r="N49" s="3261"/>
      <c r="O49" s="3261"/>
    </row>
    <row r="50" spans="1:35" ht="25.5" customHeight="1">
      <c r="A50" s="2336"/>
      <c r="B50" s="3306" t="s">
        <v>1344</v>
      </c>
      <c r="C50" s="3306"/>
      <c r="D50" s="2189"/>
      <c r="E50" s="323"/>
      <c r="F50" s="2233"/>
      <c r="G50" s="3290"/>
      <c r="H50" s="2136" t="s">
        <v>2135</v>
      </c>
      <c r="I50" s="2135"/>
      <c r="J50" s="3257" t="s">
        <v>1345</v>
      </c>
      <c r="K50" s="3257"/>
      <c r="L50" s="3257"/>
      <c r="M50" s="3257"/>
      <c r="N50" s="3257"/>
      <c r="O50" s="3257"/>
    </row>
    <row r="51" spans="1:35" ht="20.399999999999999" customHeight="1">
      <c r="A51" s="2337"/>
      <c r="B51" s="3306" t="s">
        <v>1346</v>
      </c>
      <c r="C51" s="3306"/>
      <c r="D51" s="1024"/>
      <c r="E51" s="319"/>
      <c r="F51" s="2233"/>
      <c r="G51" s="3291"/>
      <c r="H51" s="2136" t="s">
        <v>2136</v>
      </c>
      <c r="I51" s="2135"/>
      <c r="J51" s="2309" t="s">
        <v>1347</v>
      </c>
      <c r="K51" s="3258" t="s">
        <v>1348</v>
      </c>
      <c r="L51" s="3258"/>
      <c r="M51" s="2309" t="s">
        <v>1349</v>
      </c>
      <c r="N51" s="2309" t="s">
        <v>1350</v>
      </c>
      <c r="O51" s="2309" t="s">
        <v>1351</v>
      </c>
    </row>
    <row r="52" spans="1:35" ht="24" customHeight="1">
      <c r="A52" s="2153" t="s">
        <v>1352</v>
      </c>
      <c r="B52" s="3306" t="s">
        <v>1353</v>
      </c>
      <c r="C52" s="3306"/>
      <c r="D52" s="1024" t="e">
        <f ca="1">ROUND(D45*'数据-取费表'!B41/(1+'数据-取费表'!C42),0)</f>
        <v>#N/A</v>
      </c>
      <c r="E52" s="1256" t="s">
        <v>1354</v>
      </c>
      <c r="F52" s="2338">
        <f>'数据-取费表'!B41</f>
        <v>5.6000000000000001E-2</v>
      </c>
      <c r="G52" s="2339"/>
      <c r="H52" s="2329"/>
      <c r="I52" s="1669"/>
      <c r="J52" s="2308">
        <v>1</v>
      </c>
      <c r="K52" s="3283" t="s">
        <v>1355</v>
      </c>
      <c r="L52" s="3283"/>
      <c r="M52" s="2310" t="e">
        <f ca="1">D48</f>
        <v>#N/A</v>
      </c>
      <c r="N52" s="2308" t="str">
        <f>E48</f>
        <v>销售额×税（费）率</v>
      </c>
      <c r="O52" s="2311">
        <f>F48</f>
        <v>5.6000000000000001E-2</v>
      </c>
    </row>
    <row r="53" spans="1:35" ht="12" customHeight="1">
      <c r="A53" s="2153" t="s">
        <v>1356</v>
      </c>
      <c r="B53" s="3307" t="s">
        <v>2287</v>
      </c>
      <c r="C53" s="3308"/>
      <c r="D53" s="1024" t="e">
        <f ca="1">ROUND(D45*'数据-取费表'!B41/(1+'数据-取费表'!C42),0)</f>
        <v>#N/A</v>
      </c>
      <c r="E53" s="1256" t="s">
        <v>1354</v>
      </c>
      <c r="F53" s="2338">
        <f>'数据-取费表'!B41</f>
        <v>5.6000000000000001E-2</v>
      </c>
      <c r="G53" s="2339"/>
      <c r="H53" s="2329"/>
      <c r="I53" s="1669"/>
      <c r="J53" s="2308">
        <v>2</v>
      </c>
      <c r="K53" s="3283" t="s">
        <v>1357</v>
      </c>
      <c r="L53" s="3283"/>
      <c r="M53" s="2310" t="e">
        <f t="shared" ref="M53:O54" ca="1" si="0">D55</f>
        <v>#N/A</v>
      </c>
      <c r="N53" s="2308" t="str">
        <f t="shared" si="0"/>
        <v>销售额×税（费）率</v>
      </c>
      <c r="O53" s="2311">
        <f t="shared" si="0"/>
        <v>5.0000000000000001E-4</v>
      </c>
    </row>
    <row r="54" spans="1:35" ht="12" customHeight="1">
      <c r="A54" s="2153" t="s">
        <v>1358</v>
      </c>
      <c r="B54" s="3307" t="s">
        <v>2288</v>
      </c>
      <c r="C54" s="3308"/>
      <c r="D54" s="1024" t="e">
        <f ca="1">C68</f>
        <v>#N/A</v>
      </c>
      <c r="E54" s="319" t="s">
        <v>1359</v>
      </c>
      <c r="F54" s="2338">
        <f>'数据-取费表'!B41</f>
        <v>5.6000000000000001E-2</v>
      </c>
      <c r="G54" s="2339"/>
      <c r="H54" s="2340"/>
      <c r="I54" s="1669"/>
      <c r="J54" s="2308">
        <v>3</v>
      </c>
      <c r="K54" s="3283" t="s">
        <v>1360</v>
      </c>
      <c r="L54" s="3283"/>
      <c r="M54" s="2310" t="e">
        <f t="shared" ca="1" si="0"/>
        <v>#N/A</v>
      </c>
      <c r="N54" s="2308" t="str">
        <f t="shared" si="0"/>
        <v>增值额×税（费）率</v>
      </c>
      <c r="O54" s="2312" t="str">
        <f t="shared" si="0"/>
        <v>——</v>
      </c>
    </row>
    <row r="55" spans="1:35" ht="24" customHeight="1">
      <c r="A55" s="3343" t="s">
        <v>1361</v>
      </c>
      <c r="B55" s="3321"/>
      <c r="C55" s="3321"/>
      <c r="D55" s="12" t="e">
        <f ca="1">IF(H55="个人住宅",0,ROUND(D45*I55,0))</f>
        <v>#N/A</v>
      </c>
      <c r="E55" s="1256" t="s">
        <v>1362</v>
      </c>
      <c r="F55" s="2338">
        <f>IF(H55="正常",I55,"免征")</f>
        <v>5.0000000000000001E-4</v>
      </c>
      <c r="G55" s="2339"/>
      <c r="H55" s="2335" t="s">
        <v>3465</v>
      </c>
      <c r="I55" s="157">
        <f>'数据-取费表'!B49</f>
        <v>5.0000000000000001E-4</v>
      </c>
      <c r="J55" s="2308" t="str">
        <f>IF(H59="非个人房产","",4)</f>
        <v/>
      </c>
      <c r="K55" s="3283" t="str">
        <f>IF(H59="非个人房产","——","个人所得税")</f>
        <v>——</v>
      </c>
      <c r="L55" s="3283"/>
      <c r="M55" s="2313" t="str">
        <f>D59</f>
        <v>——</v>
      </c>
      <c r="N55" s="1883" t="str">
        <f>E59</f>
        <v>——</v>
      </c>
      <c r="O55" s="2314" t="str">
        <f>F59</f>
        <v>——</v>
      </c>
    </row>
    <row r="56" spans="1:35" ht="25.2">
      <c r="A56" s="3343" t="s">
        <v>1363</v>
      </c>
      <c r="B56" s="3321"/>
      <c r="C56" s="3321"/>
      <c r="D56" s="12" t="e">
        <f ca="1">IF(H56="个人住宅",D57,D58)</f>
        <v>#N/A</v>
      </c>
      <c r="E56" s="1256" t="s">
        <v>1364</v>
      </c>
      <c r="F56" s="2338" t="str">
        <f>IF(H56="正常",F58,"免征")</f>
        <v>——</v>
      </c>
      <c r="G56" s="2341" t="s">
        <v>1365</v>
      </c>
      <c r="H56" s="2342" t="s">
        <v>3465</v>
      </c>
      <c r="I56" s="1670"/>
      <c r="J56" s="2308" t="str">
        <f>IF(项目基本情况!K6="上海银行",IF(J55="",4,J55+1),"")</f>
        <v/>
      </c>
      <c r="K56" s="3264" t="str">
        <f>IF(项目基本情况!K6="上海银行","其他处置费用","")</f>
        <v/>
      </c>
      <c r="L56" s="3265"/>
      <c r="M56" s="2310" t="str">
        <f>IF(项目基本情况!K6="上海银行",M69,"")</f>
        <v/>
      </c>
      <c r="N56" s="3264" t="str">
        <f>IF(项目基本情况!K6="上海银行","包含处置中涉及的律师、诉讼、拍卖、评估等费用","")</f>
        <v/>
      </c>
      <c r="O56" s="3267"/>
    </row>
    <row r="57" spans="1:35" ht="13.2">
      <c r="A57" s="2153" t="s">
        <v>1341</v>
      </c>
      <c r="B57" s="3307" t="s">
        <v>1366</v>
      </c>
      <c r="C57" s="3308"/>
      <c r="D57" s="1478">
        <v>0</v>
      </c>
      <c r="E57" s="316" t="s">
        <v>1343</v>
      </c>
      <c r="F57" s="294"/>
      <c r="G57" s="2339"/>
      <c r="H57" s="2343"/>
      <c r="I57" s="1670"/>
      <c r="J57" s="3283">
        <f>IF(AND(J55="",J56=""),4,IF(项目基本情况!K6="上海银行",结果表!J56+1,结果表!J55+1))</f>
        <v>4</v>
      </c>
      <c r="K57" s="3283" t="s">
        <v>1367</v>
      </c>
      <c r="L57" s="2315" t="s">
        <v>1368</v>
      </c>
      <c r="M57" s="2316"/>
      <c r="N57" s="2317">
        <f ca="1">SUMIF(M52:M56,"&lt;9e307")</f>
        <v>0</v>
      </c>
      <c r="O57" s="2318"/>
      <c r="P57" s="2462" t="e">
        <f ca="1">N57/M49</f>
        <v>#N/A</v>
      </c>
    </row>
    <row r="58" spans="1:35" ht="25.2">
      <c r="A58" s="2153" t="s">
        <v>1352</v>
      </c>
      <c r="B58" s="3307" t="s">
        <v>1369</v>
      </c>
      <c r="C58" s="3306"/>
      <c r="D58" s="12" t="e">
        <f ca="1">IF(H58="转让取得",C81,C97)</f>
        <v>#N/A</v>
      </c>
      <c r="E58" s="1256" t="s">
        <v>1364</v>
      </c>
      <c r="F58" s="294" t="s">
        <v>28</v>
      </c>
      <c r="G58" s="2339"/>
      <c r="H58" s="2342" t="s">
        <v>3466</v>
      </c>
      <c r="I58" s="1670"/>
      <c r="J58" s="3283"/>
      <c r="K58" s="3283"/>
      <c r="L58" s="2315" t="s">
        <v>1370</v>
      </c>
      <c r="M58" s="2319"/>
      <c r="N58" s="2320" t="str">
        <f ca="1">NUMBERSTRING(INT(N57*10000),2)&amp;"元整"</f>
        <v>零元整</v>
      </c>
      <c r="O58" s="2321"/>
    </row>
    <row r="59" spans="1:35" ht="24.6" thickBot="1">
      <c r="A59" s="3287" t="s">
        <v>1371</v>
      </c>
      <c r="B59" s="3288"/>
      <c r="C59" s="3288"/>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3467</v>
      </c>
      <c r="I59" s="2137" t="s">
        <v>2137</v>
      </c>
      <c r="J59" s="3285">
        <f>J57+1</f>
        <v>5</v>
      </c>
      <c r="K59" s="3283" t="s">
        <v>1372</v>
      </c>
      <c r="L59" s="2308" t="s">
        <v>1368</v>
      </c>
      <c r="M59" s="2322"/>
      <c r="N59" s="2323" t="e">
        <f ca="1">M49-N57</f>
        <v>#N/A</v>
      </c>
      <c r="O59" s="2324"/>
    </row>
    <row r="60" spans="1:35" ht="12" customHeight="1">
      <c r="A60" s="1671"/>
      <c r="B60" s="646"/>
      <c r="C60" s="646"/>
      <c r="D60" s="646"/>
      <c r="E60" s="1466"/>
      <c r="F60" s="1670"/>
      <c r="G60" s="1670"/>
      <c r="H60" s="151"/>
      <c r="I60" s="121"/>
      <c r="J60" s="3286"/>
      <c r="K60" s="3283"/>
      <c r="L60" s="2315" t="s">
        <v>1370</v>
      </c>
      <c r="M60" s="2319"/>
      <c r="N60" s="2320" t="e">
        <f ca="1">NUMBERSTRING(INT(N59*10000),2)&amp;"元整"</f>
        <v>#N/A</v>
      </c>
      <c r="O60" s="2321"/>
    </row>
    <row r="61" spans="1:35" ht="13.8" thickBot="1">
      <c r="A61" s="3342" t="s">
        <v>1373</v>
      </c>
      <c r="B61" s="3342"/>
      <c r="C61" s="3342"/>
      <c r="D61" s="3342"/>
      <c r="E61" s="3342"/>
      <c r="F61" s="1670"/>
      <c r="G61" s="1670"/>
      <c r="H61" s="151"/>
      <c r="I61" s="121"/>
      <c r="J61" s="2308">
        <f>J59+1</f>
        <v>6</v>
      </c>
      <c r="K61" s="3283" t="s">
        <v>1374</v>
      </c>
      <c r="L61" s="3283"/>
      <c r="M61" s="2325"/>
      <c r="N61" s="2326" t="e">
        <f ca="1">ROUND(N59*10000/'数据-汇总表'!E3,0)</f>
        <v>#N/A</v>
      </c>
      <c r="O61" s="2327"/>
    </row>
    <row r="62" spans="1:35" ht="13.2">
      <c r="A62" s="3302" t="s">
        <v>1375</v>
      </c>
      <c r="B62" s="3303"/>
      <c r="C62" s="1865"/>
      <c r="D62" s="1865" t="s">
        <v>1376</v>
      </c>
      <c r="E62" s="158" t="s">
        <v>1377</v>
      </c>
      <c r="F62" s="1670"/>
      <c r="G62" s="1670"/>
      <c r="H62" s="151"/>
      <c r="I62" s="121"/>
    </row>
    <row r="63" spans="1:35" ht="13.2">
      <c r="A63" s="165" t="s">
        <v>330</v>
      </c>
      <c r="B63" s="159" t="s">
        <v>1378</v>
      </c>
      <c r="C63" s="2348" t="e">
        <f ca="1">ROUND((C64+C65)/(1+'数据-取费表'!C42),0)</f>
        <v>#N/A</v>
      </c>
      <c r="D63" s="159"/>
      <c r="E63" s="160"/>
      <c r="F63" s="1670"/>
      <c r="G63" s="1670"/>
      <c r="H63" s="151"/>
      <c r="I63" s="121"/>
      <c r="J63" s="3266" t="s">
        <v>1379</v>
      </c>
      <c r="K63" s="1245" t="s">
        <v>1380</v>
      </c>
      <c r="L63" s="1245" t="e">
        <f ca="1">IF(M49&gt;10000,M49*0.5%,IF(AND(M49&gt;1000,M49&lt;=10000),M49*1%,IF(AND(M49&gt;100,M49&lt;=1000),M49*3%,IF(AND(M49&gt;10,M49&lt;=100),M49*5%,M49*8%))))</f>
        <v>#N/A</v>
      </c>
      <c r="M63" s="294" t="e">
        <f ca="1">ROUND(L63,1)</f>
        <v>#N/A</v>
      </c>
      <c r="N63" s="2328"/>
      <c r="Z63" s="1623"/>
      <c r="AI63" s="1561"/>
    </row>
    <row r="64" spans="1:35" ht="14.25" customHeight="1">
      <c r="A64" s="161" t="s">
        <v>325</v>
      </c>
      <c r="B64" s="162" t="s">
        <v>1381</v>
      </c>
      <c r="C64" s="2349" t="e">
        <f ca="1">D45</f>
        <v>#N/A</v>
      </c>
      <c r="D64" s="162" t="s">
        <v>26</v>
      </c>
      <c r="E64" s="164"/>
      <c r="F64" s="1670"/>
      <c r="G64" s="1670"/>
      <c r="H64" s="151"/>
      <c r="I64" s="121"/>
      <c r="J64" s="3266"/>
      <c r="K64" s="1245" t="s">
        <v>1382</v>
      </c>
      <c r="L64" s="1245" t="e">
        <f ca="1">IF(M49&gt;2000,M49*0.5%,IF(AND(M49&gt;1000,M49&lt;=2000),M49*0.6%,IF(AND(M49&gt;500,M49&lt;=1000),M49*0.7%,IF(AND(M49&gt;200,M49&lt;=500),M49*0.8%,IF(AND(M49&gt;100,M49&lt;=200),M49*0.9%,IF(AND(M49&gt;50,M49&lt;=100),M49*1%,IF(AND(M49&gt;20,M49&lt;=50),M49*1.5%,IF(AND(M49&gt;10,M49&lt;=20),M49*2%,IF(AND(M49&gt;1,M49&lt;=10),M49*2.5%)))))))))</f>
        <v>#N/A</v>
      </c>
      <c r="M64" s="294" t="e">
        <f t="shared" ref="M64:M65" ca="1" si="1">ROUND(L64,1)</f>
        <v>#N/A</v>
      </c>
      <c r="N64" s="2329" t="s">
        <v>1383</v>
      </c>
      <c r="Z64" s="1623"/>
      <c r="AI64" s="1561"/>
    </row>
    <row r="65" spans="1:35" ht="14.25" customHeight="1">
      <c r="A65" s="161" t="s">
        <v>326</v>
      </c>
      <c r="B65" s="162" t="s">
        <v>1384</v>
      </c>
      <c r="C65" s="2350"/>
      <c r="D65" s="162"/>
      <c r="E65" s="164"/>
      <c r="F65" s="1670"/>
      <c r="G65" s="1670"/>
      <c r="H65" s="151"/>
      <c r="I65" s="121"/>
      <c r="J65" s="3266"/>
      <c r="K65" s="1245" t="s">
        <v>1385</v>
      </c>
      <c r="L65" s="1245" t="e">
        <f ca="1">IF(M49&gt;1000,M49*0.1%,IF(AND(M49&gt;500,M49&lt;=1000),M49*0.5%,IF(AND(M49&gt;50,M49&lt;=500),M49*1%,IF(AND(M49&gt;1,M49&lt;=50),M49*1.5%))))</f>
        <v>#N/A</v>
      </c>
      <c r="M65" s="294" t="e">
        <f t="shared" ca="1" si="1"/>
        <v>#N/A</v>
      </c>
      <c r="N65" s="2329" t="s">
        <v>1383</v>
      </c>
      <c r="Z65" s="1623"/>
      <c r="AI65" s="1561"/>
    </row>
    <row r="66" spans="1:35" ht="14.25" customHeight="1">
      <c r="A66" s="165" t="s">
        <v>327</v>
      </c>
      <c r="B66" s="166" t="s">
        <v>1386</v>
      </c>
      <c r="C66" s="2351"/>
      <c r="D66" s="166" t="s">
        <v>26</v>
      </c>
      <c r="E66" s="1251" t="s">
        <v>671</v>
      </c>
      <c r="F66" s="1670"/>
      <c r="G66" s="1670"/>
      <c r="H66" s="151"/>
      <c r="I66" s="121"/>
      <c r="J66" s="3266"/>
      <c r="K66" s="1245" t="s">
        <v>1387</v>
      </c>
      <c r="L66" s="1245" t="e">
        <f ca="1">M49*0.5%</f>
        <v>#N/A</v>
      </c>
      <c r="M66" s="294" t="e">
        <f ca="1">IF(L66&gt;0.5,0.5,ROUND(L66,0))</f>
        <v>#N/A</v>
      </c>
      <c r="N66" s="2329" t="s">
        <v>1388</v>
      </c>
      <c r="Z66" s="1623"/>
      <c r="AI66" s="1561"/>
    </row>
    <row r="67" spans="1:35" ht="14.25" customHeight="1">
      <c r="A67" s="165" t="s">
        <v>328</v>
      </c>
      <c r="B67" s="166" t="s">
        <v>1389</v>
      </c>
      <c r="C67" s="2352" t="e">
        <f ca="1">C63-C66</f>
        <v>#N/A</v>
      </c>
      <c r="D67" s="162" t="s">
        <v>26</v>
      </c>
      <c r="E67" s="164"/>
      <c r="F67" s="1670"/>
      <c r="G67" s="1670"/>
      <c r="H67" s="151"/>
      <c r="I67" s="121"/>
      <c r="J67" s="3266"/>
      <c r="K67" s="1245" t="s">
        <v>1390</v>
      </c>
      <c r="L67" s="1245" t="e">
        <f ca="1">IF(M49&gt;=10000,(8.25+(M49-10000)*0.01%),IF(AND(M49&gt;=8000,M49&lt;10000),(7.85+(M49-8000)*0.02%),IF(AND(M49&gt;=5000,M49&lt;8000),(6.65+(M49-5000)*0.04%),IF(AND(M49&gt;=2000,M49&lt;5000),(4.25+(PM49-2000)*0.08%),IF(AND(M49&gt;=1000,M49&lt;2000),(2.75+(M49-1000)*0.15%),IF(AND(M49&gt;=100,M49&lt;1000),(0.5+(M49-100)*0.25%),IF(AND(M49&gt;0,M49&lt;100),M49*0.5%)))))))</f>
        <v>#N/A</v>
      </c>
      <c r="M67" s="294" t="e">
        <f ca="1">ROUND(L67*0.9,1)</f>
        <v>#N/A</v>
      </c>
      <c r="N67" s="2328"/>
      <c r="Z67" s="1623"/>
      <c r="AI67" s="1561"/>
    </row>
    <row r="68" spans="1:35" ht="14.25" customHeight="1" thickBot="1">
      <c r="A68" s="168" t="s">
        <v>329</v>
      </c>
      <c r="B68" s="169" t="s">
        <v>1391</v>
      </c>
      <c r="C68" s="2353" t="e">
        <f ca="1">IF(C67&lt;=0,0,ROUND(C67*D68,0))</f>
        <v>#N/A</v>
      </c>
      <c r="D68" s="2354">
        <f>'数据-取费表'!B41</f>
        <v>5.6000000000000001E-2</v>
      </c>
      <c r="E68" s="170"/>
      <c r="F68" s="1670"/>
      <c r="G68" s="1670"/>
      <c r="H68" s="151"/>
      <c r="I68" s="121"/>
      <c r="J68" s="3266"/>
      <c r="K68" s="1245" t="s">
        <v>1392</v>
      </c>
      <c r="L68" s="1245" t="e">
        <f ca="1">IF(M49&gt;10000,M49*0.5%,IF(AND(M49&gt;5000,M49&lt;=10000),M49*1%,IF(AND(M49&gt;1000,M49&lt;=5000),M49*2%,IF(AND(M49&gt;200,M49&lt;=1000),M49*3%,M49*5%))))</f>
        <v>#N/A</v>
      </c>
      <c r="M68" s="294" t="e">
        <f ca="1">ROUND(L68,1)</f>
        <v>#N/A</v>
      </c>
      <c r="N68" s="2328"/>
      <c r="Z68" s="1623"/>
      <c r="AI68" s="1561"/>
    </row>
    <row r="69" spans="1:35" ht="16.5" customHeight="1">
      <c r="A69" s="1672"/>
      <c r="B69" s="1673"/>
      <c r="C69" s="1674"/>
      <c r="D69" s="1675"/>
      <c r="E69" s="1676"/>
      <c r="F69" s="1466"/>
      <c r="G69" s="1466"/>
      <c r="H69" s="1467"/>
      <c r="I69" s="646"/>
      <c r="J69" s="3266"/>
      <c r="K69" s="1245" t="s">
        <v>1393</v>
      </c>
      <c r="L69" s="1245"/>
      <c r="M69" s="294" t="e">
        <f ca="1">ROUND(SUM(M63:M68),0)</f>
        <v>#N/A</v>
      </c>
      <c r="N69" s="2330" t="e">
        <f ca="1">M69/M49</f>
        <v>#N/A</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t="e">
        <f ca="1">ROUND(D45/(1+'数据-取费表'!C42),0)</f>
        <v>#N/A</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t="e">
        <f ca="1">C74+C78</f>
        <v>#N/A</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#N/A</v>
      </c>
      <c r="D78" s="2361">
        <f>'数据-取费表'!B43</f>
        <v>6.000000000000001E-3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t="e">
        <f ca="1">C72-C73</f>
        <v>#N/A</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#N/A</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f>'数据-汇总表'!F20</f>
        <v>0</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t="e">
        <f ca="1">ROUND(D45/(1+'数据-取费表'!C42),0)</f>
        <v>#N/A</v>
      </c>
      <c r="D85" s="162" t="s">
        <v>26</v>
      </c>
      <c r="E85" s="1257"/>
      <c r="F85" s="1255"/>
      <c r="G85" s="1255"/>
      <c r="H85" s="184"/>
      <c r="I85" s="1681"/>
      <c r="J85" s="1678"/>
      <c r="K85" s="1678">
        <v>11899.22</v>
      </c>
      <c r="L85" s="3163">
        <v>5000</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t="e">
        <f ca="1">IF(H88="仅含出让金",C87+C90+C91+C92+C93+C94,C87+C91+C92+C93+C94)</f>
        <v>#N/A</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0</v>
      </c>
      <c r="D88" s="2361"/>
      <c r="E88" s="185" t="s">
        <v>1413</v>
      </c>
      <c r="F88" s="2148"/>
      <c r="G88" s="186" t="s">
        <v>1414</v>
      </c>
      <c r="H88" s="1684" t="s">
        <v>3462</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68" t="s">
        <v>2129</v>
      </c>
      <c r="H90" s="3269"/>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9" t="s">
        <v>1419</v>
      </c>
      <c r="F91" s="3300"/>
      <c r="G91" s="3300"/>
      <c r="H91" s="1685" t="s">
        <v>3463</v>
      </c>
      <c r="I91" s="1686">
        <f>ROUND(K84*L85/10000,0)</f>
        <v>0</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v>0.1</v>
      </c>
      <c r="E92" s="3299" t="s">
        <v>1422</v>
      </c>
      <c r="F92" s="3300"/>
      <c r="G92" s="3300"/>
      <c r="H92" s="3301"/>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#N/A</v>
      </c>
      <c r="D93" s="2361">
        <f>'数据-取费表'!B43</f>
        <v>6.000000000000001E-3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t="e">
        <f ca="1">ROUND(C85-C86,0)</f>
        <v>#N/A</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#N/A</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4"/>
      <c r="E100" s="3248" t="s">
        <v>1429</v>
      </c>
      <c r="F100" s="3248"/>
      <c r="G100" s="3248"/>
      <c r="H100" s="3284"/>
      <c r="I100" s="121"/>
    </row>
    <row r="101" spans="1:35" ht="18.75" customHeight="1">
      <c r="A101" s="3292" t="s">
        <v>1430</v>
      </c>
      <c r="B101" s="3293"/>
      <c r="C101" s="2369" t="str">
        <f>C4</f>
        <v>成本法 (元)</v>
      </c>
      <c r="D101" s="2370" t="str">
        <f>D4</f>
        <v>收益法 (元)</v>
      </c>
      <c r="E101" s="3262" t="s">
        <v>1431</v>
      </c>
      <c r="F101" s="3263"/>
      <c r="G101" s="1687" t="s">
        <v>1432</v>
      </c>
      <c r="H101" s="2379" t="e">
        <f ca="1">H118</f>
        <v>#N/A</v>
      </c>
      <c r="I101" s="121"/>
    </row>
    <row r="102" spans="1:35" ht="18.75" customHeight="1">
      <c r="A102" s="3294" t="s">
        <v>1433</v>
      </c>
      <c r="B102" s="2368" t="s">
        <v>1432</v>
      </c>
      <c r="C102" s="2369" t="e">
        <f ca="1">IF(D32="楼面单价",ROUND(C19,0),C19)</f>
        <v>#N/A</v>
      </c>
      <c r="D102" s="2370" t="e">
        <f ca="1">IF(D32="楼面单价",ROUND(D19,0),D19)</f>
        <v>#N/A</v>
      </c>
      <c r="E102" s="3262"/>
      <c r="F102" s="3263"/>
      <c r="G102" s="1687" t="s">
        <v>1434</v>
      </c>
      <c r="H102" s="2339" t="e">
        <f ca="1">I118</f>
        <v>#N/A</v>
      </c>
      <c r="I102" s="121"/>
    </row>
    <row r="103" spans="1:35" ht="42.75" customHeight="1">
      <c r="A103" s="3294"/>
      <c r="B103" s="2368" t="s">
        <v>1434</v>
      </c>
      <c r="C103" s="2371" t="e">
        <f ca="1">C20</f>
        <v>#N/A</v>
      </c>
      <c r="D103" s="2372">
        <f ca="1">D20</f>
        <v>0</v>
      </c>
      <c r="E103" s="3255" t="s">
        <v>1435</v>
      </c>
      <c r="F103" s="3256"/>
      <c r="G103" s="1688" t="s">
        <v>1436</v>
      </c>
      <c r="H103" s="2379">
        <f>IF(D36="正常操作",H104+H105+H106,H105+H106)</f>
        <v>0</v>
      </c>
      <c r="I103" s="121"/>
    </row>
    <row r="104" spans="1:35" ht="18.75" customHeight="1">
      <c r="A104" s="3294" t="s">
        <v>1437</v>
      </c>
      <c r="B104" s="2373" t="s">
        <v>1432</v>
      </c>
      <c r="C104" s="2374" t="e">
        <f ca="1">H118</f>
        <v>#N/A</v>
      </c>
      <c r="D104" s="2375"/>
      <c r="E104" s="1555" t="s">
        <v>1438</v>
      </c>
      <c r="F104" s="1548"/>
      <c r="G104" s="1688" t="s">
        <v>1436</v>
      </c>
      <c r="H104" s="2380">
        <f>IF(D36="同一抵押权人同一抵押物续贷",C36&amp;"（续贷，未扣减，详见特别提示）",C36)</f>
        <v>0</v>
      </c>
      <c r="I104" s="121"/>
    </row>
    <row r="105" spans="1:35" ht="18.75" customHeight="1" thickBot="1">
      <c r="A105" s="3304"/>
      <c r="B105" s="2376" t="s">
        <v>1434</v>
      </c>
      <c r="C105" s="2377" t="e">
        <f ca="1">I118</f>
        <v>#N/A</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5" t="str">
        <f>IF(项目基本情况!E8="已注销","——","3.房地产抵押价值")</f>
        <v>3.房地产抵押价值</v>
      </c>
      <c r="F107" s="3263"/>
      <c r="G107" s="1687" t="s">
        <v>1432</v>
      </c>
      <c r="H107" s="2379" t="e">
        <f ca="1">IF(E107="——","——",H101-H103)</f>
        <v>#N/A</v>
      </c>
      <c r="I107" s="121"/>
    </row>
    <row r="108" spans="1:35" ht="18.75" customHeight="1">
      <c r="A108" s="121"/>
      <c r="B108" s="121"/>
      <c r="C108" s="121"/>
      <c r="D108" s="121"/>
      <c r="E108" s="3295"/>
      <c r="F108" s="3263"/>
      <c r="G108" s="1687" t="s">
        <v>1434</v>
      </c>
      <c r="H108" s="2339" t="e">
        <f ca="1">IF(H107=H101,H102,ROUND(H107*10000/'数据-汇总表'!E3,0))</f>
        <v>#N/A</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2" t="str">
        <f>IF(E109="——","——",H101-H105-H106)</f>
        <v>——</v>
      </c>
      <c r="I109" s="121"/>
    </row>
    <row r="110" spans="1:35" ht="18.75" customHeight="1">
      <c r="A110" s="121"/>
      <c r="B110" s="121"/>
      <c r="C110" s="121"/>
      <c r="D110" s="121"/>
      <c r="E110" s="3295"/>
      <c r="F110" s="3263"/>
      <c r="G110" s="1687" t="s">
        <v>1434</v>
      </c>
      <c r="H110" s="2339"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4.抵押净值</v>
      </c>
      <c r="F111" s="3282"/>
      <c r="G111" s="1687" t="s">
        <v>1432</v>
      </c>
      <c r="H111" s="2379" t="e">
        <f ca="1">IF(E111="——","——",N59)</f>
        <v>#N/A</v>
      </c>
      <c r="I111" s="121"/>
      <c r="J111" s="684" t="e">
        <f ca="1">H111/L18*10000</f>
        <v>#N/A</v>
      </c>
    </row>
    <row r="112" spans="1:35" ht="18.75" customHeight="1" thickBot="1">
      <c r="A112" s="121"/>
      <c r="B112" s="121"/>
      <c r="C112" s="121"/>
      <c r="D112" s="121"/>
      <c r="E112" s="3297"/>
      <c r="F112" s="3298"/>
      <c r="G112" s="1690" t="s">
        <v>1434</v>
      </c>
      <c r="H112" s="2383" t="e">
        <f ca="1">IF(E111="——","——",N61)</f>
        <v>#N/A</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4" t="str">
        <f>项目基本情况!S2</f>
        <v>北京市北京市朝阳区朝阳门外大街18号房地产</v>
      </c>
      <c r="B118" s="2150">
        <f>M18</f>
        <v>0</v>
      </c>
      <c r="C118" s="2150">
        <f>M19</f>
        <v>0</v>
      </c>
      <c r="D118" s="2150" t="e">
        <f ca="1">ROUND(IF(D32="总价",C34,E118*B118/10000),0)</f>
        <v>#N/A</v>
      </c>
      <c r="E118" s="2150" t="e">
        <f ca="1">ROUND(IF(C33="自定义",IF(D32="楼面单价",C34,D118*10000/B118),I118-G118),0)</f>
        <v>#N/A</v>
      </c>
      <c r="F118" s="2150" t="e">
        <f ca="1">ROUND(IF(D32="总价",C35,G118*B118/10000),0)</f>
        <v>#N/A</v>
      </c>
      <c r="G118" s="2150" t="e">
        <f ca="1">ROUND(IF(D32="楼面单价",C35,F118*10000/B118),0)</f>
        <v>#N/A</v>
      </c>
      <c r="H118" s="2150" t="e">
        <f ca="1">ROUND(IF(D32="总价",C32,I118*B118/10000),0)</f>
        <v>#N/A</v>
      </c>
      <c r="I118" s="2150" t="e">
        <f ca="1">ROUND(IF(D32="楼面单价",C32,H118*10000/B118),0)</f>
        <v>#N/A</v>
      </c>
    </row>
    <row r="119" spans="1:27" ht="18.75" customHeight="1">
      <c r="A119" s="3270" t="s">
        <v>1452</v>
      </c>
      <c r="B119" s="3270"/>
      <c r="C119" s="3270"/>
      <c r="D119" s="3276" t="e">
        <f ca="1">NUMBERSTRING(INT(D118*10000),2)&amp;"元整"</f>
        <v>#N/A</v>
      </c>
      <c r="E119" s="3277"/>
      <c r="F119" s="3276" t="e">
        <f ca="1">NUMBERSTRING(INT(F118*10000),2)&amp;"元整"</f>
        <v>#N/A</v>
      </c>
      <c r="G119" s="3277"/>
      <c r="H119" s="3276" t="e">
        <f ca="1">NUMBERSTRING(INT(H118*10000),2)&amp;"元整"</f>
        <v>#N/A</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t="e">
        <f ca="1">H107</f>
        <v>#N/A</v>
      </c>
      <c r="E122" s="3272"/>
      <c r="F122" s="3272"/>
      <c r="G122" s="3272"/>
      <c r="H122" s="3272"/>
      <c r="I122" s="3273"/>
      <c r="AA122" s="684"/>
    </row>
    <row r="123" spans="1:27" ht="18.75" customHeight="1">
      <c r="A123" s="3270" t="s">
        <v>1452</v>
      </c>
      <c r="B123" s="3270"/>
      <c r="C123" s="3270"/>
      <c r="D123" s="3276" t="e">
        <f ca="1">NUMBERSTRING(INT(D122*10000),2)&amp;"元整"</f>
        <v>#N/A</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抵押净值</v>
      </c>
      <c r="B126" s="3282"/>
      <c r="C126" s="3282"/>
      <c r="D126" s="3271" t="e">
        <f ca="1">H111</f>
        <v>#N/A</v>
      </c>
      <c r="E126" s="3272"/>
      <c r="F126" s="3272"/>
      <c r="G126" s="3272"/>
      <c r="H126" s="3272"/>
      <c r="I126" s="3273"/>
      <c r="AA126" s="684"/>
    </row>
    <row r="127" spans="1:27" ht="18.75" customHeight="1">
      <c r="A127" s="3270" t="s">
        <v>1452</v>
      </c>
      <c r="B127" s="3270"/>
      <c r="C127" s="3270"/>
      <c r="D127" s="3276" t="e">
        <f ca="1">NUMBERSTRING(INT(D126*10000),2)&amp;"元整"</f>
        <v>#N/A</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G20" sqref="G2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32630</v>
      </c>
      <c r="N1" s="813">
        <f>SUMPRODUCT((因素修正幅度!B5:B9=I2)*(因素修正幅度!C3:G3=E2)*(因素修正幅度!C5:G9))</f>
        <v>8.1000000000000003E-2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23115</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t="s">
        <v>2435</v>
      </c>
      <c r="F3" s="1848" t="s">
        <v>3433</v>
      </c>
      <c r="G3" s="708">
        <f>IF(F3="宗地容积率",'数据-汇总表'!I4,IF(F3="估价对象容积率",'数据-汇总表'!I6,'数据-汇总表'!I7))</f>
        <v>8.73</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18351</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56"/>
      <c r="B4" s="3357"/>
      <c r="C4" s="3357"/>
      <c r="D4" s="3358"/>
      <c r="E4" s="3358"/>
      <c r="F4" s="3358"/>
      <c r="G4" s="3358"/>
      <c r="H4" s="3358"/>
      <c r="I4" s="3358"/>
      <c r="J4" s="33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15857</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33102</v>
      </c>
      <c r="D5" s="1252">
        <f>ROUND(C6*C17+C20,0)</f>
        <v>32613</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14349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32630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13675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1.0149999999999999</v>
      </c>
      <c r="D7" s="1866" t="s">
        <v>1953</v>
      </c>
      <c r="E7" s="730">
        <v>100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8.73</v>
      </c>
      <c r="AA7" s="1133"/>
      <c r="AB7" s="1133"/>
      <c r="AC7" s="1134"/>
      <c r="AD7" s="1135"/>
      <c r="AE7" s="1135"/>
      <c r="AF7" s="1135"/>
      <c r="AG7" s="1135"/>
      <c r="AH7" s="1135"/>
      <c r="AI7" s="1135"/>
      <c r="AJ7" s="1136"/>
    </row>
    <row r="8" spans="1:36" ht="26.4">
      <c r="A8" s="3007"/>
      <c r="B8" s="162" t="s">
        <v>1957</v>
      </c>
      <c r="C8" s="1870" t="s">
        <v>3434</v>
      </c>
      <c r="D8" s="712" t="s">
        <v>112</v>
      </c>
      <c r="E8" s="713">
        <f>ROUND(C11/E7,4)</f>
        <v>3.7499999999999999E-2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53" t="s">
        <v>1960</v>
      </c>
      <c r="X8" s="33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0.1</v>
      </c>
      <c r="D9" s="163" t="s">
        <v>113</v>
      </c>
      <c r="E9" s="163">
        <f>ROUND(C11/E7,4)</f>
        <v>3.7499999999999999E-2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55"/>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15</v>
      </c>
      <c r="D10" s="163" t="s">
        <v>114</v>
      </c>
      <c r="E10" s="163">
        <f>ROUND(C11/E7,4)</f>
        <v>3.7499999999999999E-2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5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3.75</v>
      </c>
      <c r="D11" s="715" t="s">
        <v>115</v>
      </c>
      <c r="E11" s="715">
        <f>ROUND(C11/E7,4)</f>
        <v>3.7499999999999999E-2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60" t="s">
        <v>3250</v>
      </c>
      <c r="B20" s="159" t="s">
        <v>1994</v>
      </c>
      <c r="C20" s="3029">
        <f>ROUND(IF(F21="与级别开发程度一致",0,(G21-E21)/C21),0)</f>
        <v>-17</v>
      </c>
      <c r="D20" s="3044" t="s">
        <v>1998</v>
      </c>
      <c r="E20" s="3045"/>
      <c r="F20" s="3366" t="s">
        <v>1995</v>
      </c>
      <c r="G20" s="3367"/>
      <c r="H20" s="3030" t="s">
        <v>3415</v>
      </c>
      <c r="I20" s="3030" t="s">
        <v>3416</v>
      </c>
      <c r="J20" s="3031" t="s">
        <v>3417</v>
      </c>
      <c r="K20" s="1889" t="s">
        <v>3418</v>
      </c>
      <c r="L20" s="1889" t="s">
        <v>3419</v>
      </c>
      <c r="M20" s="1889" t="s">
        <v>3421</v>
      </c>
      <c r="N20" s="1889" t="s">
        <v>3420</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36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3435</v>
      </c>
      <c r="G21" s="1995">
        <f>SUM(H21:O21)</f>
        <v>315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50</v>
      </c>
      <c r="N21" s="2003">
        <f>SUMPRODUCT((七通一平=N20)*(修正!B1:M1=G2)*(修正!B8:M16))</f>
        <v>20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45765</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0.42570000000000002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8.8000000000000007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3436</v>
      </c>
      <c r="C25" s="461">
        <f>IF(B25="容积率修正",IF(G3&lt;10,D26,J26),C27)</f>
        <v>1.5206</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0.90139999999999998</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0.90180000000000005</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0.90059999999999996</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1.0434000000000001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23115</v>
      </c>
      <c r="D33" s="1940"/>
      <c r="E33" s="727">
        <f>ROUND(C33*D33/10000,0)</f>
        <v>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4"/>
      <c r="B37" s="1955" t="s">
        <v>2036</v>
      </c>
      <c r="C37" s="167">
        <f>ROUND(D5*C22*C23*C24*C28*F37,0)</f>
        <v>10484</v>
      </c>
      <c r="D37" s="1940">
        <f>'数据-汇总表'!F20</f>
        <v>0</v>
      </c>
      <c r="E37" s="163">
        <f>ROUND(C37*D37/10000,0)</f>
        <v>0</v>
      </c>
      <c r="F37" s="163">
        <f>SUMIF(修正!A57:A68,G2,修正!B57:B68)</f>
        <v>0.7</v>
      </c>
      <c r="G37" s="163">
        <f>ROUND(IF(E2="工业",C37*$M$42,C37*$M$41),0)</f>
        <v>2621</v>
      </c>
      <c r="H37" s="163">
        <f>D37</f>
        <v>0</v>
      </c>
      <c r="I37" s="163">
        <f>ROUND(G37*H37/10000,0)</f>
        <v>0</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5"/>
      <c r="B38" s="1884" t="s">
        <v>2037</v>
      </c>
      <c r="C38" s="167">
        <f>ROUND(D5*C22*C23*C24*C28*F38,0)</f>
        <v>5991</v>
      </c>
      <c r="D38" s="1940"/>
      <c r="E38" s="163">
        <f t="shared" ref="E38:E42" si="4">ROUND(C38*D38/10000,0)</f>
        <v>0</v>
      </c>
      <c r="F38" s="163">
        <f>SUMIF(修正!A57:A68,G2,修正!C57:C68)</f>
        <v>0.4</v>
      </c>
      <c r="G38" s="163">
        <f>ROUND(IF(E2="工业",C38*$M$42,C38*$M$41),0)</f>
        <v>1498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5"/>
      <c r="B39" s="1884" t="s">
        <v>3255</v>
      </c>
      <c r="C39" s="167">
        <f>ROUND(D5*C22*C23*C24*C28*F39,0)</f>
        <v>4493</v>
      </c>
      <c r="D39" s="1940"/>
      <c r="E39" s="163">
        <f t="shared" si="4"/>
        <v>0</v>
      </c>
      <c r="F39" s="163">
        <f>SUMIF(修正!A57:A68,G2,修正!D57:D68)</f>
        <v>0.3</v>
      </c>
      <c r="G39" s="163">
        <f>ROUND(IF(E2="工业",C39*$M$42,C39*$M$41),0)</f>
        <v>1123</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4493</v>
      </c>
      <c r="D40" s="1940"/>
      <c r="E40" s="163">
        <f t="shared" si="4"/>
        <v>0</v>
      </c>
      <c r="F40" s="167">
        <f>SUMIF(修正!A57:A68,G2,修正!E57:E68)</f>
        <v>0.3</v>
      </c>
      <c r="G40" s="163">
        <f>ROUND(IF(E2="工业",C40*$M$42,C40*$M$41),0)</f>
        <v>1123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1.0434000000000001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66">
      <c r="A50" s="1970" t="s">
        <v>2052</v>
      </c>
      <c r="B50" s="1973" t="str">
        <f>估价对象房地状况!C4</f>
        <v>估价对象位于朝阳门商圈，周边悠唐国际中心、THE BPX等购物中心项目，人流量较大，商业繁华度较好</v>
      </c>
      <c r="C50" s="1887" t="s">
        <v>3437</v>
      </c>
      <c r="D50" s="1002">
        <f t="shared" ref="D50:D58" si="7">SUMIF($J$49:$N$49,C50,J50:N50)</f>
        <v>1.21E-2</v>
      </c>
      <c r="E50" s="702">
        <f>ROUND(SUM(D50:D58),4)</f>
        <v>4.3400000000000001E-2</v>
      </c>
      <c r="F50" s="1675">
        <f>IF(E2="商业",SUMIF(L1:L12,G2,N1:N12),"——")</f>
        <v>8.1000000000000003E-2</v>
      </c>
      <c r="G50" s="1000">
        <v>1.21E-2</v>
      </c>
      <c r="H50" s="1003">
        <f t="shared" ref="H50:H58" si="8">IFERROR(ROUNDDOWN($F$50*I50/2,4),"——")</f>
        <v>1.21E-2</v>
      </c>
      <c r="I50" s="3066">
        <v>0.3</v>
      </c>
      <c r="J50" s="1001">
        <f t="shared" ref="J50:J58" si="9">K50+$G50</f>
        <v>2.4199999999999999E-2</v>
      </c>
      <c r="K50" s="1001">
        <f t="shared" ref="K50:K58" si="10">$L50+$G50</f>
        <v>1.21E-2</v>
      </c>
      <c r="L50" s="1001">
        <v>0</v>
      </c>
      <c r="M50" s="1001">
        <f t="shared" ref="M50:N58" si="11">L50-$G50</f>
        <v>-1.21E-2</v>
      </c>
      <c r="N50" s="1001">
        <f t="shared" si="11"/>
        <v>-2.4199999999999999E-2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周边有75、110、420路及地铁2号、6号线，周边道路密集，停车便捷程度，综合评价交通便捷度较好</v>
      </c>
      <c r="C51" s="1887" t="s">
        <v>3437</v>
      </c>
      <c r="D51" s="1002">
        <f t="shared" si="7"/>
        <v>8.8999999999999999E-3</v>
      </c>
      <c r="E51" s="703"/>
      <c r="F51" s="1675"/>
      <c r="G51" s="1000">
        <v>8.8999999999999999E-3</v>
      </c>
      <c r="H51" s="1003">
        <f t="shared" si="8"/>
        <v>8.8999999999999999E-3</v>
      </c>
      <c r="I51" s="3066">
        <v>0.22</v>
      </c>
      <c r="J51" s="1001">
        <f t="shared" si="9"/>
        <v>1.78E-2</v>
      </c>
      <c r="K51" s="1001">
        <f t="shared" si="10"/>
        <v>8.8999999999999999E-3</v>
      </c>
      <c r="L51" s="1001">
        <v>0</v>
      </c>
      <c r="M51" s="1001">
        <f t="shared" si="11"/>
        <v>-8.8999999999999999E-3</v>
      </c>
      <c r="N51" s="1001">
        <f t="shared" si="11"/>
        <v>-1.78E-2</v>
      </c>
      <c r="AA51" s="1057"/>
      <c r="AB51" s="1057"/>
      <c r="AC51" s="1057"/>
      <c r="AD51" s="1057"/>
      <c r="AE51" s="1057"/>
      <c r="AF51" s="1057"/>
      <c r="AG51" s="1057"/>
      <c r="AH51" s="1057"/>
      <c r="AI51" s="1057"/>
      <c r="AJ51" s="1057"/>
      <c r="AK51" s="1057"/>
    </row>
    <row r="52" spans="1:37" s="1056" customFormat="1" ht="48">
      <c r="A52" s="3068" t="s">
        <v>3265</v>
      </c>
      <c r="B52" s="1262">
        <f>估价对象房地状况!C19</f>
        <v>0</v>
      </c>
      <c r="C52" s="1887" t="s">
        <v>3437</v>
      </c>
      <c r="D52" s="1002">
        <f t="shared" si="7"/>
        <v>4.7999999999999996E-3</v>
      </c>
      <c r="E52" s="703"/>
      <c r="F52" s="1675"/>
      <c r="G52" s="1000">
        <v>4.7999999999999996E-3</v>
      </c>
      <c r="H52" s="1003">
        <f t="shared" si="8"/>
        <v>4.7999999999999996E-3</v>
      </c>
      <c r="I52" s="3066">
        <v>0.12</v>
      </c>
      <c r="J52" s="1001">
        <f t="shared" si="9"/>
        <v>9.5999999999999992E-3</v>
      </c>
      <c r="K52" s="1001">
        <f t="shared" si="10"/>
        <v>4.7999999999999996E-3</v>
      </c>
      <c r="L52" s="1001">
        <v>0</v>
      </c>
      <c r="M52" s="1001">
        <f t="shared" si="11"/>
        <v>-4.7999999999999996E-3</v>
      </c>
      <c r="N52" s="1001">
        <f t="shared" si="11"/>
        <v>-9.5999999999999992E-3</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3437</v>
      </c>
      <c r="D53" s="1002">
        <f t="shared" si="7"/>
        <v>2E-3</v>
      </c>
      <c r="E53" s="703"/>
      <c r="F53" s="1675"/>
      <c r="G53" s="1000">
        <v>2E-3</v>
      </c>
      <c r="H53" s="1003">
        <f t="shared" si="8"/>
        <v>2E-3</v>
      </c>
      <c r="I53" s="3066">
        <v>0.05</v>
      </c>
      <c r="J53" s="1001">
        <f t="shared" si="9"/>
        <v>4.0000000000000001E-3</v>
      </c>
      <c r="K53" s="1001">
        <f t="shared" si="10"/>
        <v>2E-3</v>
      </c>
      <c r="L53" s="1001">
        <v>0</v>
      </c>
      <c r="M53" s="1001">
        <f t="shared" si="11"/>
        <v>-2E-3</v>
      </c>
      <c r="N53" s="1001">
        <f t="shared" si="11"/>
        <v>-4.0000000000000001E-3</v>
      </c>
      <c r="AA53" s="1057"/>
      <c r="AB53" s="1057"/>
      <c r="AC53" s="1057"/>
      <c r="AD53" s="1057"/>
      <c r="AE53" s="1057"/>
      <c r="AF53" s="1057"/>
      <c r="AG53" s="1057"/>
      <c r="AH53" s="1057"/>
      <c r="AI53" s="1057"/>
      <c r="AJ53" s="1057"/>
      <c r="AK53" s="1057"/>
    </row>
    <row r="54" spans="1:37" s="1056" customFormat="1" ht="26.4">
      <c r="A54" s="1970" t="s">
        <v>2056</v>
      </c>
      <c r="B54" s="1262" t="str">
        <f>估价对象房地状况!C24</f>
        <v>城市主干道——朝阳门外大街</v>
      </c>
      <c r="C54" s="1887" t="s">
        <v>3437</v>
      </c>
      <c r="D54" s="1002">
        <f t="shared" si="7"/>
        <v>3.2000000000000002E-3</v>
      </c>
      <c r="E54" s="703"/>
      <c r="F54" s="1675"/>
      <c r="G54" s="1000">
        <v>3.2000000000000002E-3</v>
      </c>
      <c r="H54" s="1003">
        <f t="shared" si="8"/>
        <v>3.2000000000000002E-3</v>
      </c>
      <c r="I54" s="3066">
        <v>0.08</v>
      </c>
      <c r="J54" s="1001">
        <f t="shared" si="9"/>
        <v>6.4000000000000003E-3</v>
      </c>
      <c r="K54" s="1001">
        <f t="shared" si="10"/>
        <v>3.2000000000000002E-3</v>
      </c>
      <c r="L54" s="1001">
        <v>0</v>
      </c>
      <c r="M54" s="1001">
        <f t="shared" si="11"/>
        <v>-3.2000000000000002E-3</v>
      </c>
      <c r="N54" s="1001">
        <f t="shared" si="11"/>
        <v>-6.4000000000000003E-3</v>
      </c>
      <c r="AA54" s="1057"/>
      <c r="AB54" s="1057"/>
      <c r="AC54" s="1057"/>
      <c r="AD54" s="1057"/>
      <c r="AE54" s="1057"/>
      <c r="AF54" s="1057"/>
      <c r="AG54" s="1057"/>
      <c r="AH54" s="1057"/>
      <c r="AI54" s="1057"/>
      <c r="AJ54" s="1057"/>
      <c r="AK54" s="1057"/>
    </row>
    <row r="55" spans="1:37" s="1056" customFormat="1" ht="36">
      <c r="A55" s="1970" t="s">
        <v>2057</v>
      </c>
      <c r="B55" s="1975" t="s">
        <v>2058</v>
      </c>
      <c r="C55" s="1887" t="s">
        <v>3437</v>
      </c>
      <c r="D55" s="1002">
        <f t="shared" si="7"/>
        <v>2E-3</v>
      </c>
      <c r="E55" s="703"/>
      <c r="F55" s="1675"/>
      <c r="G55" s="1000">
        <v>2E-3</v>
      </c>
      <c r="H55" s="1003">
        <f t="shared" si="8"/>
        <v>2E-3</v>
      </c>
      <c r="I55" s="3066">
        <v>0.05</v>
      </c>
      <c r="J55" s="1001">
        <f t="shared" si="9"/>
        <v>4.0000000000000001E-3</v>
      </c>
      <c r="K55" s="1001">
        <f t="shared" si="10"/>
        <v>2E-3</v>
      </c>
      <c r="L55" s="1001">
        <v>0</v>
      </c>
      <c r="M55" s="1001">
        <f t="shared" si="11"/>
        <v>-2E-3</v>
      </c>
      <c r="N55" s="1001">
        <f t="shared" si="11"/>
        <v>-4.0000000000000001E-3</v>
      </c>
      <c r="AA55" s="1057"/>
      <c r="AB55" s="1057"/>
      <c r="AC55" s="1057"/>
      <c r="AD55" s="1057"/>
      <c r="AE55" s="1057"/>
      <c r="AF55" s="1057"/>
      <c r="AG55" s="1057"/>
      <c r="AH55" s="1057"/>
      <c r="AI55" s="1057"/>
      <c r="AJ55" s="1057"/>
      <c r="AK55" s="1057"/>
    </row>
    <row r="56" spans="1:37" s="1056" customFormat="1" ht="52.8">
      <c r="A56" s="1976" t="s">
        <v>2059</v>
      </c>
      <c r="B56" s="1240" t="str">
        <f>估价对象房地状况!C21</f>
        <v>估价对象所在区域银行、购物场所、学校等公共配套设施齐备，综合评价公共配套设施水平较好</v>
      </c>
      <c r="C56" s="1887" t="s">
        <v>3437</v>
      </c>
      <c r="D56" s="1002">
        <f t="shared" si="7"/>
        <v>2E-3</v>
      </c>
      <c r="E56" s="703"/>
      <c r="F56" s="1675"/>
      <c r="G56" s="1000">
        <v>2E-3</v>
      </c>
      <c r="H56" s="1003">
        <f t="shared" si="8"/>
        <v>2E-3</v>
      </c>
      <c r="I56" s="3066">
        <v>0.05</v>
      </c>
      <c r="J56" s="1001">
        <f t="shared" si="9"/>
        <v>4.0000000000000001E-3</v>
      </c>
      <c r="K56" s="1001">
        <f t="shared" si="10"/>
        <v>2E-3</v>
      </c>
      <c r="L56" s="1001">
        <v>0</v>
      </c>
      <c r="M56" s="1001">
        <f t="shared" si="11"/>
        <v>-2E-3</v>
      </c>
      <c r="N56" s="1001">
        <f t="shared" si="11"/>
        <v>-4.0000000000000001E-3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估价对象所在区域基础设施水平“七通一平</v>
      </c>
      <c r="C57" s="1887" t="s">
        <v>3445</v>
      </c>
      <c r="D57" s="1002">
        <f t="shared" si="7"/>
        <v>6.4000000000000003E-3</v>
      </c>
      <c r="E57" s="703"/>
      <c r="F57" s="1675"/>
      <c r="G57" s="1000">
        <v>3.2000000000000002E-3</v>
      </c>
      <c r="H57" s="1003">
        <f t="shared" si="8"/>
        <v>3.2000000000000002E-3</v>
      </c>
      <c r="I57" s="3066">
        <v>0.08</v>
      </c>
      <c r="J57" s="1001">
        <f t="shared" si="9"/>
        <v>6.4000000000000003E-3</v>
      </c>
      <c r="K57" s="1001">
        <f t="shared" si="10"/>
        <v>3.2000000000000002E-3</v>
      </c>
      <c r="L57" s="1001">
        <v>0</v>
      </c>
      <c r="M57" s="1001">
        <f t="shared" si="11"/>
        <v>-3.2000000000000002E-3</v>
      </c>
      <c r="N57" s="1001">
        <f t="shared" si="11"/>
        <v>-6.4000000000000003E-3</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区域内有东城职业大学、日坛公园、富国海底世界等自然及人文环境，综合评价自然及人文环境状况较好。</v>
      </c>
      <c r="C58" s="1887" t="s">
        <v>3437</v>
      </c>
      <c r="D58" s="1002">
        <f t="shared" si="7"/>
        <v>2E-3</v>
      </c>
      <c r="E58" s="704"/>
      <c r="F58" s="1675"/>
      <c r="G58" s="1000">
        <v>2E-3</v>
      </c>
      <c r="H58" s="1003">
        <f t="shared" si="8"/>
        <v>2E-3</v>
      </c>
      <c r="I58" s="3067">
        <v>0.05</v>
      </c>
      <c r="J58" s="1001">
        <f t="shared" si="9"/>
        <v>4.0000000000000001E-3</v>
      </c>
      <c r="K58" s="1001">
        <f t="shared" si="10"/>
        <v>2E-3</v>
      </c>
      <c r="L58" s="1001">
        <v>0</v>
      </c>
      <c r="M58" s="1001">
        <f t="shared" si="11"/>
        <v>-2E-3</v>
      </c>
      <c r="N58" s="1001">
        <f t="shared" si="11"/>
        <v>-4.0000000000000001E-3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估价对象位于朝阳门商圈，周边办公楼项目较多，有联合大厦、华普国际大厦等写字楼，入驻率高，办公集聚程度较好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52.8">
      <c r="A67" s="1970" t="s">
        <v>2059</v>
      </c>
      <c r="B67" s="1240" t="str">
        <f>估价对象房地状况!C21</f>
        <v>估价对象所在区域银行、购物场所、学校等公共配套设施齐备，综合评价公共配套设施水平较好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区域内有东城职业大学、日坛公园、富国海底世界等自然及人文环境，综合评价自然及人文环境状况较好。</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2608</v>
      </c>
      <c r="B91" s="3077">
        <f>1+E93</f>
        <v>1</v>
      </c>
      <c r="C91" s="3070"/>
      <c r="D91" s="3071"/>
      <c r="E91" s="1675"/>
      <c r="F91" s="1675"/>
      <c r="G91" s="3072"/>
      <c r="H91" s="3073"/>
      <c r="I91" s="3074"/>
      <c r="J91" s="3075"/>
      <c r="K91" s="3075"/>
      <c r="L91" s="3075"/>
      <c r="M91" s="3075"/>
      <c r="N91" s="3075"/>
    </row>
    <row r="92" spans="1:37" ht="25.2">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3269</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3270</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c r="A97" s="3078" t="s">
        <v>3271</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3272</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c r="A99" s="3078" t="s">
        <v>3273</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3274</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thickBot="1">
      <c r="A101" s="3079" t="s">
        <v>3275</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62" t="s">
        <v>3290</v>
      </c>
      <c r="B103" s="3362"/>
      <c r="C103" s="3362"/>
      <c r="D103" s="3362"/>
      <c r="E103" s="3362"/>
      <c r="F103" s="3362"/>
      <c r="G103" s="3362"/>
      <c r="H103" s="3362"/>
      <c r="I103" s="3362"/>
      <c r="J103" s="3362"/>
      <c r="K103" s="1667"/>
      <c r="L103" s="1667"/>
      <c r="M103" s="1667"/>
      <c r="N103" s="1667"/>
    </row>
    <row r="104" spans="1:14">
      <c r="A104" s="3363" t="s">
        <v>3291</v>
      </c>
      <c r="B104" s="3363" t="s">
        <v>3292</v>
      </c>
      <c r="C104" s="3088" t="s">
        <v>3293</v>
      </c>
      <c r="D104" s="3089"/>
      <c r="E104" s="3089"/>
      <c r="F104" s="3089"/>
      <c r="G104" s="3089"/>
      <c r="H104" s="3089"/>
      <c r="I104" s="3089"/>
      <c r="J104" s="3090"/>
      <c r="K104" s="3091"/>
      <c r="L104" s="3091"/>
      <c r="M104" s="3091"/>
      <c r="N104" s="3091"/>
    </row>
    <row r="105" spans="1:14">
      <c r="A105" s="3363"/>
      <c r="B105" s="3363"/>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349"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0"/>
      <c r="B111" s="3092" t="s">
        <v>3264</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351"/>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352" t="s">
        <v>3307</v>
      </c>
      <c r="B113" s="3352"/>
      <c r="C113" s="3352"/>
      <c r="D113" s="3352"/>
      <c r="E113" s="3352"/>
      <c r="F113" s="3352"/>
      <c r="G113" s="3352"/>
      <c r="H113" s="3352"/>
      <c r="I113" s="3352"/>
      <c r="J113" s="335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8.73</v>
      </c>
      <c r="C116" s="3097" t="s">
        <v>3309</v>
      </c>
      <c r="D116" s="3098">
        <f>SUMPRODUCT((A118:A122=F116)*(B117:M117=H116)*B118:M122)</f>
        <v>0.90080000000000005</v>
      </c>
      <c r="E116" s="162" t="s">
        <v>3310</v>
      </c>
      <c r="F116" s="3099" t="str">
        <f>E2</f>
        <v>商业</v>
      </c>
      <c r="G116" s="162" t="s">
        <v>3311</v>
      </c>
      <c r="H116" s="3099" t="str">
        <f>G2</f>
        <v>一级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3325</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3326</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3327</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2608</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北京市北京市朝阳区朝阳门外大街18号房地产抵押价值预评估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20" sqref="G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3424</v>
      </c>
      <c r="C1" s="1717" t="s">
        <v>1563</v>
      </c>
      <c r="D1" s="190"/>
      <c r="E1" s="190"/>
      <c r="F1" s="190"/>
      <c r="G1" s="1062" t="e">
        <f>MATCH(B1,'数据-取费表'!A6:A16,0)+5</f>
        <v>#N/A</v>
      </c>
      <c r="H1" s="998" t="str">
        <f>IF(ISERROR(FIND("住宅",B1)),"非住宅","住宅")</f>
        <v>非住宅</v>
      </c>
    </row>
    <row r="2" spans="1:8" s="192" customFormat="1" ht="18" customHeight="1">
      <c r="A2" s="193" t="s">
        <v>1462</v>
      </c>
      <c r="B2" s="3120"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ROUND(基准地价修正!D37*基准地价修正!C37,0)</f>
        <v>0</v>
      </c>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4" t="s">
        <v>3446</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3447</v>
      </c>
    </row>
    <row r="20" spans="1:7" s="206" customFormat="1" ht="13.5" customHeight="1">
      <c r="A20" s="247" t="s">
        <v>1574</v>
      </c>
      <c r="B20" s="202" t="s">
        <v>1575</v>
      </c>
      <c r="C20" s="224" t="e">
        <f ca="1">ROUND((C5+C19)*F20,0)</f>
        <v>#N/A</v>
      </c>
      <c r="D20" s="224"/>
      <c r="E20" s="224"/>
      <c r="F20" s="225">
        <f>'数据-取费表'!B37</f>
        <v>2.5000000000000001E-2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t="e">
        <f ca="1">ROUND(SUM(C23:C25),0)</f>
        <v>#N/A</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0.08</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t="e">
        <f ca="1">ROUND(SUM(C42:C43),0)</f>
        <v>#N/A</v>
      </c>
      <c r="D41" s="227">
        <f ca="1">C44</f>
        <v>1.4E-3</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68" t="s">
        <v>1591</v>
      </c>
    </row>
    <row r="43" spans="1:7" ht="13.5" customHeight="1">
      <c r="A43" s="734" t="s">
        <v>347</v>
      </c>
      <c r="B43" s="207" t="s">
        <v>1545</v>
      </c>
      <c r="C43" s="230" t="e">
        <f ca="1">ROUND(IF('数据-取费表'!B22&lt;=1,C39*F22*'数据-取费表'!B20/2,C39*(POWER((1+F22),'数据-取费表'!B20/2)-1)),0)</f>
        <v>#N/A</v>
      </c>
      <c r="D43" s="230"/>
      <c r="E43" s="230"/>
      <c r="F43" s="231"/>
      <c r="G43" s="3369"/>
    </row>
    <row r="44" spans="1:7" ht="13.5" customHeight="1">
      <c r="A44" s="734" t="s">
        <v>348</v>
      </c>
      <c r="B44" s="207" t="s">
        <v>1546</v>
      </c>
      <c r="C44" s="230">
        <f ca="1">ROUND(IF('数据-取费表'!B22&lt;=1,C40*F22*'数据-取费表'!B20/2,C40*(POWER((1+F22),'数据-取费表'!B20/2)-1)),4)</f>
        <v>1.4E-3</v>
      </c>
      <c r="D44" s="230"/>
      <c r="E44" s="230"/>
      <c r="F44" s="231"/>
      <c r="G44" s="337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20" sqref="G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3424</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#N/A</v>
      </c>
      <c r="C2" s="1289" t="s">
        <v>879</v>
      </c>
      <c r="D2" s="1375" t="e">
        <f ca="1">C40+J29+L46</f>
        <v>#N/A</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371" t="s">
        <v>694</v>
      </c>
      <c r="C6" s="1011" t="e">
        <f ca="1">ROUND(F6*F8*F7*(1-F9),0)</f>
        <v>#N/A</v>
      </c>
      <c r="D6" s="147" t="s">
        <v>2106</v>
      </c>
      <c r="E6" s="294" t="s">
        <v>696</v>
      </c>
      <c r="F6" s="295" t="e">
        <f ca="1">INDIRECT("'数据-取费表'!u"&amp;$G$1)</f>
        <v>#N/A</v>
      </c>
      <c r="G6" s="1292"/>
      <c r="H6" s="1006" t="s">
        <v>398</v>
      </c>
      <c r="I6" s="3371" t="s">
        <v>694</v>
      </c>
      <c r="J6" s="293" t="e">
        <f ca="1">ROUND(M6*M8*M7*(1-M9),0)</f>
        <v>#N/A</v>
      </c>
      <c r="K6" s="1284" t="s">
        <v>2107</v>
      </c>
      <c r="L6" s="294" t="s">
        <v>696</v>
      </c>
      <c r="M6" s="295" t="e">
        <f ca="1">INDIRECT("'数据-取费表'!z"&amp;$G$1)</f>
        <v>#N/A</v>
      </c>
    </row>
    <row r="7" spans="1:37" ht="18" customHeight="1">
      <c r="A7" s="1010"/>
      <c r="B7" s="3372"/>
      <c r="C7" s="1012"/>
      <c r="D7" s="299"/>
      <c r="E7" s="1013" t="s">
        <v>697</v>
      </c>
      <c r="F7" s="295" t="e">
        <f ca="1">IF(INDIRECT("'数据-取费表'!ah"&amp;$G$1)="",INDIRECT("'数据-取费表'!k"&amp;$G$1),INDIRECT("'数据-取费表'!ah"&amp;$G$1))</f>
        <v>#N/A</v>
      </c>
      <c r="G7" s="1292"/>
      <c r="H7" s="296"/>
      <c r="I7" s="3372"/>
      <c r="J7" s="298"/>
      <c r="K7" s="299"/>
      <c r="L7" s="294" t="s">
        <v>697</v>
      </c>
      <c r="M7" s="295" t="e">
        <f ca="1">F7</f>
        <v>#N/A</v>
      </c>
    </row>
    <row r="8" spans="1:37" ht="18" customHeight="1">
      <c r="A8" s="296"/>
      <c r="B8" s="3372"/>
      <c r="C8" s="298"/>
      <c r="D8" s="299"/>
      <c r="E8" s="294" t="s">
        <v>698</v>
      </c>
      <c r="F8" s="295" t="e">
        <f ca="1">INDIRECT("'数据-取费表'!ai"&amp;$G$1)</f>
        <v>#N/A</v>
      </c>
      <c r="G8" s="1292"/>
      <c r="H8" s="296"/>
      <c r="I8" s="3372"/>
      <c r="J8" s="298"/>
      <c r="K8" s="299"/>
      <c r="L8" s="294" t="s">
        <v>698</v>
      </c>
      <c r="M8" s="295" t="e">
        <f ca="1">INDIRECT("'数据-取费表'!ai"&amp;$G$1)</f>
        <v>#N/A</v>
      </c>
    </row>
    <row r="9" spans="1:37" ht="18" customHeight="1">
      <c r="A9" s="296"/>
      <c r="B9" s="3373"/>
      <c r="C9" s="298"/>
      <c r="D9" s="299"/>
      <c r="E9" s="294" t="s">
        <v>699</v>
      </c>
      <c r="F9" s="304" t="e">
        <f ca="1">INDIRECT("'数据-取费表'!w"&amp;$G$1)</f>
        <v>#N/A</v>
      </c>
      <c r="G9" s="1292"/>
      <c r="H9" s="296"/>
      <c r="I9" s="3373"/>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3448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0.08</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40" t="e">
        <f ca="1">ROUND(IF(AND(项目基本情况!B11="自然人",项目基本情况!B10="北京市"),J6*M17/(1+'数据-取费表'!C42),J18+J19+J20),0)</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3332</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2.5000000000000001E-2</v>
      </c>
      <c r="G20" s="1303"/>
      <c r="H20" s="928" t="s">
        <v>680</v>
      </c>
      <c r="I20" s="147" t="s">
        <v>730</v>
      </c>
      <c r="J20" s="22" t="e">
        <f ca="1">ROUND(M20*M21,0)</f>
        <v>#N/A</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40" t="e">
        <f ca="1">ROUND(IF(AND(项目基本情况!B11="自然人",项目基本情况!B10="北京市"),C6*F31/(1+'数据-取费表'!C42),C32+C33+C34),0)</f>
        <v>#N/A</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t="e">
        <f ca="1">IF(项目基本情况!B11="自然人","——",ROUND(C6*F32/(1+'数据-取费表'!C42),0))</f>
        <v>#N/A</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IF(项目基本情况!B11="自然人","——",ROUND(F34*F35,0))</f>
        <v>#N/A</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ROUND(C29*F36,0)</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ROUND(C13*F37,0)</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ROUND(C5*F38,0)</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t="e">
        <f ca="1">ROUND((C68-C40)/10000,4)</f>
        <v>#N/A</v>
      </c>
      <c r="D45" s="3128" t="s">
        <v>3349</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3449</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3450</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f>'数据-取费表'!O19</f>
        <v>1996</v>
      </c>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31</v>
      </c>
      <c r="K51" s="1339" t="s">
        <v>830</v>
      </c>
      <c r="L51" s="1340" t="e">
        <f ca="1">ROUND(-PV(INDIRECT("'数据-取费表'!h"&amp;$G$1),J51,(C39-C13*C76),0),0)</f>
        <v>#N/A</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t="e">
        <f ca="1">IF(M47="住宅",IF(D1="——",MAX(J51,L48),MAX(J51,L48-'数据-取费表'!B24)),IF(D1="——",MIN(J51,L48),MIN(J51,L48-'数据-取费表'!B24)))</f>
        <v>#N/A</v>
      </c>
      <c r="K53" s="3374" t="s">
        <v>837</v>
      </c>
      <c r="L53" s="3375"/>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3332</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30</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J11">
    <cfRule type="expression" dxfId="139" priority="2">
      <formula>$M$10="自定义"</formula>
    </cfRule>
  </conditionalFormatting>
  <conditionalFormatting sqref="K55 K60">
    <cfRule type="expression" dxfId="13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324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6793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10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10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10</v>
      </c>
      <c r="D10" s="795">
        <f ca="1">IF(B1="",'数据-汇总表'!E6,IF(INDIRECT("'数据-取费表'!c"&amp;$G$1)="住宅",INDIRECT("'数据-取费表'!s"&amp;$G$1),INDIRECT("'数据-取费表'!k"&amp;$G$1)+INDIRECT("'数据-取费表'!s"&amp;$G$1)))</f>
        <v>476.94000000000005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v>
      </c>
      <c r="D19" s="204">
        <f ca="1">D9+D10</f>
        <v>476.94000000000005</v>
      </c>
      <c r="E19" s="203">
        <f>'数据-取费表'!B31</f>
        <v>200</v>
      </c>
      <c r="F19" s="223"/>
      <c r="G19" s="1714"/>
    </row>
    <row r="20" spans="1:7" s="206" customFormat="1" ht="13.5" customHeight="1">
      <c r="A20" s="247" t="s">
        <v>1493</v>
      </c>
      <c r="B20" s="202" t="s">
        <v>1494</v>
      </c>
      <c r="C20" s="224">
        <f ca="1">ROUND((C5+C19)*F20,0)</f>
        <v>1</v>
      </c>
      <c r="D20" s="224"/>
      <c r="E20" s="224"/>
      <c r="F20" s="225">
        <f>'数据-取费表'!B37</f>
        <v>2.5000000000000001E-2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2</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6.4">
      <c r="A27" s="247" t="s">
        <v>1512</v>
      </c>
      <c r="B27" s="236" t="s">
        <v>1513</v>
      </c>
      <c r="C27" s="237">
        <f ca="1">C28</f>
        <v>4</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267</v>
      </c>
      <c r="D34" s="209"/>
      <c r="E34" s="212"/>
      <c r="F34" s="249">
        <f ca="1">IF('数据-取费表'!B24=0,1,IF(B1="",'数据-取费表'!N16,INDIRECT("'数据-取费表'!n"&amp;$G$1)))</f>
        <v>1</v>
      </c>
      <c r="G34" s="211" t="s">
        <v>1526</v>
      </c>
    </row>
    <row r="35" spans="1:7" ht="13.5" customHeight="1">
      <c r="A35" s="734" t="s">
        <v>351</v>
      </c>
      <c r="B35" s="207" t="s">
        <v>1527</v>
      </c>
      <c r="C35" s="212">
        <f ca="1">ROUND(C34*F35,0)</f>
        <v>21</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476.94000000000005</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2.5000000000000001E-2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14</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14</v>
      </c>
      <c r="D42" s="230"/>
      <c r="E42" s="230"/>
      <c r="F42" s="231"/>
      <c r="G42" s="3368" t="s">
        <v>1544</v>
      </c>
    </row>
    <row r="43" spans="1:7" ht="13.5" customHeight="1">
      <c r="A43" s="734" t="s">
        <v>347</v>
      </c>
      <c r="B43" s="207" t="s">
        <v>1545</v>
      </c>
      <c r="C43" s="230">
        <f ca="1">ROUND(IF('数据-取费表'!B22&lt;=1,C39*F22*'数据-取费表'!B21/2,C39*(POWER((1+F22),'数据-取费表'!B21/2)-1)),0)</f>
        <v>0</v>
      </c>
      <c r="D43" s="230"/>
      <c r="E43" s="230"/>
      <c r="F43" s="231"/>
      <c r="G43" s="3369"/>
    </row>
    <row r="44" spans="1:7" ht="13.5" customHeight="1">
      <c r="A44" s="734" t="s">
        <v>348</v>
      </c>
      <c r="B44" s="207" t="s">
        <v>1546</v>
      </c>
      <c r="C44" s="230">
        <f ca="1">ROUND(IF('数据-取费表'!B22&lt;=1,C40*F22*'数据-取费表'!B21/2,C40*(POWER((1+F22),'数据-取费表'!B21/2)-1)),4)</f>
        <v>1.4E-3</v>
      </c>
      <c r="D44" s="230"/>
      <c r="E44" s="230"/>
      <c r="F44" s="231"/>
      <c r="G44" s="3370"/>
    </row>
    <row r="45" spans="1:7" s="206" customFormat="1" ht="13.5" customHeight="1">
      <c r="A45" s="247" t="s">
        <v>1547</v>
      </c>
      <c r="B45" s="236" t="s">
        <v>1513</v>
      </c>
      <c r="C45" s="237">
        <f ca="1">C46</f>
        <v>62</v>
      </c>
      <c r="D45" s="227">
        <f ca="1">C47</f>
        <v>6.0000000000000001E-3</v>
      </c>
      <c r="E45" s="228" t="s">
        <v>1539</v>
      </c>
      <c r="F45" s="238">
        <f ca="1">F27</f>
        <v>0.2</v>
      </c>
      <c r="G45" s="239" t="s">
        <v>1548</v>
      </c>
    </row>
    <row r="46" spans="1:7" s="206" customFormat="1" ht="13.5" customHeight="1">
      <c r="A46" s="734" t="s">
        <v>346</v>
      </c>
      <c r="B46" s="240" t="s">
        <v>1549</v>
      </c>
      <c r="C46" s="241">
        <f ca="1">ROUND((C33+C39)*F27,0)</f>
        <v>62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426</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294</v>
      </c>
      <c r="D51" s="224"/>
      <c r="E51" s="224"/>
      <c r="F51" s="256"/>
      <c r="G51" s="226" t="s">
        <v>1560</v>
      </c>
    </row>
    <row r="52" spans="1:7" s="200" customFormat="1" ht="16.8" thickBot="1">
      <c r="A52" s="257" t="s">
        <v>1561</v>
      </c>
      <c r="B52" s="258"/>
      <c r="C52" s="259">
        <f ca="1">C31+C51</f>
        <v>324</v>
      </c>
      <c r="D52" s="258"/>
      <c r="E52" s="258"/>
      <c r="F52" s="258"/>
      <c r="G52" s="260"/>
    </row>
    <row r="55" spans="1:7" ht="15">
      <c r="B55" s="262" t="s">
        <v>1562</v>
      </c>
      <c r="C55" s="263"/>
    </row>
    <row r="56" spans="1:7">
      <c r="B56" s="265" t="s">
        <v>802</v>
      </c>
      <c r="C56" s="267">
        <f ca="1">1-C57</f>
        <v>9.2999999999999972E-2</v>
      </c>
    </row>
    <row r="57" spans="1:7">
      <c r="B57" s="265" t="s">
        <v>803</v>
      </c>
      <c r="C57" s="266">
        <f ca="1">ROUND(C51/C52,3)</f>
        <v>0.90700000000000003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476.94000000000005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476.94000000000005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v>
      </c>
      <c r="D20" s="796">
        <f ca="1">IF(C1="",'数据-汇总表'!E6,IF(INDIRECT("'数据-取费表'!c"&amp;$K$1)="住宅",INDIRECT("'数据-取费表'!s"&amp;$K$1),INDIRECT("'数据-取费表'!k"&amp;$K$1)+INDIRECT("'数据-取费表'!s"&amp;$K$1)))</f>
        <v>476.94000000000005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2.5000000000000001E-2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2.5000000000000001E-2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40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8.8000000000000007</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4" t="s">
        <v>837</v>
      </c>
      <c r="L53" s="337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8.8000000000000007</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t="str">
        <f ca="1">IF(OR(M47="住宅",J51&lt;L48,J56="是"),"——",J51-L48)</f>
        <v>——</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3355</v>
      </c>
      <c r="E2" s="3137"/>
      <c r="F2" s="2595"/>
      <c r="G2" s="2596"/>
      <c r="H2" s="2597"/>
      <c r="I2" s="2598"/>
      <c r="J2" s="3376" t="s">
        <v>2313</v>
      </c>
      <c r="K2" s="3377"/>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378" t="s">
        <v>2323</v>
      </c>
      <c r="K3" s="3379"/>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378" t="s">
        <v>2325</v>
      </c>
      <c r="K4" s="3379"/>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380" t="s">
        <v>2329</v>
      </c>
      <c r="B6" s="3381"/>
      <c r="C6" s="3382"/>
      <c r="D6" s="2619"/>
      <c r="E6" s="2620"/>
      <c r="F6" s="2621"/>
      <c r="G6" s="2622"/>
      <c r="H6" s="2597"/>
      <c r="I6" s="2598"/>
      <c r="J6" s="3383">
        <v>1</v>
      </c>
      <c r="K6" s="3384"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383"/>
      <c r="K7" s="3385"/>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387" t="s">
        <v>2343</v>
      </c>
      <c r="C8" s="3388"/>
      <c r="D8" s="2638" t="s">
        <v>2344</v>
      </c>
      <c r="E8" s="2639" t="s">
        <v>2345</v>
      </c>
      <c r="F8" s="2640" t="s">
        <v>2346</v>
      </c>
      <c r="G8" s="2641"/>
      <c r="H8" s="2597"/>
      <c r="I8" s="2598"/>
      <c r="J8" s="3383"/>
      <c r="K8" s="3385"/>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387" t="s">
        <v>2349</v>
      </c>
      <c r="C9" s="3388"/>
      <c r="D9" s="2638">
        <f>ROUND(D6*E9,0)</f>
        <v>0</v>
      </c>
      <c r="E9" s="2642"/>
      <c r="F9" s="2643" t="s">
        <v>2350</v>
      </c>
      <c r="G9" s="2622"/>
      <c r="H9" s="2597"/>
      <c r="I9" s="2598"/>
      <c r="J9" s="3383"/>
      <c r="K9" s="3385"/>
      <c r="L9" s="2632" t="s">
        <v>2351</v>
      </c>
      <c r="M9" s="2633"/>
      <c r="N9" s="2609"/>
      <c r="O9" s="2634"/>
      <c r="P9" s="2634"/>
      <c r="Q9" s="2635">
        <v>365</v>
      </c>
      <c r="R9" s="2636">
        <f t="shared" si="0"/>
        <v>0</v>
      </c>
      <c r="S9" s="2590"/>
      <c r="T9" s="2590"/>
      <c r="U9" s="2590"/>
      <c r="V9" s="2598"/>
    </row>
    <row r="10" spans="1:22" s="2602" customFormat="1" ht="13.2" customHeight="1">
      <c r="A10" s="2637">
        <v>2</v>
      </c>
      <c r="B10" s="3387" t="s">
        <v>2352</v>
      </c>
      <c r="C10" s="3388"/>
      <c r="D10" s="2638">
        <f>ROUND(D6*E10,0)</f>
        <v>0</v>
      </c>
      <c r="E10" s="2642"/>
      <c r="F10" s="2643" t="s">
        <v>2353</v>
      </c>
      <c r="G10" s="2622"/>
      <c r="H10" s="2597"/>
      <c r="I10" s="2598"/>
      <c r="J10" s="3383"/>
      <c r="K10" s="3385"/>
      <c r="L10" s="2632" t="s">
        <v>2354</v>
      </c>
      <c r="M10" s="2633"/>
      <c r="N10" s="2609"/>
      <c r="O10" s="2634"/>
      <c r="P10" s="2634"/>
      <c r="Q10" s="2635">
        <v>365</v>
      </c>
      <c r="R10" s="2636">
        <f t="shared" si="0"/>
        <v>0</v>
      </c>
      <c r="S10" s="2590"/>
      <c r="T10" s="2590"/>
      <c r="U10" s="2590"/>
      <c r="V10" s="2598"/>
    </row>
    <row r="11" spans="1:22" s="2602" customFormat="1" ht="13.2" customHeight="1">
      <c r="A11" s="2637">
        <v>3</v>
      </c>
      <c r="B11" s="3387" t="s">
        <v>2355</v>
      </c>
      <c r="C11" s="3388"/>
      <c r="D11" s="2638">
        <f>D12+D14+D15+D16</f>
        <v>0</v>
      </c>
      <c r="E11" s="2644" t="e">
        <f>D11/D6</f>
        <v>#DIV/0!</v>
      </c>
      <c r="F11" s="2640"/>
      <c r="G11" s="2641"/>
      <c r="H11" s="2597"/>
      <c r="I11" s="2598"/>
      <c r="J11" s="3383"/>
      <c r="K11" s="3385"/>
      <c r="L11" s="2632" t="s">
        <v>2356</v>
      </c>
      <c r="M11" s="2633"/>
      <c r="N11" s="2609"/>
      <c r="O11" s="2634"/>
      <c r="P11" s="2634"/>
      <c r="Q11" s="2635">
        <v>365</v>
      </c>
      <c r="R11" s="2636">
        <f t="shared" si="0"/>
        <v>0</v>
      </c>
      <c r="S11" s="2590"/>
      <c r="T11" s="2590"/>
      <c r="U11" s="2590"/>
      <c r="V11" s="2598"/>
    </row>
    <row r="12" spans="1:22" s="2602" customFormat="1" ht="13.2" customHeight="1">
      <c r="A12" s="2645" t="s">
        <v>2357</v>
      </c>
      <c r="B12" s="3389" t="s">
        <v>2358</v>
      </c>
      <c r="C12" s="3390"/>
      <c r="D12" s="2646">
        <f>ROUND(D13*1.2%*(1-30%),0)</f>
        <v>0</v>
      </c>
      <c r="E12" s="2647">
        <v>1.2E-2</v>
      </c>
      <c r="F12" s="2640" t="s">
        <v>2359</v>
      </c>
      <c r="G12" s="2641"/>
      <c r="H12" s="2597"/>
      <c r="I12" s="2598"/>
      <c r="J12" s="3383"/>
      <c r="K12" s="3385"/>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383"/>
      <c r="K13" s="3385"/>
      <c r="L13" s="2632" t="s">
        <v>2362</v>
      </c>
      <c r="M13" s="2633"/>
      <c r="N13" s="2609"/>
      <c r="O13" s="2634"/>
      <c r="P13" s="2634"/>
      <c r="Q13" s="2635">
        <v>365</v>
      </c>
      <c r="R13" s="2636">
        <f t="shared" si="0"/>
        <v>0</v>
      </c>
      <c r="S13" s="2590"/>
      <c r="T13" s="2590"/>
      <c r="U13" s="2590"/>
      <c r="V13" s="2598"/>
    </row>
    <row r="14" spans="1:22" s="2602" customFormat="1" ht="13.2" customHeight="1">
      <c r="A14" s="2645" t="s">
        <v>2363</v>
      </c>
      <c r="B14" s="3389" t="s">
        <v>2364</v>
      </c>
      <c r="C14" s="3390"/>
      <c r="D14" s="2646">
        <f>ROUND(E14*B5/10000,0)</f>
        <v>0</v>
      </c>
      <c r="E14" s="2635"/>
      <c r="F14" s="2640" t="s">
        <v>2365</v>
      </c>
      <c r="G14" s="2641"/>
      <c r="H14" s="2597"/>
      <c r="I14" s="2598"/>
      <c r="J14" s="3383"/>
      <c r="K14" s="3386"/>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389" t="s">
        <v>2368</v>
      </c>
      <c r="C15" s="3390"/>
      <c r="D15" s="2646">
        <f>ROUND(D6*E15,0)</f>
        <v>0</v>
      </c>
      <c r="E15" s="2647">
        <v>5.5E-2</v>
      </c>
      <c r="F15" s="2640" t="s">
        <v>2369</v>
      </c>
      <c r="G15" s="2622"/>
      <c r="H15" s="2597"/>
      <c r="I15" s="2598"/>
      <c r="J15" s="3383">
        <v>2</v>
      </c>
      <c r="K15" s="3384"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389" t="s">
        <v>2377</v>
      </c>
      <c r="C16" s="3390"/>
      <c r="D16" s="2657">
        <f>D6*E16</f>
        <v>0</v>
      </c>
      <c r="E16" s="2658"/>
      <c r="F16" s="2643" t="s">
        <v>2378</v>
      </c>
      <c r="G16" s="2622"/>
      <c r="H16" s="2597"/>
      <c r="I16" s="2598"/>
      <c r="J16" s="3383"/>
      <c r="K16" s="3385"/>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391" t="s">
        <v>2380</v>
      </c>
      <c r="C17" s="3392"/>
      <c r="D17" s="2660">
        <f>ROUND(D6*E17,0)</f>
        <v>0</v>
      </c>
      <c r="E17" s="2661"/>
      <c r="F17" s="2662" t="s">
        <v>2381</v>
      </c>
      <c r="G17" s="2622"/>
      <c r="H17" s="2597"/>
      <c r="I17" s="2598"/>
      <c r="J17" s="3383"/>
      <c r="K17" s="3385"/>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383"/>
      <c r="K18" s="3385"/>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383"/>
      <c r="K19" s="3386"/>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3">
        <v>3</v>
      </c>
      <c r="K20" s="3384"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383"/>
      <c r="K21" s="3385"/>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383"/>
      <c r="K22" s="3385"/>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383"/>
      <c r="K23" s="3385"/>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383"/>
      <c r="K24" s="3386"/>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393">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39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376" t="s">
        <v>2313</v>
      </c>
      <c r="K32" s="3377"/>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378" t="s">
        <v>2323</v>
      </c>
      <c r="K33" s="3379"/>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378" t="s">
        <v>2325</v>
      </c>
      <c r="K34" s="3379"/>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383">
        <v>1</v>
      </c>
      <c r="K36" s="3384"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383"/>
      <c r="K37" s="3385"/>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3"/>
      <c r="K38" s="3385"/>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383"/>
      <c r="K39" s="3385"/>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383"/>
      <c r="K40" s="3386"/>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393">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39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1156.8995</v>
      </c>
      <c r="C2" s="1729" t="s">
        <v>1651</v>
      </c>
      <c r="D2" s="1730" t="s">
        <v>1652</v>
      </c>
      <c r="E2" s="2391">
        <f>SUM(E6:E13)</f>
        <v>476.94000000000005</v>
      </c>
      <c r="F2" s="2477"/>
      <c r="G2" s="459"/>
      <c r="H2" s="459"/>
      <c r="I2" s="459"/>
      <c r="J2" s="459"/>
      <c r="K2" s="459"/>
      <c r="L2" s="459"/>
      <c r="M2" s="459"/>
      <c r="N2" s="459"/>
      <c r="O2" s="459"/>
      <c r="P2" s="459"/>
      <c r="Q2" s="459"/>
      <c r="R2" s="459"/>
      <c r="S2" s="459"/>
    </row>
    <row r="3" spans="1:22" ht="15.6">
      <c r="A3" s="1728" t="s">
        <v>686</v>
      </c>
      <c r="B3" s="2385">
        <f ca="1">ROUND(B2*10000/E2,0)</f>
        <v>24257</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95" t="s">
        <v>1654</v>
      </c>
      <c r="C5" s="3396"/>
      <c r="D5" s="2478"/>
      <c r="E5" s="1731" t="s">
        <v>1655</v>
      </c>
      <c r="F5" s="129" t="s">
        <v>1656</v>
      </c>
      <c r="G5" s="459"/>
      <c r="H5" s="459"/>
      <c r="I5" s="459"/>
      <c r="J5" s="459"/>
      <c r="K5" s="459"/>
      <c r="L5" s="459"/>
      <c r="M5" s="459"/>
      <c r="N5" s="459"/>
      <c r="O5" s="459"/>
      <c r="P5" s="459"/>
      <c r="Q5" s="459"/>
      <c r="R5" s="459"/>
      <c r="S5" s="459"/>
    </row>
    <row r="6" spans="1:22" ht="14.4">
      <c r="A6" s="2388" t="str">
        <f>'数据-取费表'!AN6</f>
        <v>收益法办</v>
      </c>
      <c r="B6" s="2386">
        <f ca="1">IF(F6="是",'数据-取费表'!AO6,0)</f>
        <v>1156.8995</v>
      </c>
      <c r="C6" s="1729" t="s">
        <v>1651</v>
      </c>
      <c r="D6" s="2477"/>
      <c r="E6" s="2390">
        <f>IF(OR(A6=0,F6="否"),0,'数据-取费表'!K6+'数据-取费表'!S6)</f>
        <v>476.94000000000005</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476.94000000000005</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5" t="s">
        <v>1667</v>
      </c>
      <c r="D4" s="3416"/>
      <c r="E4" s="3417" t="s">
        <v>1668</v>
      </c>
      <c r="F4" s="3418"/>
      <c r="G4" s="3415" t="s">
        <v>1669</v>
      </c>
      <c r="H4" s="3416"/>
      <c r="I4" s="3415" t="s">
        <v>1670</v>
      </c>
      <c r="J4" s="3416"/>
      <c r="K4" s="1744" t="s">
        <v>1671</v>
      </c>
      <c r="L4" s="2484"/>
      <c r="M4" s="2485"/>
      <c r="N4" s="2485"/>
      <c r="O4" s="2485"/>
      <c r="P4" s="3419" t="s">
        <v>1672</v>
      </c>
      <c r="Q4" s="3420"/>
      <c r="R4" s="3402" t="s">
        <v>1668</v>
      </c>
      <c r="S4" s="3403"/>
      <c r="T4" s="3402" t="s">
        <v>1669</v>
      </c>
      <c r="U4" s="3403"/>
      <c r="V4" s="3427" t="s">
        <v>1670</v>
      </c>
      <c r="W4" s="3427"/>
      <c r="X4" s="1265"/>
      <c r="Y4" s="3402" t="s">
        <v>1672</v>
      </c>
      <c r="Z4" s="3403"/>
      <c r="AA4" s="3397" t="s">
        <v>1668</v>
      </c>
      <c r="AB4" s="3397" t="s">
        <v>1669</v>
      </c>
      <c r="AC4" s="3397" t="s">
        <v>1670</v>
      </c>
    </row>
    <row r="5" spans="1:29">
      <c r="A5" s="348"/>
      <c r="B5" s="349"/>
      <c r="C5" s="3408" t="s">
        <v>1673</v>
      </c>
      <c r="D5" s="3409"/>
      <c r="E5" s="3406" t="s">
        <v>1674</v>
      </c>
      <c r="F5" s="3407"/>
      <c r="G5" s="3408" t="s">
        <v>1675</v>
      </c>
      <c r="H5" s="3409"/>
      <c r="I5" s="3408" t="s">
        <v>1676</v>
      </c>
      <c r="J5" s="3409"/>
      <c r="K5" s="1745"/>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1745" t="s">
        <v>1678</v>
      </c>
      <c r="L6" s="2484"/>
      <c r="M6" s="2485"/>
      <c r="N6" s="2485"/>
      <c r="O6" s="2485"/>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0" t="s">
        <v>1680</v>
      </c>
      <c r="Q7" s="3428"/>
      <c r="R7" s="664" t="s">
        <v>20</v>
      </c>
      <c r="S7" s="665">
        <f t="shared" ref="S7:S15" si="0">F7</f>
        <v>0</v>
      </c>
      <c r="T7" s="664" t="s">
        <v>20</v>
      </c>
      <c r="U7" s="665">
        <f t="shared" ref="U7:U15" si="1">H7</f>
        <v>0</v>
      </c>
      <c r="V7" s="664" t="s">
        <v>20</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0" t="s">
        <v>1683</v>
      </c>
      <c r="Q8" s="3401"/>
      <c r="R8" s="664" t="s">
        <v>20</v>
      </c>
      <c r="S8" s="665">
        <f t="shared" si="0"/>
        <v>100</v>
      </c>
      <c r="T8" s="664" t="s">
        <v>20</v>
      </c>
      <c r="U8" s="665">
        <f t="shared" si="1"/>
        <v>100</v>
      </c>
      <c r="V8" s="664" t="s">
        <v>20</v>
      </c>
      <c r="W8" s="665">
        <f t="shared" si="2"/>
        <v>100</v>
      </c>
      <c r="X8" s="666"/>
      <c r="Y8" s="3400" t="s">
        <v>1683</v>
      </c>
      <c r="Z8" s="340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4"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4"/>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4"/>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4"/>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4"/>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4"/>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40" t="s">
        <v>1691</v>
      </c>
      <c r="Q15" s="1263" t="str">
        <f t="shared" si="6"/>
        <v>居住社区成熟度</v>
      </c>
      <c r="R15" s="667" t="s">
        <v>18</v>
      </c>
      <c r="S15" s="668">
        <f t="shared" si="0"/>
        <v>100</v>
      </c>
      <c r="T15" s="667" t="s">
        <v>18</v>
      </c>
      <c r="U15" s="668">
        <f t="shared" si="1"/>
        <v>100</v>
      </c>
      <c r="V15" s="667" t="s">
        <v>18</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41"/>
      <c r="Q16" s="1263"/>
      <c r="R16" s="667"/>
      <c r="S16" s="668"/>
      <c r="T16" s="667"/>
      <c r="U16" s="668"/>
      <c r="V16" s="667"/>
      <c r="W16" s="668"/>
      <c r="X16" s="1265"/>
      <c r="Y16" s="3434"/>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1"/>
      <c r="Q17" s="1263" t="str">
        <f>B17</f>
        <v>交通便捷度</v>
      </c>
      <c r="R17" s="667" t="s">
        <v>18</v>
      </c>
      <c r="S17" s="668">
        <f>F17</f>
        <v>100</v>
      </c>
      <c r="T17" s="667" t="s">
        <v>18</v>
      </c>
      <c r="U17" s="668">
        <f>H17</f>
        <v>100</v>
      </c>
      <c r="V17" s="667" t="s">
        <v>18</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41"/>
      <c r="Q18" s="1263"/>
      <c r="R18" s="667"/>
      <c r="S18" s="668"/>
      <c r="T18" s="667"/>
      <c r="U18" s="668"/>
      <c r="V18" s="667"/>
      <c r="W18" s="668"/>
      <c r="X18" s="1265"/>
      <c r="Y18" s="3434"/>
      <c r="Z18" s="1264"/>
      <c r="AA18" s="1264">
        <v>1</v>
      </c>
      <c r="AB18" s="1264">
        <v>1</v>
      </c>
      <c r="AC18" s="1264">
        <v>1</v>
      </c>
    </row>
    <row r="19" spans="1:29" ht="82.8">
      <c r="A19" s="367"/>
      <c r="B19" s="390" t="s">
        <v>1258</v>
      </c>
      <c r="C19" s="1754"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1"/>
      <c r="Q19" s="1263" t="str">
        <f>B19</f>
        <v>公共配套设施</v>
      </c>
      <c r="R19" s="667" t="s">
        <v>18</v>
      </c>
      <c r="S19" s="668">
        <f>F19</f>
        <v>100</v>
      </c>
      <c r="T19" s="667" t="s">
        <v>18</v>
      </c>
      <c r="U19" s="668">
        <f>H19</f>
        <v>100</v>
      </c>
      <c r="V19" s="667" t="s">
        <v>18</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41"/>
      <c r="Q20" s="1263"/>
      <c r="R20" s="667"/>
      <c r="S20" s="668"/>
      <c r="T20" s="667"/>
      <c r="U20" s="668"/>
      <c r="V20" s="667"/>
      <c r="W20" s="668"/>
      <c r="X20" s="1265"/>
      <c r="Y20" s="3434"/>
      <c r="Z20" s="1264"/>
      <c r="AA20" s="1264">
        <v>1</v>
      </c>
      <c r="AB20" s="1264">
        <v>1</v>
      </c>
      <c r="AC20" s="1264">
        <v>1</v>
      </c>
    </row>
    <row r="21" spans="1:29" ht="41.4">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41"/>
      <c r="Q22" s="1263"/>
      <c r="R22" s="667"/>
      <c r="S22" s="668"/>
      <c r="T22" s="667"/>
      <c r="U22" s="668"/>
      <c r="V22" s="667"/>
      <c r="W22" s="668"/>
      <c r="X22" s="1265"/>
      <c r="Y22" s="3434"/>
      <c r="Z22" s="1264"/>
      <c r="AA22" s="1264">
        <v>1</v>
      </c>
      <c r="AB22" s="1264">
        <v>1</v>
      </c>
      <c r="AC22" s="1264">
        <v>1</v>
      </c>
    </row>
    <row r="23" spans="1:29" ht="96.6">
      <c r="A23" s="367"/>
      <c r="B23" s="390" t="s">
        <v>1261</v>
      </c>
      <c r="C23" s="1754" t="str">
        <f>估价对象房地状况!C9</f>
        <v>区域内有东城职业大学、日坛公园、富国海底世界等自然及人文环境，综合评价自然及人文环境状况较好。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1"/>
      <c r="Q23" s="1263" t="str">
        <f>B23</f>
        <v>自然及人文环境</v>
      </c>
      <c r="R23" s="667" t="s">
        <v>18</v>
      </c>
      <c r="S23" s="668">
        <f>F23</f>
        <v>100</v>
      </c>
      <c r="T23" s="667" t="s">
        <v>18</v>
      </c>
      <c r="U23" s="668">
        <f>H23</f>
        <v>100</v>
      </c>
      <c r="V23" s="667" t="s">
        <v>18</v>
      </c>
      <c r="W23" s="668">
        <f>J23</f>
        <v>100</v>
      </c>
      <c r="X23" s="1265"/>
      <c r="Y23" s="343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41"/>
      <c r="Q24" s="1263"/>
      <c r="R24" s="667"/>
      <c r="S24" s="668"/>
      <c r="T24" s="667"/>
      <c r="U24" s="668"/>
      <c r="V24" s="667"/>
      <c r="W24" s="668"/>
      <c r="X24" s="1265"/>
      <c r="Y24" s="343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41"/>
      <c r="Q26" s="1263" t="str">
        <f t="shared" si="11"/>
        <v>朝向</v>
      </c>
      <c r="R26" s="667" t="s">
        <v>18</v>
      </c>
      <c r="S26" s="668">
        <f t="shared" si="12"/>
        <v>100</v>
      </c>
      <c r="T26" s="667" t="s">
        <v>18</v>
      </c>
      <c r="U26" s="668">
        <f t="shared" si="13"/>
        <v>100</v>
      </c>
      <c r="V26" s="667" t="s">
        <v>18</v>
      </c>
      <c r="W26" s="668">
        <f t="shared" si="14"/>
        <v>100</v>
      </c>
      <c r="X26" s="1265"/>
      <c r="Y26" s="343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41"/>
      <c r="Q27" s="530">
        <f t="shared" si="11"/>
        <v>111</v>
      </c>
      <c r="R27" s="664" t="s">
        <v>18</v>
      </c>
      <c r="S27" s="665">
        <f t="shared" si="12"/>
        <v>100</v>
      </c>
      <c r="T27" s="664" t="s">
        <v>18</v>
      </c>
      <c r="U27" s="665">
        <f t="shared" si="13"/>
        <v>100</v>
      </c>
      <c r="V27" s="664" t="s">
        <v>18</v>
      </c>
      <c r="W27" s="665">
        <f t="shared" si="14"/>
        <v>100</v>
      </c>
      <c r="X27" s="666"/>
      <c r="Y27" s="343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1"/>
      <c r="Q28" s="1263">
        <f t="shared" si="11"/>
        <v>111</v>
      </c>
      <c r="R28" s="667" t="s">
        <v>18</v>
      </c>
      <c r="S28" s="668">
        <f t="shared" si="12"/>
        <v>100</v>
      </c>
      <c r="T28" s="667" t="s">
        <v>18</v>
      </c>
      <c r="U28" s="668">
        <f t="shared" si="13"/>
        <v>100</v>
      </c>
      <c r="V28" s="667" t="s">
        <v>18</v>
      </c>
      <c r="W28" s="668">
        <f t="shared" si="14"/>
        <v>100</v>
      </c>
      <c r="X28" s="1265"/>
      <c r="Y28" s="343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1"/>
      <c r="Q29" s="1263">
        <f t="shared" si="11"/>
        <v>111</v>
      </c>
      <c r="R29" s="667" t="s">
        <v>18</v>
      </c>
      <c r="S29" s="668">
        <f t="shared" si="12"/>
        <v>100</v>
      </c>
      <c r="T29" s="667" t="s">
        <v>18</v>
      </c>
      <c r="U29" s="668">
        <f t="shared" si="13"/>
        <v>100</v>
      </c>
      <c r="V29" s="667" t="s">
        <v>18</v>
      </c>
      <c r="W29" s="668">
        <f t="shared" si="14"/>
        <v>100</v>
      </c>
      <c r="X29" s="1265"/>
      <c r="Y29" s="343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1"/>
      <c r="Q30" s="1263">
        <f t="shared" si="11"/>
        <v>111</v>
      </c>
      <c r="R30" s="667" t="s">
        <v>18</v>
      </c>
      <c r="S30" s="668">
        <f t="shared" si="12"/>
        <v>100</v>
      </c>
      <c r="T30" s="667" t="s">
        <v>18</v>
      </c>
      <c r="U30" s="668">
        <f t="shared" si="13"/>
        <v>100</v>
      </c>
      <c r="V30" s="667" t="s">
        <v>18</v>
      </c>
      <c r="W30" s="668">
        <f t="shared" si="14"/>
        <v>100</v>
      </c>
      <c r="X30" s="1265"/>
      <c r="Y30" s="343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1"/>
      <c r="Q31" s="1263">
        <f t="shared" si="11"/>
        <v>111</v>
      </c>
      <c r="R31" s="667" t="s">
        <v>18</v>
      </c>
      <c r="S31" s="668">
        <f t="shared" si="12"/>
        <v>100</v>
      </c>
      <c r="T31" s="667" t="s">
        <v>18</v>
      </c>
      <c r="U31" s="668">
        <f t="shared" si="13"/>
        <v>100</v>
      </c>
      <c r="V31" s="667" t="s">
        <v>18</v>
      </c>
      <c r="W31" s="668">
        <f t="shared" si="14"/>
        <v>100</v>
      </c>
      <c r="X31" s="1265"/>
      <c r="Y31" s="343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5" t="s">
        <v>1696</v>
      </c>
      <c r="Q32" s="1263" t="str">
        <f t="shared" si="11"/>
        <v>建筑类型</v>
      </c>
      <c r="R32" s="667" t="s">
        <v>18</v>
      </c>
      <c r="S32" s="668">
        <f t="shared" si="12"/>
        <v>100</v>
      </c>
      <c r="T32" s="667" t="s">
        <v>18</v>
      </c>
      <c r="U32" s="668">
        <f t="shared" si="13"/>
        <v>100</v>
      </c>
      <c r="V32" s="667" t="s">
        <v>18</v>
      </c>
      <c r="W32" s="668">
        <f t="shared" si="14"/>
        <v>100</v>
      </c>
      <c r="X32" s="1265"/>
      <c r="Y32" s="343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6"/>
      <c r="Q33" s="531" t="str">
        <f t="shared" si="11"/>
        <v>项目建筑规模</v>
      </c>
      <c r="R33" s="669" t="s">
        <v>18</v>
      </c>
      <c r="S33" s="670" t="e">
        <f t="shared" si="12"/>
        <v>#N/A</v>
      </c>
      <c r="T33" s="669" t="s">
        <v>18</v>
      </c>
      <c r="U33" s="670" t="e">
        <f t="shared" si="13"/>
        <v>#N/A</v>
      </c>
      <c r="V33" s="669" t="s">
        <v>18</v>
      </c>
      <c r="W33" s="670" t="e">
        <f t="shared" si="14"/>
        <v>#N/A</v>
      </c>
      <c r="X33" s="671"/>
      <c r="Y33" s="343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6"/>
      <c r="Q34" s="1263" t="str">
        <f t="shared" si="11"/>
        <v>建筑结构</v>
      </c>
      <c r="R34" s="667" t="s">
        <v>18</v>
      </c>
      <c r="S34" s="668">
        <f t="shared" si="12"/>
        <v>100</v>
      </c>
      <c r="T34" s="667" t="s">
        <v>18</v>
      </c>
      <c r="U34" s="668">
        <f t="shared" si="13"/>
        <v>100</v>
      </c>
      <c r="V34" s="667" t="s">
        <v>18</v>
      </c>
      <c r="W34" s="668">
        <f t="shared" si="14"/>
        <v>100</v>
      </c>
      <c r="X34" s="1265"/>
      <c r="Y34" s="343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6"/>
      <c r="Q35" s="1263" t="str">
        <f t="shared" si="11"/>
        <v>建筑品质</v>
      </c>
      <c r="R35" s="667" t="s">
        <v>18</v>
      </c>
      <c r="S35" s="668">
        <f t="shared" si="12"/>
        <v>100</v>
      </c>
      <c r="T35" s="667" t="s">
        <v>18</v>
      </c>
      <c r="U35" s="668">
        <f t="shared" si="13"/>
        <v>100</v>
      </c>
      <c r="V35" s="667" t="s">
        <v>18</v>
      </c>
      <c r="W35" s="668">
        <f t="shared" si="14"/>
        <v>100</v>
      </c>
      <c r="X35" s="1265"/>
      <c r="Y35" s="343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6"/>
      <c r="Q36" s="1263" t="str">
        <f t="shared" si="11"/>
        <v>公共部分装修</v>
      </c>
      <c r="R36" s="667" t="s">
        <v>18</v>
      </c>
      <c r="S36" s="668">
        <f t="shared" si="12"/>
        <v>100</v>
      </c>
      <c r="T36" s="667" t="s">
        <v>18</v>
      </c>
      <c r="U36" s="668">
        <f t="shared" si="13"/>
        <v>100</v>
      </c>
      <c r="V36" s="667" t="s">
        <v>18</v>
      </c>
      <c r="W36" s="668">
        <f t="shared" si="14"/>
        <v>100</v>
      </c>
      <c r="X36" s="1265"/>
      <c r="Y36" s="343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6"/>
      <c r="Q37" s="530" t="str">
        <f t="shared" si="11"/>
        <v>成新度</v>
      </c>
      <c r="R37" s="664" t="s">
        <v>18</v>
      </c>
      <c r="S37" s="665" t="e">
        <f t="shared" si="12"/>
        <v>#N/A</v>
      </c>
      <c r="T37" s="664" t="s">
        <v>18</v>
      </c>
      <c r="U37" s="665" t="e">
        <f t="shared" si="13"/>
        <v>#N/A</v>
      </c>
      <c r="V37" s="664" t="s">
        <v>18</v>
      </c>
      <c r="W37" s="665" t="e">
        <f t="shared" si="14"/>
        <v>#N/A</v>
      </c>
      <c r="X37" s="666"/>
      <c r="Y37" s="343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6" t="s">
        <v>1696</v>
      </c>
      <c r="Q38" s="1263" t="str">
        <f t="shared" si="11"/>
        <v>物业管理</v>
      </c>
      <c r="R38" s="667" t="s">
        <v>18</v>
      </c>
      <c r="S38" s="668">
        <f t="shared" si="12"/>
        <v>100</v>
      </c>
      <c r="T38" s="667" t="s">
        <v>18</v>
      </c>
      <c r="U38" s="668">
        <f t="shared" si="13"/>
        <v>100</v>
      </c>
      <c r="V38" s="667" t="s">
        <v>18</v>
      </c>
      <c r="W38" s="668">
        <f t="shared" si="14"/>
        <v>100</v>
      </c>
      <c r="X38" s="1265"/>
      <c r="Y38" s="343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6"/>
      <c r="Q39" s="1263" t="str">
        <f t="shared" si="11"/>
        <v>市政基础设施</v>
      </c>
      <c r="R39" s="667" t="s">
        <v>18</v>
      </c>
      <c r="S39" s="668">
        <f t="shared" si="12"/>
        <v>100</v>
      </c>
      <c r="T39" s="667" t="s">
        <v>18</v>
      </c>
      <c r="U39" s="668">
        <f t="shared" si="13"/>
        <v>100</v>
      </c>
      <c r="V39" s="667" t="s">
        <v>18</v>
      </c>
      <c r="W39" s="668">
        <f t="shared" si="14"/>
        <v>100</v>
      </c>
      <c r="X39" s="1265"/>
      <c r="Y39" s="343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6"/>
      <c r="Q40" s="1263" t="str">
        <f t="shared" si="11"/>
        <v>房型</v>
      </c>
      <c r="R40" s="667" t="s">
        <v>18</v>
      </c>
      <c r="S40" s="668">
        <f t="shared" si="12"/>
        <v>100</v>
      </c>
      <c r="T40" s="667" t="s">
        <v>18</v>
      </c>
      <c r="U40" s="668">
        <f t="shared" si="13"/>
        <v>100</v>
      </c>
      <c r="V40" s="667" t="s">
        <v>18</v>
      </c>
      <c r="W40" s="668">
        <f t="shared" si="14"/>
        <v>100</v>
      </c>
      <c r="X40" s="1265"/>
      <c r="Y40" s="343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6"/>
      <c r="Q41" s="531" t="str">
        <f t="shared" si="11"/>
        <v>单套/主力户型建筑面积</v>
      </c>
      <c r="R41" s="669" t="s">
        <v>18</v>
      </c>
      <c r="S41" s="670">
        <f t="shared" si="12"/>
        <v>100</v>
      </c>
      <c r="T41" s="669" t="s">
        <v>18</v>
      </c>
      <c r="U41" s="670">
        <f t="shared" si="13"/>
        <v>100</v>
      </c>
      <c r="V41" s="669" t="s">
        <v>18</v>
      </c>
      <c r="W41" s="670">
        <f t="shared" si="14"/>
        <v>100</v>
      </c>
      <c r="X41" s="671"/>
      <c r="Y41" s="343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6"/>
      <c r="Q42" s="1263" t="str">
        <f t="shared" si="11"/>
        <v>内部装修</v>
      </c>
      <c r="R42" s="667" t="s">
        <v>18</v>
      </c>
      <c r="S42" s="668">
        <f t="shared" si="12"/>
        <v>100</v>
      </c>
      <c r="T42" s="667" t="s">
        <v>18</v>
      </c>
      <c r="U42" s="668">
        <f t="shared" si="13"/>
        <v>100</v>
      </c>
      <c r="V42" s="667" t="s">
        <v>18</v>
      </c>
      <c r="W42" s="668">
        <f t="shared" si="14"/>
        <v>100</v>
      </c>
      <c r="X42" s="1265"/>
      <c r="Y42" s="343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6"/>
      <c r="Q43" s="1263" t="str">
        <f t="shared" si="11"/>
        <v>内部装修维护情况</v>
      </c>
      <c r="R43" s="667" t="s">
        <v>18</v>
      </c>
      <c r="S43" s="668">
        <f t="shared" si="12"/>
        <v>100</v>
      </c>
      <c r="T43" s="667" t="s">
        <v>18</v>
      </c>
      <c r="U43" s="668">
        <f t="shared" si="13"/>
        <v>100</v>
      </c>
      <c r="V43" s="667" t="s">
        <v>18</v>
      </c>
      <c r="W43" s="668">
        <f t="shared" si="14"/>
        <v>100</v>
      </c>
      <c r="X43" s="1265"/>
      <c r="Y43" s="343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6"/>
      <c r="Q44" s="530">
        <f t="shared" si="11"/>
        <v>111</v>
      </c>
      <c r="R44" s="664" t="s">
        <v>18</v>
      </c>
      <c r="S44" s="665">
        <f t="shared" si="12"/>
        <v>100</v>
      </c>
      <c r="T44" s="664" t="s">
        <v>18</v>
      </c>
      <c r="U44" s="665">
        <f t="shared" si="13"/>
        <v>100</v>
      </c>
      <c r="V44" s="664" t="s">
        <v>18</v>
      </c>
      <c r="W44" s="665">
        <f t="shared" si="14"/>
        <v>100</v>
      </c>
      <c r="X44" s="666"/>
      <c r="Y44" s="343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6"/>
      <c r="Q45" s="1263">
        <f t="shared" si="11"/>
        <v>111</v>
      </c>
      <c r="R45" s="667" t="s">
        <v>18</v>
      </c>
      <c r="S45" s="668">
        <f t="shared" si="12"/>
        <v>100</v>
      </c>
      <c r="T45" s="667" t="s">
        <v>18</v>
      </c>
      <c r="U45" s="668">
        <f t="shared" si="13"/>
        <v>100</v>
      </c>
      <c r="V45" s="667" t="s">
        <v>18</v>
      </c>
      <c r="W45" s="668">
        <f t="shared" si="14"/>
        <v>100</v>
      </c>
      <c r="X45" s="1265"/>
      <c r="Y45" s="343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7"/>
      <c r="Q46" s="1263">
        <f t="shared" si="11"/>
        <v>111</v>
      </c>
      <c r="R46" s="667" t="s">
        <v>17</v>
      </c>
      <c r="S46" s="668">
        <f t="shared" si="12"/>
        <v>100</v>
      </c>
      <c r="T46" s="667" t="s">
        <v>17</v>
      </c>
      <c r="U46" s="668">
        <f t="shared" si="13"/>
        <v>100</v>
      </c>
      <c r="V46" s="667" t="s">
        <v>17</v>
      </c>
      <c r="W46" s="668">
        <f t="shared" si="14"/>
        <v>100</v>
      </c>
      <c r="X46" s="1265"/>
      <c r="Y46" s="343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476.94000000000005</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427"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427"/>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427"/>
      <c r="AC6" s="3399"/>
    </row>
    <row r="7" spans="1:29" s="102" customFormat="1" ht="1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0" t="s">
        <v>1683</v>
      </c>
      <c r="Q8" s="3401"/>
      <c r="R8" s="664" t="s">
        <v>14</v>
      </c>
      <c r="S8" s="665">
        <f t="shared" si="0"/>
        <v>100</v>
      </c>
      <c r="T8" s="664" t="s">
        <v>14</v>
      </c>
      <c r="U8" s="665">
        <f t="shared" si="1"/>
        <v>100</v>
      </c>
      <c r="V8" s="664" t="s">
        <v>14</v>
      </c>
      <c r="W8" s="665">
        <f t="shared" si="2"/>
        <v>100</v>
      </c>
      <c r="X8" s="666"/>
      <c r="Y8" s="3400" t="s">
        <v>1683</v>
      </c>
      <c r="Z8" s="340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4"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4"/>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4"/>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4"/>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4"/>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4"/>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96.6">
      <c r="A15" s="379" t="s">
        <v>1690</v>
      </c>
      <c r="B15" s="58" t="s">
        <v>1777</v>
      </c>
      <c r="C15" s="1750" t="str">
        <f>估价对象房地状况!C4</f>
        <v>估价对象位于朝阳门商圈，周边悠唐国际中心、THE BPX等购物中心项目，人流量较大，商业繁华度较好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0" t="s">
        <v>1691</v>
      </c>
      <c r="Q15" s="1263" t="str">
        <f t="shared" si="6"/>
        <v>商业繁华度</v>
      </c>
      <c r="R15" s="667" t="s">
        <v>14</v>
      </c>
      <c r="S15" s="668">
        <f t="shared" si="0"/>
        <v>100</v>
      </c>
      <c r="T15" s="667" t="s">
        <v>14</v>
      </c>
      <c r="U15" s="668">
        <f t="shared" si="1"/>
        <v>100</v>
      </c>
      <c r="V15" s="667" t="s">
        <v>14</v>
      </c>
      <c r="W15" s="668">
        <f t="shared" si="2"/>
        <v>100</v>
      </c>
      <c r="X15" s="1265"/>
      <c r="Y15" s="343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41"/>
      <c r="Q16" s="1263"/>
      <c r="R16" s="667"/>
      <c r="S16" s="668"/>
      <c r="T16" s="667"/>
      <c r="U16" s="668"/>
      <c r="V16" s="667"/>
      <c r="W16" s="668"/>
      <c r="X16" s="1265"/>
      <c r="Y16" s="3434"/>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41"/>
      <c r="Q18" s="1263"/>
      <c r="R18" s="667"/>
      <c r="S18" s="668"/>
      <c r="T18" s="667"/>
      <c r="U18" s="668"/>
      <c r="V18" s="667"/>
      <c r="W18" s="668"/>
      <c r="X18" s="1265"/>
      <c r="Y18" s="3434"/>
      <c r="Z18" s="1264"/>
      <c r="AA18" s="1264">
        <v>1</v>
      </c>
      <c r="AB18" s="1264">
        <v>1</v>
      </c>
      <c r="AC18" s="1264">
        <v>1</v>
      </c>
    </row>
    <row r="19" spans="1:29" ht="82.8">
      <c r="A19" s="367"/>
      <c r="B19" s="390" t="s">
        <v>1778</v>
      </c>
      <c r="C19" s="1754" t="str">
        <f>估价对象房地状况!C7</f>
        <v>估价对象所在区域银行、购物场所、学校等公共配套设施齐备，综合评价公共配套设施水平较好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41"/>
      <c r="Q20" s="1263"/>
      <c r="R20" s="667"/>
      <c r="S20" s="668"/>
      <c r="T20" s="667"/>
      <c r="U20" s="668"/>
      <c r="V20" s="667"/>
      <c r="W20" s="668"/>
      <c r="X20" s="1265"/>
      <c r="Y20" s="3434"/>
      <c r="Z20" s="1264"/>
      <c r="AA20" s="1264">
        <v>1</v>
      </c>
      <c r="AB20" s="1264">
        <v>1</v>
      </c>
      <c r="AC20" s="1264">
        <v>1</v>
      </c>
    </row>
    <row r="21" spans="1:29" ht="41.4">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41"/>
      <c r="Q22" s="1263"/>
      <c r="R22" s="667"/>
      <c r="S22" s="668"/>
      <c r="T22" s="667"/>
      <c r="U22" s="668"/>
      <c r="V22" s="667"/>
      <c r="W22" s="668"/>
      <c r="X22" s="1265"/>
      <c r="Y22" s="3434"/>
      <c r="Z22" s="1264"/>
      <c r="AA22" s="1264">
        <v>1</v>
      </c>
      <c r="AB22" s="1264">
        <v>1</v>
      </c>
      <c r="AC22" s="1264">
        <v>1</v>
      </c>
    </row>
    <row r="23" spans="1:29" ht="96.6">
      <c r="A23" s="367"/>
      <c r="B23" s="390" t="s">
        <v>1261</v>
      </c>
      <c r="C23" s="1806" t="str">
        <f>估价对象房地状况!C9</f>
        <v>区域内有东城职业大学、日坛公园、富国海底世界等自然及人文环境，综合评价自然及人文环境状况较好。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41"/>
      <c r="Q24" s="1263"/>
      <c r="R24" s="667"/>
      <c r="S24" s="668"/>
      <c r="T24" s="667"/>
      <c r="U24" s="668"/>
      <c r="V24" s="667"/>
      <c r="W24" s="668"/>
      <c r="X24" s="1265"/>
      <c r="Y24" s="343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1"/>
      <c r="Q25" s="1263" t="str">
        <f t="shared" ref="Q25:Q46" si="11">B25</f>
        <v>临街状况</v>
      </c>
      <c r="R25" s="667" t="s">
        <v>14</v>
      </c>
      <c r="S25" s="668">
        <f>F25</f>
        <v>100</v>
      </c>
      <c r="T25" s="667" t="s">
        <v>14</v>
      </c>
      <c r="U25" s="668">
        <f>H25</f>
        <v>100</v>
      </c>
      <c r="V25" s="667" t="s">
        <v>14</v>
      </c>
      <c r="W25" s="668">
        <f>J25</f>
        <v>100</v>
      </c>
      <c r="X25" s="1265"/>
      <c r="Y25" s="343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1"/>
      <c r="Q26" s="1263" t="str">
        <f t="shared" si="11"/>
        <v>平面位置/可视性</v>
      </c>
      <c r="R26" s="667" t="s">
        <v>14</v>
      </c>
      <c r="S26" s="668">
        <f>F26</f>
        <v>100</v>
      </c>
      <c r="T26" s="667" t="s">
        <v>14</v>
      </c>
      <c r="U26" s="668">
        <f>H26</f>
        <v>100</v>
      </c>
      <c r="V26" s="667" t="s">
        <v>14</v>
      </c>
      <c r="W26" s="668">
        <f>J26</f>
        <v>100</v>
      </c>
      <c r="X26" s="1265"/>
      <c r="Y26" s="343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41"/>
      <c r="Q27" s="530" t="str">
        <f t="shared" si="11"/>
        <v>人流量</v>
      </c>
      <c r="R27" s="664" t="s">
        <v>14</v>
      </c>
      <c r="S27" s="665">
        <f>F27</f>
        <v>100</v>
      </c>
      <c r="T27" s="664" t="s">
        <v>14</v>
      </c>
      <c r="U27" s="665">
        <f>H27</f>
        <v>100</v>
      </c>
      <c r="V27" s="664" t="s">
        <v>14</v>
      </c>
      <c r="W27" s="665">
        <f>J27</f>
        <v>100</v>
      </c>
      <c r="X27" s="666"/>
      <c r="Y27" s="343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1"/>
      <c r="Q29" s="1263">
        <f t="shared" si="11"/>
        <v>111</v>
      </c>
      <c r="R29" s="667" t="s">
        <v>14</v>
      </c>
      <c r="S29" s="668">
        <f t="shared" si="12"/>
        <v>100</v>
      </c>
      <c r="T29" s="667" t="s">
        <v>14</v>
      </c>
      <c r="U29" s="668">
        <f t="shared" si="13"/>
        <v>100</v>
      </c>
      <c r="V29" s="667" t="s">
        <v>14</v>
      </c>
      <c r="W29" s="668">
        <f t="shared" si="14"/>
        <v>100</v>
      </c>
      <c r="X29" s="1265"/>
      <c r="Y29" s="343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5" t="s">
        <v>1696</v>
      </c>
      <c r="Q32" s="1263" t="str">
        <f t="shared" si="11"/>
        <v>商业类型</v>
      </c>
      <c r="R32" s="667" t="s">
        <v>14</v>
      </c>
      <c r="S32" s="668">
        <f t="shared" si="12"/>
        <v>100</v>
      </c>
      <c r="T32" s="667" t="s">
        <v>14</v>
      </c>
      <c r="U32" s="668">
        <f t="shared" si="13"/>
        <v>100</v>
      </c>
      <c r="V32" s="667" t="s">
        <v>14</v>
      </c>
      <c r="W32" s="668">
        <f t="shared" si="14"/>
        <v>100</v>
      </c>
      <c r="X32" s="1265"/>
      <c r="Y32" s="343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6"/>
      <c r="Q33" s="531" t="str">
        <f t="shared" si="11"/>
        <v>项目建筑规模</v>
      </c>
      <c r="R33" s="669" t="s">
        <v>14</v>
      </c>
      <c r="S33" s="670" t="e">
        <f t="shared" si="12"/>
        <v>#N/A</v>
      </c>
      <c r="T33" s="669" t="s">
        <v>14</v>
      </c>
      <c r="U33" s="670" t="e">
        <f t="shared" si="13"/>
        <v>#N/A</v>
      </c>
      <c r="V33" s="669" t="s">
        <v>14</v>
      </c>
      <c r="W33" s="670" t="e">
        <f t="shared" si="14"/>
        <v>#N/A</v>
      </c>
      <c r="X33" s="671"/>
      <c r="Y33" s="343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6"/>
      <c r="Q35" s="1263" t="str">
        <f t="shared" si="11"/>
        <v>公共部分装修</v>
      </c>
      <c r="R35" s="667" t="s">
        <v>14</v>
      </c>
      <c r="S35" s="668">
        <f t="shared" si="12"/>
        <v>100</v>
      </c>
      <c r="T35" s="667" t="s">
        <v>14</v>
      </c>
      <c r="U35" s="668">
        <f t="shared" si="13"/>
        <v>100</v>
      </c>
      <c r="V35" s="667" t="s">
        <v>14</v>
      </c>
      <c r="W35" s="668">
        <f t="shared" si="14"/>
        <v>100</v>
      </c>
      <c r="X35" s="1265"/>
      <c r="Y35" s="343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6"/>
      <c r="Q36" s="1263" t="str">
        <f t="shared" si="11"/>
        <v>成新度</v>
      </c>
      <c r="R36" s="667" t="s">
        <v>14</v>
      </c>
      <c r="S36" s="668" t="e">
        <f t="shared" si="12"/>
        <v>#N/A</v>
      </c>
      <c r="T36" s="667" t="s">
        <v>14</v>
      </c>
      <c r="U36" s="668" t="e">
        <f t="shared" si="13"/>
        <v>#N/A</v>
      </c>
      <c r="V36" s="667" t="s">
        <v>14</v>
      </c>
      <c r="W36" s="668" t="e">
        <f t="shared" si="14"/>
        <v>#N/A</v>
      </c>
      <c r="X36" s="1265"/>
      <c r="Y36" s="343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6"/>
      <c r="Q37" s="530" t="str">
        <f t="shared" si="11"/>
        <v>市政基础设施</v>
      </c>
      <c r="R37" s="664" t="s">
        <v>14</v>
      </c>
      <c r="S37" s="665">
        <f t="shared" si="12"/>
        <v>100</v>
      </c>
      <c r="T37" s="664" t="s">
        <v>14</v>
      </c>
      <c r="U37" s="665">
        <f t="shared" si="13"/>
        <v>100</v>
      </c>
      <c r="V37" s="664" t="s">
        <v>14</v>
      </c>
      <c r="W37" s="665">
        <f t="shared" si="14"/>
        <v>100</v>
      </c>
      <c r="X37" s="666"/>
      <c r="Y37" s="343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6" t="s">
        <v>1696</v>
      </c>
      <c r="Q38" s="1263" t="str">
        <f t="shared" si="11"/>
        <v>业态</v>
      </c>
      <c r="R38" s="667" t="s">
        <v>14</v>
      </c>
      <c r="S38" s="668">
        <f t="shared" si="12"/>
        <v>100</v>
      </c>
      <c r="T38" s="667" t="s">
        <v>14</v>
      </c>
      <c r="U38" s="668">
        <f t="shared" si="13"/>
        <v>100</v>
      </c>
      <c r="V38" s="667" t="s">
        <v>14</v>
      </c>
      <c r="W38" s="668">
        <f t="shared" si="14"/>
        <v>100</v>
      </c>
      <c r="X38" s="1265"/>
      <c r="Y38" s="343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6"/>
      <c r="Q39" s="1263" t="str">
        <f t="shared" si="11"/>
        <v>层高</v>
      </c>
      <c r="R39" s="667" t="s">
        <v>14</v>
      </c>
      <c r="S39" s="668">
        <f t="shared" si="12"/>
        <v>100</v>
      </c>
      <c r="T39" s="667" t="s">
        <v>14</v>
      </c>
      <c r="U39" s="668">
        <f t="shared" si="13"/>
        <v>100</v>
      </c>
      <c r="V39" s="667" t="s">
        <v>14</v>
      </c>
      <c r="W39" s="668">
        <f t="shared" si="14"/>
        <v>100</v>
      </c>
      <c r="X39" s="1265"/>
      <c r="Y39" s="343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6"/>
      <c r="Q40" s="1263" t="str">
        <f t="shared" si="11"/>
        <v>单套建筑面积</v>
      </c>
      <c r="R40" s="667" t="s">
        <v>14</v>
      </c>
      <c r="S40" s="668">
        <f t="shared" si="12"/>
        <v>100</v>
      </c>
      <c r="T40" s="667" t="s">
        <v>14</v>
      </c>
      <c r="U40" s="668">
        <f t="shared" si="13"/>
        <v>100</v>
      </c>
      <c r="V40" s="667" t="s">
        <v>14</v>
      </c>
      <c r="W40" s="668">
        <f t="shared" si="14"/>
        <v>100</v>
      </c>
      <c r="X40" s="1265"/>
      <c r="Y40" s="343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6"/>
      <c r="Q41" s="531" t="str">
        <f t="shared" si="11"/>
        <v>进深比</v>
      </c>
      <c r="R41" s="669" t="s">
        <v>14</v>
      </c>
      <c r="S41" s="670">
        <f t="shared" si="12"/>
        <v>100</v>
      </c>
      <c r="T41" s="669" t="s">
        <v>14</v>
      </c>
      <c r="U41" s="670">
        <f t="shared" si="13"/>
        <v>100</v>
      </c>
      <c r="V41" s="669" t="s">
        <v>14</v>
      </c>
      <c r="W41" s="670">
        <f t="shared" si="14"/>
        <v>100</v>
      </c>
      <c r="X41" s="671"/>
      <c r="Y41" s="343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6"/>
      <c r="Q42" s="1263" t="str">
        <f t="shared" si="11"/>
        <v>内部装修</v>
      </c>
      <c r="R42" s="667" t="s">
        <v>14</v>
      </c>
      <c r="S42" s="668">
        <f t="shared" si="12"/>
        <v>100</v>
      </c>
      <c r="T42" s="667" t="s">
        <v>14</v>
      </c>
      <c r="U42" s="668">
        <f t="shared" si="13"/>
        <v>100</v>
      </c>
      <c r="V42" s="667" t="s">
        <v>14</v>
      </c>
      <c r="W42" s="668">
        <f t="shared" si="14"/>
        <v>100</v>
      </c>
      <c r="X42" s="1265"/>
      <c r="Y42" s="343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6"/>
      <c r="Q44" s="530">
        <f t="shared" si="11"/>
        <v>111</v>
      </c>
      <c r="R44" s="664" t="s">
        <v>14</v>
      </c>
      <c r="S44" s="665">
        <f t="shared" si="12"/>
        <v>100</v>
      </c>
      <c r="T44" s="664" t="s">
        <v>14</v>
      </c>
      <c r="U44" s="665">
        <f t="shared" si="13"/>
        <v>100</v>
      </c>
      <c r="V44" s="664" t="s">
        <v>14</v>
      </c>
      <c r="W44" s="665">
        <f t="shared" si="14"/>
        <v>100</v>
      </c>
      <c r="X44" s="666"/>
      <c r="Y44" s="343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6"/>
      <c r="Q45" s="1263">
        <f t="shared" si="11"/>
        <v>111</v>
      </c>
      <c r="R45" s="667" t="s">
        <v>14</v>
      </c>
      <c r="S45" s="668">
        <f t="shared" si="12"/>
        <v>100</v>
      </c>
      <c r="T45" s="667" t="s">
        <v>14</v>
      </c>
      <c r="U45" s="668">
        <f t="shared" si="13"/>
        <v>100</v>
      </c>
      <c r="V45" s="667" t="s">
        <v>14</v>
      </c>
      <c r="W45" s="668">
        <f t="shared" si="14"/>
        <v>100</v>
      </c>
      <c r="X45" s="1265"/>
      <c r="Y45" s="343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cfRule type="containsText" dxfId="113" priority="17" stopIfTrue="1" operator="containsText" text="超过">
      <formula>NOT(ISERROR(SEARCH("超过",F52)))</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G54">
    <cfRule type="expression" dxfId="110" priority="13"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conditionalFormatting sqref="J52:J54">
    <cfRule type="containsText" dxfId="10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476.94000000000005</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48" t="s">
        <v>1775</v>
      </c>
      <c r="Q4" s="3449"/>
      <c r="R4" s="3443" t="s">
        <v>1771</v>
      </c>
      <c r="S4" s="3444"/>
      <c r="T4" s="3443" t="s">
        <v>1772</v>
      </c>
      <c r="U4" s="3444"/>
      <c r="V4" s="3452" t="s">
        <v>1773</v>
      </c>
      <c r="W4" s="3452"/>
      <c r="X4" s="1809"/>
      <c r="Y4" s="3443" t="s">
        <v>1775</v>
      </c>
      <c r="Z4" s="3444"/>
      <c r="AA4" s="3442" t="s">
        <v>1771</v>
      </c>
      <c r="AB4" s="3442" t="s">
        <v>1772</v>
      </c>
      <c r="AC4" s="3445" t="s">
        <v>1773</v>
      </c>
    </row>
    <row r="5" spans="1:29">
      <c r="A5" s="348"/>
      <c r="B5" s="349"/>
      <c r="C5" s="3408" t="s">
        <v>1673</v>
      </c>
      <c r="D5" s="3409"/>
      <c r="E5" s="3406" t="s">
        <v>1674</v>
      </c>
      <c r="F5" s="3407"/>
      <c r="G5" s="3408" t="s">
        <v>1675</v>
      </c>
      <c r="H5" s="3409"/>
      <c r="I5" s="3408" t="s">
        <v>1676</v>
      </c>
      <c r="J5" s="3409"/>
      <c r="K5" s="537"/>
      <c r="L5" s="2484"/>
      <c r="M5" s="2485"/>
      <c r="N5" s="2485"/>
      <c r="O5" s="2485"/>
      <c r="P5" s="3450"/>
      <c r="Q5" s="3422"/>
      <c r="R5" s="3404"/>
      <c r="S5" s="3405"/>
      <c r="T5" s="3404"/>
      <c r="U5" s="3405"/>
      <c r="V5" s="3427"/>
      <c r="W5" s="3427"/>
      <c r="X5" s="1265"/>
      <c r="Y5" s="3404"/>
      <c r="Z5" s="3405"/>
      <c r="AA5" s="3398"/>
      <c r="AB5" s="3398"/>
      <c r="AC5" s="3446"/>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51"/>
      <c r="Q6" s="3424"/>
      <c r="R6" s="3404"/>
      <c r="S6" s="3405"/>
      <c r="T6" s="3425"/>
      <c r="U6" s="3426"/>
      <c r="V6" s="3427"/>
      <c r="W6" s="3427"/>
      <c r="X6" s="1265"/>
      <c r="Y6" s="3425"/>
      <c r="Z6" s="3426"/>
      <c r="AA6" s="3399"/>
      <c r="AB6" s="3399"/>
      <c r="AC6" s="3447"/>
    </row>
    <row r="7" spans="1:29" s="102" customFormat="1" ht="15" thickBot="1">
      <c r="A7" s="352" t="s">
        <v>1679</v>
      </c>
      <c r="B7" s="353"/>
      <c r="C7" s="354">
        <f>'数据-取费表'!B2</f>
        <v>45765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3"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3" t="s">
        <v>1683</v>
      </c>
      <c r="Q8" s="3401"/>
      <c r="R8" s="664" t="s">
        <v>14</v>
      </c>
      <c r="S8" s="665">
        <f t="shared" si="0"/>
        <v>100</v>
      </c>
      <c r="T8" s="664" t="s">
        <v>14</v>
      </c>
      <c r="U8" s="665">
        <f t="shared" si="1"/>
        <v>100</v>
      </c>
      <c r="V8" s="664" t="s">
        <v>14</v>
      </c>
      <c r="W8" s="665">
        <f t="shared" si="2"/>
        <v>100</v>
      </c>
      <c r="X8" s="666"/>
      <c r="Y8" s="3400" t="s">
        <v>1683</v>
      </c>
      <c r="Z8" s="340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14"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4"/>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4"/>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4"/>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4"/>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4"/>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110.4">
      <c r="A15" s="379" t="s">
        <v>1690</v>
      </c>
      <c r="B15" s="554" t="s">
        <v>1811</v>
      </c>
      <c r="C15" s="1811" t="str">
        <f>估价对象房地状况!C5</f>
        <v>估价对象位于朝阳门商圈，周边办公楼项目较多，有联合大厦、华普国际大厦等写字楼，入驻率高，办公集聚程度较好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40" t="s">
        <v>1691</v>
      </c>
      <c r="Q15" s="1263" t="str">
        <f t="shared" si="6"/>
        <v>办公集聚程度</v>
      </c>
      <c r="R15" s="667" t="s">
        <v>14</v>
      </c>
      <c r="S15" s="668">
        <f t="shared" si="0"/>
        <v>100</v>
      </c>
      <c r="T15" s="667" t="s">
        <v>14</v>
      </c>
      <c r="U15" s="668">
        <f t="shared" si="1"/>
        <v>100</v>
      </c>
      <c r="V15" s="667" t="s">
        <v>14</v>
      </c>
      <c r="W15" s="668">
        <f t="shared" si="2"/>
        <v>100</v>
      </c>
      <c r="X15" s="1265"/>
      <c r="Y15" s="343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41"/>
      <c r="Q16" s="1263"/>
      <c r="R16" s="667"/>
      <c r="S16" s="668"/>
      <c r="T16" s="667"/>
      <c r="U16" s="668"/>
      <c r="V16" s="667"/>
      <c r="W16" s="668"/>
      <c r="X16" s="1265"/>
      <c r="Y16" s="3434"/>
      <c r="Z16" s="1264"/>
      <c r="AA16" s="1264">
        <v>1</v>
      </c>
      <c r="AB16" s="1264">
        <v>1</v>
      </c>
      <c r="AC16" s="1812">
        <v>1</v>
      </c>
    </row>
    <row r="17" spans="1:29" ht="96.6">
      <c r="A17" s="367"/>
      <c r="B17" s="556" t="s">
        <v>1259</v>
      </c>
      <c r="C17" s="1813" t="str">
        <f>估价对象房地状况!C6</f>
        <v>周边有75、110、420路及地铁2号、6号线，周边道路密集，停车便捷程度，综合评价交通便捷度较好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41"/>
      <c r="Q18" s="1263"/>
      <c r="R18" s="667"/>
      <c r="S18" s="668"/>
      <c r="T18" s="667"/>
      <c r="U18" s="668"/>
      <c r="V18" s="667"/>
      <c r="W18" s="668"/>
      <c r="X18" s="1265"/>
      <c r="Y18" s="3434"/>
      <c r="Z18" s="1264"/>
      <c r="AA18" s="1264">
        <v>1</v>
      </c>
      <c r="AB18" s="1264">
        <v>1</v>
      </c>
      <c r="AC18" s="1812">
        <v>1</v>
      </c>
    </row>
    <row r="19" spans="1:29" ht="82.8">
      <c r="A19" s="367"/>
      <c r="B19" s="556" t="s">
        <v>1812</v>
      </c>
      <c r="C19" s="1813"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41"/>
      <c r="Q20" s="1263"/>
      <c r="R20" s="667"/>
      <c r="S20" s="668"/>
      <c r="T20" s="667"/>
      <c r="U20" s="668"/>
      <c r="V20" s="667"/>
      <c r="W20" s="668"/>
      <c r="X20" s="1265"/>
      <c r="Y20" s="3434"/>
      <c r="Z20" s="1264"/>
      <c r="AA20" s="1264">
        <v>1</v>
      </c>
      <c r="AB20" s="1264">
        <v>1</v>
      </c>
      <c r="AC20" s="1812">
        <v>1</v>
      </c>
    </row>
    <row r="21" spans="1:29" ht="41.4">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41"/>
      <c r="Q22" s="1263"/>
      <c r="R22" s="667"/>
      <c r="S22" s="668"/>
      <c r="T22" s="667"/>
      <c r="U22" s="668"/>
      <c r="V22" s="667"/>
      <c r="W22" s="668"/>
      <c r="X22" s="1265"/>
      <c r="Y22" s="3434"/>
      <c r="Z22" s="1264"/>
      <c r="AA22" s="1264">
        <v>1</v>
      </c>
      <c r="AB22" s="1264">
        <v>1</v>
      </c>
      <c r="AC22" s="1812">
        <v>1</v>
      </c>
    </row>
    <row r="23" spans="1:29" ht="96.6">
      <c r="A23" s="367"/>
      <c r="B23" s="556" t="s">
        <v>1814</v>
      </c>
      <c r="C23" s="1813" t="str">
        <f>估价对象房地状况!C9</f>
        <v>区域内有东城职业大学、日坛公园、富国海底世界等自然及人文环境，综合评价自然及人文环境状况较好。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41"/>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41"/>
      <c r="Q24" s="1263"/>
      <c r="R24" s="667"/>
      <c r="S24" s="668"/>
      <c r="T24" s="667"/>
      <c r="U24" s="668"/>
      <c r="V24" s="667"/>
      <c r="W24" s="668"/>
      <c r="X24" s="1265"/>
      <c r="Y24" s="343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41"/>
      <c r="Q25" s="1263" t="str">
        <f>B25</f>
        <v>毗邻道路的类型与等级</v>
      </c>
      <c r="R25" s="667" t="s">
        <v>14</v>
      </c>
      <c r="S25" s="668">
        <f>F25</f>
        <v>100</v>
      </c>
      <c r="T25" s="667" t="s">
        <v>14</v>
      </c>
      <c r="U25" s="668">
        <f>H25</f>
        <v>100</v>
      </c>
      <c r="V25" s="667" t="s">
        <v>14</v>
      </c>
      <c r="W25" s="668">
        <f>J25</f>
        <v>100</v>
      </c>
      <c r="X25" s="1265"/>
      <c r="Y25" s="343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41"/>
      <c r="Q26" s="1263"/>
      <c r="R26" s="667"/>
      <c r="S26" s="668"/>
      <c r="T26" s="667"/>
      <c r="U26" s="668"/>
      <c r="V26" s="667"/>
      <c r="W26" s="668"/>
      <c r="X26" s="1265"/>
      <c r="Y26" s="343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41"/>
      <c r="Q27" s="1263" t="str">
        <f t="shared" ref="Q27:Q47" si="11">B27</f>
        <v>楼层</v>
      </c>
      <c r="R27" s="667" t="s">
        <v>14</v>
      </c>
      <c r="S27" s="668">
        <f>F27</f>
        <v>100</v>
      </c>
      <c r="T27" s="667" t="s">
        <v>14</v>
      </c>
      <c r="U27" s="668">
        <f>H27</f>
        <v>100</v>
      </c>
      <c r="V27" s="667" t="s">
        <v>14</v>
      </c>
      <c r="W27" s="668">
        <f>J27</f>
        <v>100</v>
      </c>
      <c r="X27" s="1265"/>
      <c r="Y27" s="343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41"/>
      <c r="Q28" s="530" t="str">
        <f t="shared" si="11"/>
        <v>朝向</v>
      </c>
      <c r="R28" s="664" t="s">
        <v>14</v>
      </c>
      <c r="S28" s="665">
        <f>F28</f>
        <v>100</v>
      </c>
      <c r="T28" s="664" t="s">
        <v>14</v>
      </c>
      <c r="U28" s="665">
        <f>H28</f>
        <v>100</v>
      </c>
      <c r="V28" s="664" t="s">
        <v>14</v>
      </c>
      <c r="W28" s="665">
        <f>J28</f>
        <v>100</v>
      </c>
      <c r="X28" s="666"/>
      <c r="Y28" s="343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1"/>
      <c r="Q29" s="1263">
        <f t="shared" si="11"/>
        <v>111</v>
      </c>
      <c r="R29" s="667" t="s">
        <v>14</v>
      </c>
      <c r="S29" s="668">
        <f t="shared" ref="S29:S47" si="12">F29</f>
        <v>100</v>
      </c>
      <c r="T29" s="667" t="s">
        <v>14</v>
      </c>
      <c r="U29" s="668">
        <f t="shared" ref="U29:U47" si="13">H29</f>
        <v>100</v>
      </c>
      <c r="V29" s="667" t="s">
        <v>14</v>
      </c>
      <c r="W29" s="668">
        <f t="shared" ref="W29:W47" si="14">J29</f>
        <v>100</v>
      </c>
      <c r="X29" s="1265"/>
      <c r="Y29" s="343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1"/>
      <c r="Q32" s="1263">
        <f t="shared" si="11"/>
        <v>111</v>
      </c>
      <c r="R32" s="667" t="s">
        <v>14</v>
      </c>
      <c r="S32" s="668">
        <f t="shared" si="12"/>
        <v>100</v>
      </c>
      <c r="T32" s="667" t="s">
        <v>14</v>
      </c>
      <c r="U32" s="668">
        <f t="shared" si="13"/>
        <v>100</v>
      </c>
      <c r="V32" s="667" t="s">
        <v>14</v>
      </c>
      <c r="W32" s="668">
        <f t="shared" si="14"/>
        <v>100</v>
      </c>
      <c r="X32" s="1265"/>
      <c r="Y32" s="343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35" t="s">
        <v>1696</v>
      </c>
      <c r="Q33" s="1263" t="str">
        <f t="shared" si="11"/>
        <v>建筑类型</v>
      </c>
      <c r="R33" s="667" t="s">
        <v>14</v>
      </c>
      <c r="S33" s="668">
        <f t="shared" si="12"/>
        <v>100</v>
      </c>
      <c r="T33" s="667" t="s">
        <v>14</v>
      </c>
      <c r="U33" s="668">
        <f t="shared" si="13"/>
        <v>100</v>
      </c>
      <c r="V33" s="667" t="s">
        <v>14</v>
      </c>
      <c r="W33" s="668">
        <f t="shared" si="14"/>
        <v>100</v>
      </c>
      <c r="X33" s="1265"/>
      <c r="Y33" s="343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6"/>
      <c r="Q34" s="531" t="str">
        <f t="shared" si="11"/>
        <v>项目建筑规模</v>
      </c>
      <c r="R34" s="669" t="s">
        <v>14</v>
      </c>
      <c r="S34" s="670" t="e">
        <f t="shared" si="12"/>
        <v>#N/A</v>
      </c>
      <c r="T34" s="669" t="s">
        <v>14</v>
      </c>
      <c r="U34" s="670" t="e">
        <f t="shared" si="13"/>
        <v>#N/A</v>
      </c>
      <c r="V34" s="669" t="s">
        <v>14</v>
      </c>
      <c r="W34" s="670" t="e">
        <f t="shared" si="14"/>
        <v>#N/A</v>
      </c>
      <c r="X34" s="671"/>
      <c r="Y34" s="343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6"/>
      <c r="Q35" s="1263" t="str">
        <f t="shared" si="11"/>
        <v>建筑结构</v>
      </c>
      <c r="R35" s="667" t="s">
        <v>14</v>
      </c>
      <c r="S35" s="668">
        <f t="shared" si="12"/>
        <v>100</v>
      </c>
      <c r="T35" s="667" t="s">
        <v>14</v>
      </c>
      <c r="U35" s="668">
        <f t="shared" si="13"/>
        <v>100</v>
      </c>
      <c r="V35" s="667" t="s">
        <v>14</v>
      </c>
      <c r="W35" s="668">
        <f t="shared" si="14"/>
        <v>100</v>
      </c>
      <c r="X35" s="1265"/>
      <c r="Y35" s="343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6"/>
      <c r="Q37" s="1263" t="str">
        <f t="shared" si="11"/>
        <v>成新度</v>
      </c>
      <c r="R37" s="667" t="s">
        <v>14</v>
      </c>
      <c r="S37" s="668" t="e">
        <f t="shared" si="12"/>
        <v>#N/A</v>
      </c>
      <c r="T37" s="667" t="s">
        <v>14</v>
      </c>
      <c r="U37" s="668" t="e">
        <f t="shared" si="13"/>
        <v>#N/A</v>
      </c>
      <c r="V37" s="667" t="s">
        <v>14</v>
      </c>
      <c r="W37" s="668" t="e">
        <f t="shared" si="14"/>
        <v>#N/A</v>
      </c>
      <c r="X37" s="1265"/>
      <c r="Y37" s="343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36"/>
      <c r="Q38" s="530" t="str">
        <f t="shared" si="11"/>
        <v>写字楼等级</v>
      </c>
      <c r="R38" s="664" t="s">
        <v>14</v>
      </c>
      <c r="S38" s="665">
        <f t="shared" si="12"/>
        <v>100</v>
      </c>
      <c r="T38" s="664" t="s">
        <v>14</v>
      </c>
      <c r="U38" s="665">
        <f t="shared" si="13"/>
        <v>100</v>
      </c>
      <c r="V38" s="664" t="s">
        <v>14</v>
      </c>
      <c r="W38" s="665">
        <f t="shared" si="14"/>
        <v>100</v>
      </c>
      <c r="X38" s="666"/>
      <c r="Y38" s="343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6" t="s">
        <v>1696</v>
      </c>
      <c r="Q39" s="1263" t="str">
        <f t="shared" si="11"/>
        <v>物业管理</v>
      </c>
      <c r="R39" s="667" t="s">
        <v>14</v>
      </c>
      <c r="S39" s="668">
        <f t="shared" si="12"/>
        <v>100</v>
      </c>
      <c r="T39" s="667" t="s">
        <v>14</v>
      </c>
      <c r="U39" s="668">
        <f t="shared" si="13"/>
        <v>100</v>
      </c>
      <c r="V39" s="667" t="s">
        <v>14</v>
      </c>
      <c r="W39" s="668">
        <f t="shared" si="14"/>
        <v>100</v>
      </c>
      <c r="X39" s="1265"/>
      <c r="Y39" s="343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6"/>
      <c r="Q40" s="1263" t="str">
        <f t="shared" si="11"/>
        <v>市政基础设施</v>
      </c>
      <c r="R40" s="667" t="s">
        <v>14</v>
      </c>
      <c r="S40" s="668">
        <f t="shared" si="12"/>
        <v>100</v>
      </c>
      <c r="T40" s="667" t="s">
        <v>14</v>
      </c>
      <c r="U40" s="668">
        <f t="shared" si="13"/>
        <v>100</v>
      </c>
      <c r="V40" s="667" t="s">
        <v>14</v>
      </c>
      <c r="W40" s="668">
        <f t="shared" si="14"/>
        <v>100</v>
      </c>
      <c r="X40" s="1265"/>
      <c r="Y40" s="343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6"/>
      <c r="Q41" s="1263" t="str">
        <f t="shared" si="11"/>
        <v>层高</v>
      </c>
      <c r="R41" s="667" t="s">
        <v>14</v>
      </c>
      <c r="S41" s="668">
        <f t="shared" si="12"/>
        <v>100</v>
      </c>
      <c r="T41" s="667" t="s">
        <v>14</v>
      </c>
      <c r="U41" s="668">
        <f t="shared" si="13"/>
        <v>100</v>
      </c>
      <c r="V41" s="667" t="s">
        <v>14</v>
      </c>
      <c r="W41" s="668">
        <f t="shared" si="14"/>
        <v>100</v>
      </c>
      <c r="X41" s="1265"/>
      <c r="Y41" s="343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6"/>
      <c r="Q42" s="531" t="str">
        <f t="shared" si="11"/>
        <v>单套建筑面积</v>
      </c>
      <c r="R42" s="669" t="s">
        <v>14</v>
      </c>
      <c r="S42" s="670">
        <f t="shared" si="12"/>
        <v>100</v>
      </c>
      <c r="T42" s="669" t="s">
        <v>14</v>
      </c>
      <c r="U42" s="670">
        <f t="shared" si="13"/>
        <v>100</v>
      </c>
      <c r="V42" s="669" t="s">
        <v>14</v>
      </c>
      <c r="W42" s="670">
        <f t="shared" si="14"/>
        <v>100</v>
      </c>
      <c r="X42" s="671"/>
      <c r="Y42" s="343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6"/>
      <c r="Q43" s="1263" t="str">
        <f t="shared" si="11"/>
        <v>内部装修</v>
      </c>
      <c r="R43" s="667" t="s">
        <v>14</v>
      </c>
      <c r="S43" s="668">
        <f t="shared" si="12"/>
        <v>100</v>
      </c>
      <c r="T43" s="667" t="s">
        <v>14</v>
      </c>
      <c r="U43" s="668">
        <f t="shared" si="13"/>
        <v>100</v>
      </c>
      <c r="V43" s="667" t="s">
        <v>14</v>
      </c>
      <c r="W43" s="668">
        <f t="shared" si="14"/>
        <v>100</v>
      </c>
      <c r="X43" s="1265"/>
      <c r="Y43" s="343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36"/>
      <c r="Q44" s="1263" t="str">
        <f t="shared" si="11"/>
        <v>内部装修维护情况</v>
      </c>
      <c r="R44" s="667" t="s">
        <v>14</v>
      </c>
      <c r="S44" s="668">
        <f t="shared" si="12"/>
        <v>100</v>
      </c>
      <c r="T44" s="667" t="s">
        <v>14</v>
      </c>
      <c r="U44" s="668">
        <f t="shared" si="13"/>
        <v>100</v>
      </c>
      <c r="V44" s="667" t="s">
        <v>14</v>
      </c>
      <c r="W44" s="668">
        <f t="shared" si="14"/>
        <v>100</v>
      </c>
      <c r="X44" s="1265"/>
      <c r="Y44" s="343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6"/>
      <c r="Q45" s="530">
        <f t="shared" si="11"/>
        <v>111</v>
      </c>
      <c r="R45" s="664" t="s">
        <v>14</v>
      </c>
      <c r="S45" s="665">
        <f t="shared" si="12"/>
        <v>100</v>
      </c>
      <c r="T45" s="664" t="s">
        <v>14</v>
      </c>
      <c r="U45" s="665">
        <f t="shared" si="13"/>
        <v>100</v>
      </c>
      <c r="V45" s="664" t="s">
        <v>14</v>
      </c>
      <c r="W45" s="665">
        <f t="shared" si="14"/>
        <v>100</v>
      </c>
      <c r="X45" s="666"/>
      <c r="Y45" s="343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7"/>
      <c r="Q47" s="1263">
        <f t="shared" si="11"/>
        <v>111</v>
      </c>
      <c r="R47" s="667" t="s">
        <v>14</v>
      </c>
      <c r="S47" s="668">
        <f t="shared" si="12"/>
        <v>100</v>
      </c>
      <c r="T47" s="667" t="s">
        <v>14</v>
      </c>
      <c r="U47" s="668">
        <f t="shared" si="13"/>
        <v>100</v>
      </c>
      <c r="V47" s="667" t="s">
        <v>14</v>
      </c>
      <c r="W47" s="668">
        <f t="shared" si="14"/>
        <v>100</v>
      </c>
      <c r="X47" s="1265"/>
      <c r="Y47" s="343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14" t="str">
        <f>A48</f>
        <v>成交单价（元/平方米）</v>
      </c>
      <c r="Q48" s="3432"/>
      <c r="R48" s="3427">
        <f>E48</f>
        <v>0</v>
      </c>
      <c r="S48" s="3427"/>
      <c r="T48" s="3427">
        <f>G48</f>
        <v>0</v>
      </c>
      <c r="U48" s="3427"/>
      <c r="V48" s="3427">
        <f>I48</f>
        <v>0</v>
      </c>
      <c r="W48" s="342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414" t="str">
        <f>A49</f>
        <v>比较价值（元/平方米）</v>
      </c>
      <c r="Q49" s="3432"/>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F7:F47 H7:H47 J7:J47">
    <cfRule type="cellIs" dxfId="100" priority="1" operator="notEqual">
      <formula>100</formula>
    </cfRule>
  </conditionalFormatting>
  <conditionalFormatting sqref="F49">
    <cfRule type="expression" dxfId="99" priority="4">
      <formula>$D$49="简单平均"</formula>
    </cfRule>
  </conditionalFormatting>
  <conditionalFormatting sqref="F53:F55 H53:H55">
    <cfRule type="containsText" dxfId="98" priority="17" stopIfTrue="1" operator="containsText" text="超过">
      <formula>NOT(ISERROR(SEARCH("超过",F53)))</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G55">
    <cfRule type="expression" dxfId="95" priority="13" stopIfTrue="1">
      <formula>$H$55="超过30%"</formula>
    </cfRule>
  </conditionalFormatting>
  <conditionalFormatting sqref="H49">
    <cfRule type="expression" dxfId="94" priority="3">
      <formula>$D$49="简单平均"</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J49">
    <cfRule type="expression" dxfId="90" priority="2">
      <formula>$D$49="简单平均"</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受贵公司委托，我公司对北京市北京市朝阳区朝阳门外大街18号房地产抵押价值进行了预评估。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估价对象为北京市北京市朝阳区朝阳门外大街18号房地产，为所有。根据《国有土地使用证》[]，估价对象（分摊）出让国有建设用地使用权面积为54.66平方米，建筑面积为476.94平方米。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朝阳门外大街18号房地产,属开发建设的，该项目尚在开发建设中。根据《国有土地使用证》[]，估价对象（分摊）出让国有建设用地使用权面积为54.66平方米，规划建筑面积为476.94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2025年4月18日（评估专业人员实地查勘之日）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476.94000000000005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860"/>
      <c r="M4" s="861"/>
      <c r="N4" s="861"/>
      <c r="O4" s="861"/>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860"/>
      <c r="M5" s="861"/>
      <c r="N5" s="861"/>
      <c r="O5" s="861"/>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860"/>
      <c r="M6" s="861"/>
      <c r="N6" s="861"/>
      <c r="O6" s="861"/>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45765</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1683</v>
      </c>
      <c r="Q8" s="3401"/>
      <c r="R8" s="664" t="s">
        <v>14</v>
      </c>
      <c r="S8" s="665">
        <f t="shared" si="0"/>
        <v>100</v>
      </c>
      <c r="T8" s="664" t="s">
        <v>14</v>
      </c>
      <c r="U8" s="665">
        <f t="shared" si="1"/>
        <v>100</v>
      </c>
      <c r="V8" s="664" t="s">
        <v>14</v>
      </c>
      <c r="W8" s="665">
        <f t="shared" si="2"/>
        <v>100</v>
      </c>
      <c r="X8" s="666"/>
      <c r="Y8" s="3400" t="s">
        <v>1683</v>
      </c>
      <c r="Z8" s="340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2"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2"/>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2"/>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2"/>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2"/>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2"/>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4"/>
      <c r="Q16" s="1263"/>
      <c r="R16" s="667"/>
      <c r="S16" s="668"/>
      <c r="T16" s="667"/>
      <c r="U16" s="668"/>
      <c r="V16" s="667"/>
      <c r="W16" s="668"/>
      <c r="X16" s="1265"/>
      <c r="Y16" s="343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4"/>
      <c r="Q18" s="1263"/>
      <c r="R18" s="667"/>
      <c r="S18" s="668"/>
      <c r="T18" s="667"/>
      <c r="U18" s="668"/>
      <c r="V18" s="667"/>
      <c r="W18" s="668"/>
      <c r="X18" s="1265"/>
      <c r="Y18" s="343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4"/>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4"/>
      <c r="Q20" s="1263"/>
      <c r="R20" s="667"/>
      <c r="S20" s="668"/>
      <c r="T20" s="667"/>
      <c r="U20" s="668"/>
      <c r="V20" s="667"/>
      <c r="W20" s="668"/>
      <c r="X20" s="1265"/>
      <c r="Y20" s="343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4"/>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4"/>
      <c r="Q22" s="1263"/>
      <c r="R22" s="667"/>
      <c r="S22" s="668"/>
      <c r="T22" s="667"/>
      <c r="U22" s="668"/>
      <c r="V22" s="667"/>
      <c r="W22" s="668"/>
      <c r="X22" s="1265"/>
      <c r="Y22" s="343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4"/>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4"/>
      <c r="Q24" s="1263"/>
      <c r="R24" s="667"/>
      <c r="S24" s="668"/>
      <c r="T24" s="667"/>
      <c r="U24" s="668"/>
      <c r="V24" s="667"/>
      <c r="W24" s="668"/>
      <c r="X24" s="1265"/>
      <c r="Y24" s="343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4"/>
      <c r="Q25" s="1263">
        <f>B25</f>
        <v>111</v>
      </c>
      <c r="R25" s="667" t="s">
        <v>14</v>
      </c>
      <c r="S25" s="668">
        <f>F25</f>
        <v>100</v>
      </c>
      <c r="T25" s="667" t="s">
        <v>14</v>
      </c>
      <c r="U25" s="668">
        <f>H25</f>
        <v>100</v>
      </c>
      <c r="V25" s="667" t="s">
        <v>14</v>
      </c>
      <c r="W25" s="668">
        <f>J25</f>
        <v>100</v>
      </c>
      <c r="X25" s="1265"/>
      <c r="Y25" s="343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4"/>
      <c r="Q26" s="1263">
        <f t="shared" ref="Q26:Q40" si="11">B26</f>
        <v>111</v>
      </c>
      <c r="R26" s="667" t="s">
        <v>14</v>
      </c>
      <c r="S26" s="668">
        <f>F26</f>
        <v>100</v>
      </c>
      <c r="T26" s="667" t="s">
        <v>14</v>
      </c>
      <c r="U26" s="668">
        <f>H26</f>
        <v>100</v>
      </c>
      <c r="V26" s="667" t="s">
        <v>14</v>
      </c>
      <c r="W26" s="668">
        <f>J26</f>
        <v>100</v>
      </c>
      <c r="X26" s="1265"/>
      <c r="Y26" s="343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4"/>
      <c r="Q27" s="530">
        <f t="shared" si="11"/>
        <v>111</v>
      </c>
      <c r="R27" s="664" t="s">
        <v>14</v>
      </c>
      <c r="S27" s="665">
        <f>F27</f>
        <v>100</v>
      </c>
      <c r="T27" s="664" t="s">
        <v>14</v>
      </c>
      <c r="U27" s="665">
        <f>H27</f>
        <v>100</v>
      </c>
      <c r="V27" s="664" t="s">
        <v>14</v>
      </c>
      <c r="W27" s="665">
        <f>J27</f>
        <v>100</v>
      </c>
      <c r="X27" s="666"/>
      <c r="Y27" s="343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4"/>
      <c r="Q28" s="1263">
        <f t="shared" si="11"/>
        <v>111</v>
      </c>
      <c r="R28" s="667" t="s">
        <v>14</v>
      </c>
      <c r="S28" s="668">
        <f t="shared" ref="S28:S40" si="12">F28</f>
        <v>100</v>
      </c>
      <c r="T28" s="667" t="s">
        <v>14</v>
      </c>
      <c r="U28" s="668">
        <f t="shared" ref="U28:U40" si="13">H28</f>
        <v>100</v>
      </c>
      <c r="V28" s="667" t="s">
        <v>14</v>
      </c>
      <c r="W28" s="668">
        <f t="shared" ref="W28:W40" si="14">J28</f>
        <v>100</v>
      </c>
      <c r="X28" s="1265"/>
      <c r="Y28" s="343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7" t="s">
        <v>1696</v>
      </c>
      <c r="Q29" s="1263" t="str">
        <f t="shared" si="11"/>
        <v>建筑类型</v>
      </c>
      <c r="R29" s="667" t="s">
        <v>14</v>
      </c>
      <c r="S29" s="668">
        <f t="shared" si="12"/>
        <v>100</v>
      </c>
      <c r="T29" s="667" t="s">
        <v>14</v>
      </c>
      <c r="U29" s="668">
        <f t="shared" si="13"/>
        <v>100</v>
      </c>
      <c r="V29" s="667" t="s">
        <v>14</v>
      </c>
      <c r="W29" s="668">
        <f t="shared" si="14"/>
        <v>100</v>
      </c>
      <c r="X29" s="1265"/>
      <c r="Y29" s="343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8"/>
      <c r="Q30" s="531" t="str">
        <f t="shared" si="11"/>
        <v>项目建筑规模</v>
      </c>
      <c r="R30" s="669" t="s">
        <v>14</v>
      </c>
      <c r="S30" s="670" t="e">
        <f t="shared" si="12"/>
        <v>#N/A</v>
      </c>
      <c r="T30" s="669" t="s">
        <v>14</v>
      </c>
      <c r="U30" s="670" t="e">
        <f t="shared" si="13"/>
        <v>#N/A</v>
      </c>
      <c r="V30" s="669" t="s">
        <v>14</v>
      </c>
      <c r="W30" s="670" t="e">
        <f t="shared" si="14"/>
        <v>#N/A</v>
      </c>
      <c r="X30" s="671"/>
      <c r="Y30" s="343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8"/>
      <c r="Q31" s="1263" t="str">
        <f t="shared" si="11"/>
        <v>建筑结构</v>
      </c>
      <c r="R31" s="667" t="s">
        <v>14</v>
      </c>
      <c r="S31" s="668">
        <f t="shared" si="12"/>
        <v>100</v>
      </c>
      <c r="T31" s="667" t="s">
        <v>14</v>
      </c>
      <c r="U31" s="668">
        <f t="shared" si="13"/>
        <v>100</v>
      </c>
      <c r="V31" s="667" t="s">
        <v>14</v>
      </c>
      <c r="W31" s="668">
        <f t="shared" si="14"/>
        <v>100</v>
      </c>
      <c r="X31" s="1265"/>
      <c r="Y31" s="343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8"/>
      <c r="Q32" s="1263" t="str">
        <f t="shared" si="11"/>
        <v>公共部分装修</v>
      </c>
      <c r="R32" s="667" t="s">
        <v>14</v>
      </c>
      <c r="S32" s="668">
        <f t="shared" si="12"/>
        <v>100</v>
      </c>
      <c r="T32" s="667" t="s">
        <v>14</v>
      </c>
      <c r="U32" s="668">
        <f t="shared" si="13"/>
        <v>100</v>
      </c>
      <c r="V32" s="667" t="s">
        <v>14</v>
      </c>
      <c r="W32" s="668">
        <f t="shared" si="14"/>
        <v>100</v>
      </c>
      <c r="X32" s="1265"/>
      <c r="Y32" s="343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8"/>
      <c r="Q33" s="1263" t="str">
        <f t="shared" si="11"/>
        <v>成新度</v>
      </c>
      <c r="R33" s="667" t="s">
        <v>14</v>
      </c>
      <c r="S33" s="668" t="e">
        <f t="shared" si="12"/>
        <v>#N/A</v>
      </c>
      <c r="T33" s="667" t="s">
        <v>14</v>
      </c>
      <c r="U33" s="668" t="e">
        <f t="shared" si="13"/>
        <v>#N/A</v>
      </c>
      <c r="V33" s="667" t="s">
        <v>14</v>
      </c>
      <c r="W33" s="668" t="e">
        <f t="shared" si="14"/>
        <v>#N/A</v>
      </c>
      <c r="X33" s="1265"/>
      <c r="Y33" s="343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8"/>
      <c r="Q34" s="530" t="str">
        <f t="shared" si="11"/>
        <v>物业管理</v>
      </c>
      <c r="R34" s="664" t="s">
        <v>14</v>
      </c>
      <c r="S34" s="665">
        <f t="shared" si="12"/>
        <v>100</v>
      </c>
      <c r="T34" s="664" t="s">
        <v>14</v>
      </c>
      <c r="U34" s="665">
        <f t="shared" si="13"/>
        <v>100</v>
      </c>
      <c r="V34" s="664" t="s">
        <v>14</v>
      </c>
      <c r="W34" s="665">
        <f t="shared" si="14"/>
        <v>100</v>
      </c>
      <c r="X34" s="666"/>
      <c r="Y34" s="343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8" t="s">
        <v>1696</v>
      </c>
      <c r="Q35" s="1263" t="str">
        <f t="shared" si="11"/>
        <v>市政基础设施</v>
      </c>
      <c r="R35" s="667" t="s">
        <v>14</v>
      </c>
      <c r="S35" s="668">
        <f t="shared" si="12"/>
        <v>100</v>
      </c>
      <c r="T35" s="667" t="s">
        <v>14</v>
      </c>
      <c r="U35" s="668">
        <f t="shared" si="13"/>
        <v>100</v>
      </c>
      <c r="V35" s="667" t="s">
        <v>14</v>
      </c>
      <c r="W35" s="668">
        <f t="shared" si="14"/>
        <v>100</v>
      </c>
      <c r="X35" s="1265"/>
      <c r="Y35" s="343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8"/>
      <c r="Q36" s="1263" t="str">
        <f t="shared" si="11"/>
        <v>内部装修</v>
      </c>
      <c r="R36" s="667" t="s">
        <v>14</v>
      </c>
      <c r="S36" s="668">
        <f t="shared" si="12"/>
        <v>100</v>
      </c>
      <c r="T36" s="667" t="s">
        <v>14</v>
      </c>
      <c r="U36" s="668">
        <f t="shared" si="13"/>
        <v>100</v>
      </c>
      <c r="V36" s="667" t="s">
        <v>14</v>
      </c>
      <c r="W36" s="668">
        <f t="shared" si="14"/>
        <v>100</v>
      </c>
      <c r="X36" s="1265"/>
      <c r="Y36" s="343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8"/>
      <c r="Q37" s="1263" t="str">
        <f t="shared" si="11"/>
        <v>内部装修状况</v>
      </c>
      <c r="R37" s="667" t="s">
        <v>14</v>
      </c>
      <c r="S37" s="668">
        <f t="shared" si="12"/>
        <v>100</v>
      </c>
      <c r="T37" s="667" t="s">
        <v>14</v>
      </c>
      <c r="U37" s="668">
        <f t="shared" si="13"/>
        <v>100</v>
      </c>
      <c r="V37" s="667" t="s">
        <v>14</v>
      </c>
      <c r="W37" s="668">
        <f t="shared" si="14"/>
        <v>100</v>
      </c>
      <c r="X37" s="1265"/>
      <c r="Y37" s="343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8"/>
      <c r="Q38" s="531">
        <f t="shared" si="11"/>
        <v>111</v>
      </c>
      <c r="R38" s="669" t="s">
        <v>14</v>
      </c>
      <c r="S38" s="670">
        <f t="shared" si="12"/>
        <v>100</v>
      </c>
      <c r="T38" s="669" t="s">
        <v>14</v>
      </c>
      <c r="U38" s="670">
        <f t="shared" si="13"/>
        <v>100</v>
      </c>
      <c r="V38" s="669" t="s">
        <v>14</v>
      </c>
      <c r="W38" s="670">
        <f t="shared" si="14"/>
        <v>100</v>
      </c>
      <c r="X38" s="671"/>
      <c r="Y38" s="343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8"/>
      <c r="Q39" s="1263">
        <f t="shared" si="11"/>
        <v>111</v>
      </c>
      <c r="R39" s="667" t="s">
        <v>14</v>
      </c>
      <c r="S39" s="668">
        <f t="shared" si="12"/>
        <v>100</v>
      </c>
      <c r="T39" s="667" t="s">
        <v>14</v>
      </c>
      <c r="U39" s="668">
        <f t="shared" si="13"/>
        <v>100</v>
      </c>
      <c r="V39" s="667" t="s">
        <v>14</v>
      </c>
      <c r="W39" s="668">
        <f t="shared" si="14"/>
        <v>100</v>
      </c>
      <c r="X39" s="1265"/>
      <c r="Y39" s="343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9"/>
      <c r="Q40" s="1263">
        <f t="shared" si="11"/>
        <v>111</v>
      </c>
      <c r="R40" s="667" t="s">
        <v>14</v>
      </c>
      <c r="S40" s="668">
        <f t="shared" si="12"/>
        <v>100</v>
      </c>
      <c r="T40" s="667" t="s">
        <v>14</v>
      </c>
      <c r="U40" s="668">
        <f t="shared" si="13"/>
        <v>100</v>
      </c>
      <c r="V40" s="667" t="s">
        <v>14</v>
      </c>
      <c r="W40" s="668">
        <f t="shared" si="14"/>
        <v>100</v>
      </c>
      <c r="X40" s="1265"/>
      <c r="Y40" s="343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2" t="str">
        <f>A41</f>
        <v>成交单价（元/平方米）</v>
      </c>
      <c r="Q41" s="3432"/>
      <c r="R41" s="3427">
        <f>E41</f>
        <v>0</v>
      </c>
      <c r="S41" s="3427"/>
      <c r="T41" s="3427">
        <f>G41</f>
        <v>0</v>
      </c>
      <c r="U41" s="3427"/>
      <c r="V41" s="3427">
        <f>I41</f>
        <v>0</v>
      </c>
      <c r="W41" s="342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2" t="str">
        <f>A42</f>
        <v>比较价值（元/平方米）</v>
      </c>
      <c r="Q42" s="3432"/>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45765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0" t="s">
        <v>1683</v>
      </c>
      <c r="Q8" s="3401"/>
      <c r="R8" s="664" t="s">
        <v>14</v>
      </c>
      <c r="S8" s="665">
        <f t="shared" si="0"/>
        <v>100</v>
      </c>
      <c r="T8" s="664" t="s">
        <v>14</v>
      </c>
      <c r="U8" s="665">
        <f t="shared" si="1"/>
        <v>100</v>
      </c>
      <c r="V8" s="664" t="s">
        <v>14</v>
      </c>
      <c r="W8" s="665">
        <f t="shared" si="2"/>
        <v>100</v>
      </c>
      <c r="X8" s="666"/>
      <c r="Y8" s="3400" t="s">
        <v>1683</v>
      </c>
      <c r="Z8" s="340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2"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2"/>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2"/>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2"/>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2"/>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10.4">
      <c r="A14" s="345" t="s">
        <v>1690</v>
      </c>
      <c r="B14" s="554" t="s">
        <v>1833</v>
      </c>
      <c r="C14" s="1819" t="str">
        <f>IF(B1="工业",估价对象房地状况!G4,估价对象房地状况!C6)</f>
        <v>周边有75、110、420路及地铁2号、6号线，周边道路密集，停车便捷程度，综合评价交通便捷度较好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4"/>
      <c r="Q15" s="1263"/>
      <c r="R15" s="667"/>
      <c r="S15" s="668"/>
      <c r="T15" s="667"/>
      <c r="U15" s="668"/>
      <c r="V15" s="667"/>
      <c r="W15" s="668"/>
      <c r="X15" s="1265"/>
      <c r="Y15" s="3434"/>
      <c r="Z15" s="1264"/>
      <c r="AA15" s="1264">
        <v>1</v>
      </c>
      <c r="AB15" s="1264">
        <v>1</v>
      </c>
      <c r="AC15" s="1264">
        <v>1</v>
      </c>
    </row>
    <row r="16" spans="1:29" ht="96.6">
      <c r="A16" s="348"/>
      <c r="B16" s="556" t="s">
        <v>1812</v>
      </c>
      <c r="C16" s="1754"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34"/>
      <c r="Q17" s="1263"/>
      <c r="R17" s="667"/>
      <c r="S17" s="668"/>
      <c r="T17" s="667"/>
      <c r="U17" s="668"/>
      <c r="V17" s="667"/>
      <c r="W17" s="668"/>
      <c r="X17" s="1265"/>
      <c r="Y17" s="3434"/>
      <c r="Z17" s="1264"/>
      <c r="AA17" s="1264">
        <v>1</v>
      </c>
      <c r="AB17" s="1264">
        <v>1</v>
      </c>
      <c r="AC17" s="1264">
        <v>1</v>
      </c>
    </row>
    <row r="18" spans="1:29" ht="41.4">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34"/>
      <c r="Q19" s="1263"/>
      <c r="R19" s="667"/>
      <c r="S19" s="668"/>
      <c r="T19" s="667"/>
      <c r="U19" s="668"/>
      <c r="V19" s="667"/>
      <c r="W19" s="668"/>
      <c r="X19" s="1265"/>
      <c r="Y19" s="3434"/>
      <c r="Z19" s="1264"/>
      <c r="AA19" s="1264">
        <v>1</v>
      </c>
      <c r="AB19" s="1264">
        <v>1</v>
      </c>
      <c r="AC19" s="1264">
        <v>1</v>
      </c>
    </row>
    <row r="20" spans="1:29" ht="110.4">
      <c r="A20" s="348"/>
      <c r="B20" s="556"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4"/>
      <c r="Q21" s="1263"/>
      <c r="R21" s="667"/>
      <c r="S21" s="668"/>
      <c r="T21" s="667"/>
      <c r="U21" s="668"/>
      <c r="V21" s="667"/>
      <c r="W21" s="668"/>
      <c r="X21" s="1265"/>
      <c r="Y21" s="343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4"/>
      <c r="Q24" s="1263">
        <f t="shared" ref="Q24:Q36"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8"/>
      <c r="Q27" s="531" t="str">
        <f t="shared" si="11"/>
        <v>项目停车位配比</v>
      </c>
      <c r="R27" s="669" t="s">
        <v>14</v>
      </c>
      <c r="S27" s="670">
        <f t="shared" si="12"/>
        <v>100</v>
      </c>
      <c r="T27" s="669" t="s">
        <v>14</v>
      </c>
      <c r="U27" s="670">
        <f t="shared" si="13"/>
        <v>100</v>
      </c>
      <c r="V27" s="669" t="s">
        <v>14</v>
      </c>
      <c r="W27" s="670">
        <f t="shared" si="14"/>
        <v>100</v>
      </c>
      <c r="X27" s="671"/>
      <c r="Y27" s="343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8"/>
      <c r="Q28" s="1263" t="str">
        <f t="shared" si="11"/>
        <v>公共部分装修</v>
      </c>
      <c r="R28" s="667" t="s">
        <v>14</v>
      </c>
      <c r="S28" s="668">
        <f t="shared" si="12"/>
        <v>100</v>
      </c>
      <c r="T28" s="667" t="s">
        <v>14</v>
      </c>
      <c r="U28" s="668">
        <f t="shared" si="13"/>
        <v>100</v>
      </c>
      <c r="V28" s="667" t="s">
        <v>14</v>
      </c>
      <c r="W28" s="668">
        <f t="shared" si="14"/>
        <v>100</v>
      </c>
      <c r="X28" s="1265"/>
      <c r="Y28" s="343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8"/>
      <c r="Q29" s="1263" t="str">
        <f t="shared" si="11"/>
        <v>成新率</v>
      </c>
      <c r="R29" s="667" t="s">
        <v>14</v>
      </c>
      <c r="S29" s="668" t="e">
        <f t="shared" si="12"/>
        <v>#N/A</v>
      </c>
      <c r="T29" s="667" t="s">
        <v>14</v>
      </c>
      <c r="U29" s="668" t="e">
        <f t="shared" si="13"/>
        <v>#N/A</v>
      </c>
      <c r="V29" s="667" t="s">
        <v>14</v>
      </c>
      <c r="W29" s="668" t="e">
        <f t="shared" si="14"/>
        <v>#N/A</v>
      </c>
      <c r="X29" s="1265"/>
      <c r="Y29" s="343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8"/>
      <c r="Q30" s="1263" t="str">
        <f t="shared" si="11"/>
        <v>物业等级</v>
      </c>
      <c r="R30" s="667" t="s">
        <v>14</v>
      </c>
      <c r="S30" s="668">
        <f t="shared" si="12"/>
        <v>100</v>
      </c>
      <c r="T30" s="667" t="s">
        <v>14</v>
      </c>
      <c r="U30" s="668">
        <f t="shared" si="13"/>
        <v>100</v>
      </c>
      <c r="V30" s="667" t="s">
        <v>14</v>
      </c>
      <c r="W30" s="668">
        <f t="shared" si="14"/>
        <v>100</v>
      </c>
      <c r="X30" s="1265"/>
      <c r="Y30" s="343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8"/>
      <c r="Q31" s="530" t="str">
        <f t="shared" si="11"/>
        <v>停车位面积</v>
      </c>
      <c r="R31" s="664" t="s">
        <v>14</v>
      </c>
      <c r="S31" s="665" t="e">
        <f t="shared" si="12"/>
        <v>#N/A</v>
      </c>
      <c r="T31" s="664" t="s">
        <v>14</v>
      </c>
      <c r="U31" s="665" t="e">
        <f t="shared" si="13"/>
        <v>#N/A</v>
      </c>
      <c r="V31" s="664" t="s">
        <v>14</v>
      </c>
      <c r="W31" s="665" t="e">
        <f t="shared" si="14"/>
        <v>#N/A</v>
      </c>
      <c r="X31" s="666"/>
      <c r="Y31" s="343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8" t="s">
        <v>1696</v>
      </c>
      <c r="Q32" s="1263" t="str">
        <f t="shared" si="11"/>
        <v>车位类型</v>
      </c>
      <c r="R32" s="667" t="s">
        <v>14</v>
      </c>
      <c r="S32" s="668">
        <f t="shared" si="12"/>
        <v>100</v>
      </c>
      <c r="T32" s="667" t="s">
        <v>14</v>
      </c>
      <c r="U32" s="668">
        <f t="shared" si="13"/>
        <v>100</v>
      </c>
      <c r="V32" s="667" t="s">
        <v>14</v>
      </c>
      <c r="W32" s="668">
        <f t="shared" si="14"/>
        <v>100</v>
      </c>
      <c r="X32" s="1265"/>
      <c r="Y32" s="343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8"/>
      <c r="Q33" s="1263" t="str">
        <f t="shared" si="11"/>
        <v>是否直接入户</v>
      </c>
      <c r="R33" s="667" t="s">
        <v>14</v>
      </c>
      <c r="S33" s="668">
        <f t="shared" si="12"/>
        <v>100</v>
      </c>
      <c r="T33" s="667" t="s">
        <v>14</v>
      </c>
      <c r="U33" s="668">
        <f t="shared" si="13"/>
        <v>100</v>
      </c>
      <c r="V33" s="667" t="s">
        <v>14</v>
      </c>
      <c r="W33" s="668">
        <f t="shared" si="14"/>
        <v>100</v>
      </c>
      <c r="X33" s="1265"/>
      <c r="Y33" s="343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8"/>
      <c r="Q35" s="531">
        <f t="shared" si="11"/>
        <v>111</v>
      </c>
      <c r="R35" s="669" t="s">
        <v>14</v>
      </c>
      <c r="S35" s="670">
        <f t="shared" si="12"/>
        <v>100</v>
      </c>
      <c r="T35" s="669" t="s">
        <v>14</v>
      </c>
      <c r="U35" s="670">
        <f t="shared" si="13"/>
        <v>100</v>
      </c>
      <c r="V35" s="669" t="s">
        <v>14</v>
      </c>
      <c r="W35" s="670">
        <f t="shared" si="14"/>
        <v>100</v>
      </c>
      <c r="X35" s="671"/>
      <c r="Y35" s="343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8"/>
      <c r="Q36" s="1263">
        <f t="shared" si="11"/>
        <v>111</v>
      </c>
      <c r="R36" s="667" t="s">
        <v>14</v>
      </c>
      <c r="S36" s="668">
        <f t="shared" si="12"/>
        <v>100</v>
      </c>
      <c r="T36" s="667" t="s">
        <v>14</v>
      </c>
      <c r="U36" s="668">
        <f t="shared" si="13"/>
        <v>100</v>
      </c>
      <c r="V36" s="667" t="s">
        <v>14</v>
      </c>
      <c r="W36" s="668">
        <f t="shared" si="14"/>
        <v>100</v>
      </c>
      <c r="X36" s="1265"/>
      <c r="Y36" s="3438"/>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432" t="str">
        <f>A37</f>
        <v>成交单价</v>
      </c>
      <c r="Q37" s="3432"/>
      <c r="R37" s="3427">
        <f>E37</f>
        <v>0</v>
      </c>
      <c r="S37" s="3427"/>
      <c r="T37" s="3427">
        <f>G37</f>
        <v>0</v>
      </c>
      <c r="U37" s="3427"/>
      <c r="V37" s="3427">
        <f>I37</f>
        <v>0</v>
      </c>
      <c r="W37" s="342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32" t="str">
        <f>A38</f>
        <v>比较价值（元/平方米）</v>
      </c>
      <c r="Q38" s="3432"/>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29" t="str">
        <f>A39</f>
        <v>估价对象XX用房的比较价值（楼面单价，元/平方米）</v>
      </c>
      <c r="Q39" s="3430"/>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45765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0" t="s">
        <v>1683</v>
      </c>
      <c r="Q8" s="3401"/>
      <c r="R8" s="664" t="s">
        <v>14</v>
      </c>
      <c r="S8" s="665">
        <f t="shared" si="0"/>
        <v>100</v>
      </c>
      <c r="T8" s="664" t="s">
        <v>14</v>
      </c>
      <c r="U8" s="665">
        <f t="shared" si="1"/>
        <v>100</v>
      </c>
      <c r="V8" s="664" t="s">
        <v>14</v>
      </c>
      <c r="W8" s="665">
        <f t="shared" si="2"/>
        <v>100</v>
      </c>
      <c r="X8" s="666"/>
      <c r="Y8" s="3400" t="s">
        <v>1683</v>
      </c>
      <c r="Z8" s="340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2"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2"/>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2"/>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2"/>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2"/>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10.4">
      <c r="A14" s="379" t="s">
        <v>1690</v>
      </c>
      <c r="B14" s="58" t="s">
        <v>1833</v>
      </c>
      <c r="C14" s="1819" t="str">
        <f>IF(B1="工业",估价对象房地状况!G4,估价对象房地状况!C6)</f>
        <v>周边有75、110、420路及地铁2号、6号线，周边道路密集，停车便捷程度，综合评价交通便捷度较好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4"/>
      <c r="Q15" s="1263"/>
      <c r="R15" s="667"/>
      <c r="S15" s="668"/>
      <c r="T15" s="667"/>
      <c r="U15" s="668"/>
      <c r="V15" s="667"/>
      <c r="W15" s="668"/>
      <c r="X15" s="1265"/>
      <c r="Y15" s="3434"/>
      <c r="Z15" s="1264"/>
      <c r="AA15" s="1264">
        <v>1</v>
      </c>
      <c r="AB15" s="1264">
        <v>1</v>
      </c>
      <c r="AC15" s="1264">
        <v>1</v>
      </c>
    </row>
    <row r="16" spans="1:29" ht="96.6">
      <c r="A16" s="367"/>
      <c r="B16" s="390" t="s">
        <v>1812</v>
      </c>
      <c r="C16" s="1754"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34"/>
      <c r="Q17" s="1263"/>
      <c r="R17" s="667"/>
      <c r="S17" s="668"/>
      <c r="T17" s="667"/>
      <c r="U17" s="668"/>
      <c r="V17" s="667"/>
      <c r="W17" s="668"/>
      <c r="X17" s="1265"/>
      <c r="Y17" s="3434"/>
      <c r="Z17" s="1264"/>
      <c r="AA17" s="1264">
        <v>1</v>
      </c>
      <c r="AB17" s="1264">
        <v>1</v>
      </c>
      <c r="AC17" s="1264">
        <v>1</v>
      </c>
    </row>
    <row r="18" spans="1:29" ht="41.4">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34"/>
      <c r="Q19" s="1263"/>
      <c r="R19" s="667"/>
      <c r="S19" s="668"/>
      <c r="T19" s="667"/>
      <c r="U19" s="668"/>
      <c r="V19" s="667"/>
      <c r="W19" s="668"/>
      <c r="X19" s="1265"/>
      <c r="Y19" s="3434"/>
      <c r="Z19" s="1264"/>
      <c r="AA19" s="1264">
        <v>1</v>
      </c>
      <c r="AB19" s="1264">
        <v>1</v>
      </c>
      <c r="AC19" s="1264">
        <v>1</v>
      </c>
    </row>
    <row r="20" spans="1:29" ht="110.4">
      <c r="A20" s="367"/>
      <c r="B20" s="390"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4"/>
      <c r="Q21" s="1263"/>
      <c r="R21" s="667"/>
      <c r="S21" s="668"/>
      <c r="T21" s="667"/>
      <c r="U21" s="668"/>
      <c r="V21" s="667"/>
      <c r="W21" s="668"/>
      <c r="X21" s="1265"/>
      <c r="Y21" s="343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4"/>
      <c r="Q24" s="1263">
        <f t="shared" ref="Q24:Q34"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8"/>
      <c r="Q27" s="531" t="str">
        <f t="shared" si="11"/>
        <v>成新率</v>
      </c>
      <c r="R27" s="669" t="s">
        <v>14</v>
      </c>
      <c r="S27" s="670" t="e">
        <f t="shared" si="12"/>
        <v>#N/A</v>
      </c>
      <c r="T27" s="669" t="s">
        <v>14</v>
      </c>
      <c r="U27" s="670" t="e">
        <f t="shared" si="13"/>
        <v>#N/A</v>
      </c>
      <c r="V27" s="669" t="s">
        <v>14</v>
      </c>
      <c r="W27" s="670" t="e">
        <f t="shared" si="14"/>
        <v>#N/A</v>
      </c>
      <c r="X27" s="671"/>
      <c r="Y27" s="343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8"/>
      <c r="Q28" s="1263" t="str">
        <f t="shared" si="11"/>
        <v>物业等级</v>
      </c>
      <c r="R28" s="667" t="s">
        <v>14</v>
      </c>
      <c r="S28" s="668">
        <f t="shared" si="12"/>
        <v>100</v>
      </c>
      <c r="T28" s="667" t="s">
        <v>14</v>
      </c>
      <c r="U28" s="668">
        <f t="shared" si="13"/>
        <v>100</v>
      </c>
      <c r="V28" s="667" t="s">
        <v>14</v>
      </c>
      <c r="W28" s="668">
        <f t="shared" si="14"/>
        <v>100</v>
      </c>
      <c r="X28" s="1265"/>
      <c r="Y28" s="343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8"/>
      <c r="Q29" s="1263" t="str">
        <f t="shared" si="11"/>
        <v>有无电梯</v>
      </c>
      <c r="R29" s="667" t="s">
        <v>14</v>
      </c>
      <c r="S29" s="668">
        <f t="shared" si="12"/>
        <v>100</v>
      </c>
      <c r="T29" s="667" t="s">
        <v>14</v>
      </c>
      <c r="U29" s="668">
        <f t="shared" si="13"/>
        <v>100</v>
      </c>
      <c r="V29" s="667" t="s">
        <v>14</v>
      </c>
      <c r="W29" s="668">
        <f t="shared" si="14"/>
        <v>100</v>
      </c>
      <c r="X29" s="1265"/>
      <c r="Y29" s="343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8"/>
      <c r="Q30" s="1263" t="str">
        <f t="shared" si="11"/>
        <v>建筑面积</v>
      </c>
      <c r="R30" s="667" t="s">
        <v>14</v>
      </c>
      <c r="S30" s="668" t="e">
        <f t="shared" si="12"/>
        <v>#N/A</v>
      </c>
      <c r="T30" s="667" t="s">
        <v>14</v>
      </c>
      <c r="U30" s="668" t="e">
        <f t="shared" si="13"/>
        <v>#N/A</v>
      </c>
      <c r="V30" s="667" t="s">
        <v>14</v>
      </c>
      <c r="W30" s="668" t="e">
        <f t="shared" si="14"/>
        <v>#N/A</v>
      </c>
      <c r="X30" s="1265"/>
      <c r="Y30" s="343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8"/>
      <c r="Q31" s="530" t="str">
        <f t="shared" si="11"/>
        <v>是否封闭</v>
      </c>
      <c r="R31" s="664" t="s">
        <v>14</v>
      </c>
      <c r="S31" s="665">
        <f t="shared" si="12"/>
        <v>100</v>
      </c>
      <c r="T31" s="664" t="s">
        <v>14</v>
      </c>
      <c r="U31" s="665">
        <f t="shared" si="13"/>
        <v>100</v>
      </c>
      <c r="V31" s="664" t="s">
        <v>14</v>
      </c>
      <c r="W31" s="665">
        <f t="shared" si="14"/>
        <v>100</v>
      </c>
      <c r="X31" s="666"/>
      <c r="Y31" s="343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8" t="s">
        <v>1696</v>
      </c>
      <c r="Q32" s="1263">
        <f t="shared" si="11"/>
        <v>111</v>
      </c>
      <c r="R32" s="667" t="s">
        <v>14</v>
      </c>
      <c r="S32" s="668">
        <f t="shared" si="12"/>
        <v>100</v>
      </c>
      <c r="T32" s="667" t="s">
        <v>14</v>
      </c>
      <c r="U32" s="668">
        <f t="shared" si="13"/>
        <v>100</v>
      </c>
      <c r="V32" s="667" t="s">
        <v>14</v>
      </c>
      <c r="W32" s="668">
        <f t="shared" si="14"/>
        <v>100</v>
      </c>
      <c r="X32" s="1265"/>
      <c r="Y32" s="343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8"/>
      <c r="Q33" s="1263">
        <f t="shared" si="11"/>
        <v>111</v>
      </c>
      <c r="R33" s="667" t="s">
        <v>14</v>
      </c>
      <c r="S33" s="668">
        <f t="shared" si="12"/>
        <v>100</v>
      </c>
      <c r="T33" s="667" t="s">
        <v>14</v>
      </c>
      <c r="U33" s="668">
        <f t="shared" si="13"/>
        <v>100</v>
      </c>
      <c r="V33" s="667" t="s">
        <v>14</v>
      </c>
      <c r="W33" s="668">
        <f t="shared" si="14"/>
        <v>100</v>
      </c>
      <c r="X33" s="1265"/>
      <c r="Y33" s="343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2" t="str">
        <f>A35</f>
        <v>成交单价（元/平方米）</v>
      </c>
      <c r="Q35" s="3432"/>
      <c r="R35" s="3427">
        <f>E35</f>
        <v>0</v>
      </c>
      <c r="S35" s="3427"/>
      <c r="T35" s="3427">
        <f>G35</f>
        <v>0</v>
      </c>
      <c r="U35" s="3427"/>
      <c r="V35" s="3427">
        <f>I35</f>
        <v>0</v>
      </c>
      <c r="W35" s="342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32" t="str">
        <f>A36</f>
        <v>比较价值（元/平方米）</v>
      </c>
      <c r="Q36" s="3432"/>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29" t="str">
        <f>A37</f>
        <v>估价对象XX用房的比较价值（楼面单价，元/平方米）</v>
      </c>
      <c r="Q37" s="3430"/>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45765</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0" t="s">
        <v>1683</v>
      </c>
      <c r="Q8" s="3401"/>
      <c r="R8" s="664" t="s">
        <v>14</v>
      </c>
      <c r="S8" s="665">
        <f t="shared" si="0"/>
        <v>0</v>
      </c>
      <c r="T8" s="664" t="s">
        <v>14</v>
      </c>
      <c r="U8" s="665">
        <f t="shared" si="1"/>
        <v>0</v>
      </c>
      <c r="V8" s="664" t="s">
        <v>14</v>
      </c>
      <c r="W8" s="665">
        <f t="shared" si="2"/>
        <v>0</v>
      </c>
      <c r="X8" s="666"/>
      <c r="Y8" s="3400" t="s">
        <v>1683</v>
      </c>
      <c r="Z8" s="340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32"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152</v>
      </c>
      <c r="G10" s="402"/>
      <c r="H10" s="119">
        <f>ROUND(100/'数据-取费表'!G16,0)</f>
        <v>152</v>
      </c>
      <c r="I10" s="402"/>
      <c r="J10" s="119">
        <f>ROUND(100/'数据-取费表'!G16,0)</f>
        <v>152</v>
      </c>
      <c r="K10" s="592"/>
      <c r="L10" s="2487"/>
      <c r="M10" s="2488"/>
      <c r="N10" s="2488"/>
      <c r="O10" s="2539"/>
      <c r="P10" s="3432"/>
      <c r="Q10" s="530" t="str">
        <f t="shared" si="6"/>
        <v>土地使用年限（年）</v>
      </c>
      <c r="R10" s="664" t="s">
        <v>14</v>
      </c>
      <c r="S10" s="665">
        <f t="shared" si="0"/>
        <v>152</v>
      </c>
      <c r="T10" s="664" t="s">
        <v>14</v>
      </c>
      <c r="U10" s="665">
        <f t="shared" si="1"/>
        <v>152</v>
      </c>
      <c r="V10" s="664" t="s">
        <v>14</v>
      </c>
      <c r="W10" s="665">
        <f t="shared" si="2"/>
        <v>152</v>
      </c>
      <c r="X10" s="666"/>
      <c r="Y10" s="3325"/>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2"/>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2"/>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2"/>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2"/>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3" t="s">
        <v>1691</v>
      </c>
      <c r="Q15" s="1263" t="str">
        <f t="shared" si="6"/>
        <v>居住社区成熟度</v>
      </c>
      <c r="R15" s="667" t="s">
        <v>14</v>
      </c>
      <c r="S15" s="668">
        <f t="shared" si="0"/>
        <v>100</v>
      </c>
      <c r="T15" s="667" t="s">
        <v>14</v>
      </c>
      <c r="U15" s="668">
        <f t="shared" si="1"/>
        <v>100</v>
      </c>
      <c r="V15" s="667" t="s">
        <v>14</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34"/>
      <c r="Q16" s="1263"/>
      <c r="R16" s="667"/>
      <c r="S16" s="668"/>
      <c r="T16" s="667"/>
      <c r="U16" s="668"/>
      <c r="V16" s="667"/>
      <c r="W16" s="668"/>
      <c r="X16" s="1265"/>
      <c r="Y16" s="3434"/>
      <c r="Z16" s="1264"/>
      <c r="AA16" s="1264">
        <v>1</v>
      </c>
      <c r="AB16" s="1264">
        <v>1</v>
      </c>
      <c r="AC16" s="1264">
        <v>1</v>
      </c>
    </row>
    <row r="17" spans="1:29" ht="110.4">
      <c r="A17" s="367"/>
      <c r="B17" s="390" t="s">
        <v>1777</v>
      </c>
      <c r="C17" s="1806" t="str">
        <f>估价对象房地状况!C16</f>
        <v>估价对象位于朝阳门商圈，周边悠唐国际中心、THE BPX等购物中心项目，人流量较大，商业繁华度较好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4"/>
      <c r="Q17" s="1263" t="str">
        <f>B17</f>
        <v>商业繁华度</v>
      </c>
      <c r="R17" s="667" t="s">
        <v>14</v>
      </c>
      <c r="S17" s="668">
        <f>F17</f>
        <v>100</v>
      </c>
      <c r="T17" s="667" t="s">
        <v>14</v>
      </c>
      <c r="U17" s="668">
        <f>H17</f>
        <v>100</v>
      </c>
      <c r="V17" s="667" t="s">
        <v>14</v>
      </c>
      <c r="W17" s="668">
        <f>J17</f>
        <v>100</v>
      </c>
      <c r="X17" s="1265"/>
      <c r="Y17" s="343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34"/>
      <c r="Q18" s="1263"/>
      <c r="R18" s="667"/>
      <c r="S18" s="668"/>
      <c r="T18" s="667"/>
      <c r="U18" s="668"/>
      <c r="V18" s="667"/>
      <c r="W18" s="668"/>
      <c r="X18" s="1265"/>
      <c r="Y18" s="3434"/>
      <c r="Z18" s="1264"/>
      <c r="AA18" s="1264">
        <v>1</v>
      </c>
      <c r="AB18" s="1264">
        <v>1</v>
      </c>
      <c r="AC18" s="1264">
        <v>1</v>
      </c>
    </row>
    <row r="19" spans="1:29" ht="124.2">
      <c r="A19" s="367"/>
      <c r="B19" s="390" t="s">
        <v>1811</v>
      </c>
      <c r="C19" s="1806" t="str">
        <f>估价对象房地状况!C17</f>
        <v>估价对象位于朝阳门商圈，周边办公楼项目较多，有联合大厦、华普国际大厦等写字楼，入驻率高，办公集聚程度较好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4"/>
      <c r="Q19" s="1263" t="str">
        <f>B19</f>
        <v>办公集聚程度</v>
      </c>
      <c r="R19" s="667" t="s">
        <v>14</v>
      </c>
      <c r="S19" s="668">
        <f>F19</f>
        <v>100</v>
      </c>
      <c r="T19" s="667" t="s">
        <v>14</v>
      </c>
      <c r="U19" s="668">
        <f>H19</f>
        <v>100</v>
      </c>
      <c r="V19" s="667" t="s">
        <v>14</v>
      </c>
      <c r="W19" s="668">
        <f>J19</f>
        <v>100</v>
      </c>
      <c r="X19" s="1265"/>
      <c r="Y19" s="343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34"/>
      <c r="Q20" s="1263"/>
      <c r="R20" s="667"/>
      <c r="S20" s="668"/>
      <c r="T20" s="667"/>
      <c r="U20" s="668"/>
      <c r="V20" s="667"/>
      <c r="W20" s="668"/>
      <c r="X20" s="1265"/>
      <c r="Y20" s="3434"/>
      <c r="Z20" s="1264"/>
      <c r="AA20" s="1264">
        <v>1</v>
      </c>
      <c r="AB20" s="1264">
        <v>1</v>
      </c>
      <c r="AC20" s="1264">
        <v>1</v>
      </c>
    </row>
    <row r="21" spans="1:29" ht="110.4">
      <c r="A21" s="367"/>
      <c r="B21" s="390" t="s">
        <v>1833</v>
      </c>
      <c r="C21" s="1754" t="str">
        <f>估价对象房地状况!C18</f>
        <v>周边有75、110、420路及地铁2号、6号线，周边道路密集，停车便捷程度，综合评价交通便捷度较好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4"/>
      <c r="Q21" s="1263" t="str">
        <f>B21</f>
        <v>交通便捷度</v>
      </c>
      <c r="R21" s="667" t="s">
        <v>14</v>
      </c>
      <c r="S21" s="668">
        <f>F21</f>
        <v>100</v>
      </c>
      <c r="T21" s="667" t="s">
        <v>14</v>
      </c>
      <c r="U21" s="668">
        <f>H21</f>
        <v>100</v>
      </c>
      <c r="V21" s="667" t="s">
        <v>14</v>
      </c>
      <c r="W21" s="668">
        <f>J21</f>
        <v>100</v>
      </c>
      <c r="X21" s="1265"/>
      <c r="Y21" s="343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34"/>
      <c r="Q22" s="1263"/>
      <c r="R22" s="667"/>
      <c r="S22" s="668"/>
      <c r="T22" s="667"/>
      <c r="U22" s="668"/>
      <c r="V22" s="667"/>
      <c r="W22" s="668"/>
      <c r="X22" s="1265"/>
      <c r="Y22" s="343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4"/>
      <c r="Q23" s="1263" t="str">
        <f t="shared" ref="Q23:Q37" si="8">B23</f>
        <v>区域土地利用方向</v>
      </c>
      <c r="R23" s="667" t="s">
        <v>14</v>
      </c>
      <c r="S23" s="668">
        <f>F23</f>
        <v>100</v>
      </c>
      <c r="T23" s="667" t="s">
        <v>14</v>
      </c>
      <c r="U23" s="668">
        <f>H23</f>
        <v>100</v>
      </c>
      <c r="V23" s="667" t="s">
        <v>14</v>
      </c>
      <c r="W23" s="668">
        <f>J23</f>
        <v>100</v>
      </c>
      <c r="X23" s="1265"/>
      <c r="Y23" s="343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34"/>
      <c r="Q24" s="1263"/>
      <c r="R24" s="667"/>
      <c r="S24" s="668"/>
      <c r="T24" s="667"/>
      <c r="U24" s="668"/>
      <c r="V24" s="667"/>
      <c r="W24" s="668"/>
      <c r="X24" s="1265"/>
      <c r="Y24" s="3434"/>
      <c r="Z24" s="1264"/>
      <c r="AA24" s="1264"/>
      <c r="AB24" s="1264"/>
      <c r="AC24" s="1264"/>
    </row>
    <row r="25" spans="1:29" ht="110.4">
      <c r="A25" s="348"/>
      <c r="B25" s="586" t="s">
        <v>1872</v>
      </c>
      <c r="C25" s="1806" t="str">
        <f>估价对象房地状况!C20</f>
        <v>区域内有东城职业大学、日坛公园、富国海底世界等自然及人文环境，综合评价自然及人文环境状况较好。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4"/>
      <c r="Q25" s="1263" t="str">
        <f t="shared" si="8"/>
        <v>自然及人文环境状况</v>
      </c>
      <c r="R25" s="667" t="s">
        <v>14</v>
      </c>
      <c r="S25" s="668">
        <f>F25</f>
        <v>100</v>
      </c>
      <c r="T25" s="667" t="s">
        <v>14</v>
      </c>
      <c r="U25" s="668">
        <f>H25</f>
        <v>100</v>
      </c>
      <c r="V25" s="667" t="s">
        <v>14</v>
      </c>
      <c r="W25" s="668">
        <f>J25</f>
        <v>100</v>
      </c>
      <c r="X25" s="1265"/>
      <c r="Y25" s="343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34"/>
      <c r="Q26" s="1263"/>
      <c r="R26" s="667"/>
      <c r="S26" s="668"/>
      <c r="T26" s="667"/>
      <c r="U26" s="668"/>
      <c r="V26" s="667"/>
      <c r="W26" s="668"/>
      <c r="X26" s="1265"/>
      <c r="Y26" s="3434"/>
      <c r="Z26" s="1264"/>
      <c r="AA26" s="1264">
        <v>1</v>
      </c>
      <c r="AB26" s="1264">
        <v>1</v>
      </c>
      <c r="AC26" s="1264">
        <v>1</v>
      </c>
    </row>
    <row r="27" spans="1:29" s="102" customFormat="1" ht="96.6">
      <c r="A27" s="443"/>
      <c r="B27" s="586" t="s">
        <v>1778</v>
      </c>
      <c r="C27" s="1754"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34"/>
      <c r="Q27" s="530" t="str">
        <f t="shared" si="8"/>
        <v>公共配套设施</v>
      </c>
      <c r="R27" s="664" t="s">
        <v>14</v>
      </c>
      <c r="S27" s="665">
        <f>F27</f>
        <v>100</v>
      </c>
      <c r="T27" s="664" t="s">
        <v>14</v>
      </c>
      <c r="U27" s="665">
        <f>H27</f>
        <v>100</v>
      </c>
      <c r="V27" s="664" t="s">
        <v>14</v>
      </c>
      <c r="W27" s="665">
        <f>J27</f>
        <v>100</v>
      </c>
      <c r="X27" s="666"/>
      <c r="Y27" s="343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34"/>
      <c r="Q28" s="530"/>
      <c r="R28" s="664"/>
      <c r="S28" s="665"/>
      <c r="T28" s="664"/>
      <c r="U28" s="665"/>
      <c r="V28" s="664"/>
      <c r="W28" s="665"/>
      <c r="X28" s="666"/>
      <c r="Y28" s="3434"/>
      <c r="Z28" s="50"/>
      <c r="AA28" s="1264">
        <v>1</v>
      </c>
      <c r="AB28" s="1264">
        <v>1</v>
      </c>
      <c r="AC28" s="1264">
        <v>1</v>
      </c>
    </row>
    <row r="29" spans="1:29" s="102" customFormat="1" ht="41.4">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34"/>
      <c r="Q29" s="530" t="str">
        <f t="shared" ref="Q29" si="9">B29</f>
        <v>基础设施水平</v>
      </c>
      <c r="R29" s="664" t="s">
        <v>14</v>
      </c>
      <c r="S29" s="665">
        <f>F29</f>
        <v>100</v>
      </c>
      <c r="T29" s="664" t="s">
        <v>14</v>
      </c>
      <c r="U29" s="665">
        <f>H29</f>
        <v>100</v>
      </c>
      <c r="V29" s="664" t="s">
        <v>14</v>
      </c>
      <c r="W29" s="665">
        <f>J29</f>
        <v>100</v>
      </c>
      <c r="X29" s="666"/>
      <c r="Y29" s="343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34"/>
      <c r="Q30" s="530"/>
      <c r="R30" s="664"/>
      <c r="S30" s="665"/>
      <c r="T30" s="664"/>
      <c r="U30" s="665"/>
      <c r="V30" s="664"/>
      <c r="W30" s="665"/>
      <c r="X30" s="666"/>
      <c r="Y30" s="343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4"/>
      <c r="Q32" s="1263" t="str">
        <f t="shared" si="8"/>
        <v>毗邻道路的类型与等级</v>
      </c>
      <c r="R32" s="667" t="s">
        <v>14</v>
      </c>
      <c r="S32" s="668">
        <f t="shared" si="10"/>
        <v>100</v>
      </c>
      <c r="T32" s="667" t="s">
        <v>14</v>
      </c>
      <c r="U32" s="668">
        <f t="shared" si="11"/>
        <v>100</v>
      </c>
      <c r="V32" s="667" t="s">
        <v>14</v>
      </c>
      <c r="W32" s="668">
        <f t="shared" si="12"/>
        <v>100</v>
      </c>
      <c r="X32" s="1265"/>
      <c r="Y32" s="343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34"/>
      <c r="Q33" s="1263"/>
      <c r="R33" s="667"/>
      <c r="S33" s="668"/>
      <c r="T33" s="667"/>
      <c r="U33" s="668"/>
      <c r="V33" s="667"/>
      <c r="W33" s="668"/>
      <c r="X33" s="1265"/>
      <c r="Y33" s="343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4"/>
      <c r="Q34" s="1263" t="str">
        <f t="shared" si="8"/>
        <v>土地级别</v>
      </c>
      <c r="R34" s="667" t="s">
        <v>14</v>
      </c>
      <c r="S34" s="668">
        <f t="shared" si="10"/>
        <v>100</v>
      </c>
      <c r="T34" s="667" t="s">
        <v>14</v>
      </c>
      <c r="U34" s="668">
        <f t="shared" si="11"/>
        <v>100</v>
      </c>
      <c r="V34" s="667" t="s">
        <v>14</v>
      </c>
      <c r="W34" s="668">
        <f t="shared" si="12"/>
        <v>100</v>
      </c>
      <c r="X34" s="1265"/>
      <c r="Y34" s="343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4"/>
      <c r="Q35" s="1263">
        <f t="shared" si="8"/>
        <v>111</v>
      </c>
      <c r="R35" s="667" t="s">
        <v>14</v>
      </c>
      <c r="S35" s="668">
        <f t="shared" si="10"/>
        <v>100</v>
      </c>
      <c r="T35" s="667" t="s">
        <v>14</v>
      </c>
      <c r="U35" s="668">
        <f t="shared" si="11"/>
        <v>100</v>
      </c>
      <c r="V35" s="667" t="s">
        <v>14</v>
      </c>
      <c r="W35" s="668">
        <f t="shared" si="12"/>
        <v>100</v>
      </c>
      <c r="X35" s="1265"/>
      <c r="Y35" s="343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7" t="s">
        <v>1696</v>
      </c>
      <c r="Q36" s="1263">
        <f t="shared" si="8"/>
        <v>111</v>
      </c>
      <c r="R36" s="667" t="s">
        <v>14</v>
      </c>
      <c r="S36" s="668">
        <f t="shared" si="10"/>
        <v>100</v>
      </c>
      <c r="T36" s="667" t="s">
        <v>14</v>
      </c>
      <c r="U36" s="668">
        <f t="shared" si="11"/>
        <v>100</v>
      </c>
      <c r="V36" s="667" t="s">
        <v>14</v>
      </c>
      <c r="W36" s="668">
        <f t="shared" si="12"/>
        <v>100</v>
      </c>
      <c r="X36" s="1265"/>
      <c r="Y36" s="343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8"/>
      <c r="Q37" s="1263">
        <f t="shared" si="8"/>
        <v>111</v>
      </c>
      <c r="R37" s="669" t="s">
        <v>14</v>
      </c>
      <c r="S37" s="670">
        <f t="shared" si="10"/>
        <v>100</v>
      </c>
      <c r="T37" s="669" t="s">
        <v>14</v>
      </c>
      <c r="U37" s="670">
        <f t="shared" si="11"/>
        <v>100</v>
      </c>
      <c r="V37" s="669" t="s">
        <v>14</v>
      </c>
      <c r="W37" s="670">
        <f t="shared" si="12"/>
        <v>100</v>
      </c>
      <c r="X37" s="671"/>
      <c r="Y37" s="343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8"/>
      <c r="Q38" s="1263" t="str">
        <f>B38</f>
        <v>宗地面积</v>
      </c>
      <c r="R38" s="667" t="s">
        <v>14</v>
      </c>
      <c r="S38" s="668" t="e">
        <f t="shared" si="10"/>
        <v>#N/A</v>
      </c>
      <c r="T38" s="667" t="s">
        <v>14</v>
      </c>
      <c r="U38" s="668" t="e">
        <f t="shared" si="11"/>
        <v>#N/A</v>
      </c>
      <c r="V38" s="667" t="s">
        <v>14</v>
      </c>
      <c r="W38" s="668" t="e">
        <f t="shared" si="12"/>
        <v>#N/A</v>
      </c>
      <c r="X38" s="1265"/>
      <c r="Y38" s="343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38"/>
      <c r="Q39" s="1263" t="str">
        <f t="shared" ref="Q39:Q45" si="14">B39</f>
        <v>宗地形状</v>
      </c>
      <c r="R39" s="667" t="s">
        <v>14</v>
      </c>
      <c r="S39" s="668">
        <f t="shared" si="10"/>
        <v>100</v>
      </c>
      <c r="T39" s="667" t="s">
        <v>14</v>
      </c>
      <c r="U39" s="668">
        <f t="shared" si="11"/>
        <v>100</v>
      </c>
      <c r="V39" s="667" t="s">
        <v>14</v>
      </c>
      <c r="W39" s="668">
        <f t="shared" si="12"/>
        <v>100</v>
      </c>
      <c r="X39" s="1265"/>
      <c r="Y39" s="343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38"/>
      <c r="Q40" s="1263" t="str">
        <f t="shared" si="14"/>
        <v>临街宽度及深度</v>
      </c>
      <c r="R40" s="667" t="s">
        <v>14</v>
      </c>
      <c r="S40" s="668">
        <f t="shared" si="10"/>
        <v>100</v>
      </c>
      <c r="T40" s="667" t="s">
        <v>14</v>
      </c>
      <c r="U40" s="668">
        <f t="shared" si="11"/>
        <v>100</v>
      </c>
      <c r="V40" s="667" t="s">
        <v>14</v>
      </c>
      <c r="W40" s="668">
        <f t="shared" si="12"/>
        <v>100</v>
      </c>
      <c r="X40" s="1265"/>
      <c r="Y40" s="343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38"/>
      <c r="Q41" s="1263" t="str">
        <f t="shared" si="14"/>
        <v>宗地开发程度</v>
      </c>
      <c r="R41" s="664" t="s">
        <v>14</v>
      </c>
      <c r="S41" s="665">
        <f t="shared" si="10"/>
        <v>100</v>
      </c>
      <c r="T41" s="664" t="s">
        <v>14</v>
      </c>
      <c r="U41" s="665">
        <f t="shared" si="11"/>
        <v>100</v>
      </c>
      <c r="V41" s="664" t="s">
        <v>14</v>
      </c>
      <c r="W41" s="665">
        <f t="shared" si="12"/>
        <v>100</v>
      </c>
      <c r="X41" s="666"/>
      <c r="Y41" s="343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38" t="s">
        <v>1696</v>
      </c>
      <c r="Q42" s="1263" t="str">
        <f t="shared" si="14"/>
        <v>工程地质条件</v>
      </c>
      <c r="R42" s="667" t="s">
        <v>14</v>
      </c>
      <c r="S42" s="668">
        <f t="shared" si="10"/>
        <v>100</v>
      </c>
      <c r="T42" s="667" t="s">
        <v>14</v>
      </c>
      <c r="U42" s="668">
        <f t="shared" si="11"/>
        <v>100</v>
      </c>
      <c r="V42" s="667" t="s">
        <v>14</v>
      </c>
      <c r="W42" s="668">
        <f t="shared" si="12"/>
        <v>100</v>
      </c>
      <c r="X42" s="1265"/>
      <c r="Y42" s="343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8"/>
      <c r="Q43" s="1263">
        <f t="shared" si="14"/>
        <v>111</v>
      </c>
      <c r="R43" s="667" t="s">
        <v>14</v>
      </c>
      <c r="S43" s="668">
        <f t="shared" si="10"/>
        <v>100</v>
      </c>
      <c r="T43" s="667" t="s">
        <v>14</v>
      </c>
      <c r="U43" s="668">
        <f t="shared" si="11"/>
        <v>100</v>
      </c>
      <c r="V43" s="667" t="s">
        <v>14</v>
      </c>
      <c r="W43" s="668">
        <f t="shared" si="12"/>
        <v>100</v>
      </c>
      <c r="X43" s="1265"/>
      <c r="Y43" s="343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8"/>
      <c r="Q44" s="1263">
        <f t="shared" si="14"/>
        <v>111</v>
      </c>
      <c r="R44" s="667" t="s">
        <v>14</v>
      </c>
      <c r="S44" s="668">
        <f t="shared" si="10"/>
        <v>100</v>
      </c>
      <c r="T44" s="667" t="s">
        <v>14</v>
      </c>
      <c r="U44" s="668">
        <f t="shared" si="11"/>
        <v>100</v>
      </c>
      <c r="V44" s="667" t="s">
        <v>14</v>
      </c>
      <c r="W44" s="668">
        <f t="shared" si="12"/>
        <v>100</v>
      </c>
      <c r="X44" s="1265"/>
      <c r="Y44" s="343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8"/>
      <c r="Q45" s="1263">
        <f t="shared" si="14"/>
        <v>111</v>
      </c>
      <c r="R45" s="669" t="s">
        <v>14</v>
      </c>
      <c r="S45" s="670">
        <f t="shared" si="10"/>
        <v>100</v>
      </c>
      <c r="T45" s="669" t="s">
        <v>14</v>
      </c>
      <c r="U45" s="670">
        <f t="shared" si="11"/>
        <v>100</v>
      </c>
      <c r="V45" s="669" t="s">
        <v>14</v>
      </c>
      <c r="W45" s="670">
        <f t="shared" si="12"/>
        <v>100</v>
      </c>
      <c r="X45" s="671"/>
      <c r="Y45" s="343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32" t="str">
        <f>A46</f>
        <v>成交单价</v>
      </c>
      <c r="Q46" s="3432"/>
      <c r="R46" s="3427">
        <f>E46</f>
        <v>0</v>
      </c>
      <c r="S46" s="3427"/>
      <c r="T46" s="3427">
        <f>G46</f>
        <v>0</v>
      </c>
      <c r="U46" s="3427"/>
      <c r="V46" s="3427">
        <f>I46</f>
        <v>0</v>
      </c>
      <c r="W46" s="342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32" t="str">
        <f>A47</f>
        <v>比较价值（元/平方米）</v>
      </c>
      <c r="Q47" s="3432"/>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29" t="str">
        <f>A48</f>
        <v>估价对象XX用房的比较价值（楼面单价，元/平方米）</v>
      </c>
      <c r="Q48" s="3430"/>
      <c r="R48" s="3460" t="e">
        <f>ROUND(IF(D47="简单平均",AVERAGE(R47:W47),R47*F47+T47*H47+V47*J47),0)</f>
        <v>#DIV/0!</v>
      </c>
      <c r="S48" s="3460"/>
      <c r="T48" s="3460"/>
      <c r="U48" s="3460"/>
      <c r="V48" s="3460"/>
      <c r="W48" s="346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5" t="s">
        <v>1887</v>
      </c>
      <c r="H55" s="346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476.94000000000005</v>
      </c>
      <c r="F56" s="833" t="e">
        <f t="shared" ref="F56:F64" si="15">ROUND(B56*E56/10000,0)</f>
        <v>#DIV/0!</v>
      </c>
      <c r="G56" s="3414"/>
      <c r="H56" s="343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0.7</v>
      </c>
      <c r="D57" s="891">
        <v>0.25</v>
      </c>
      <c r="E57" s="614"/>
      <c r="F57" s="833" t="e">
        <f t="shared" si="15"/>
        <v>#DIV/0!</v>
      </c>
      <c r="G57" s="2748" t="s">
        <v>1892</v>
      </c>
      <c r="H57" s="834" t="str">
        <f>项目基本情况!B37</f>
        <v>一级</v>
      </c>
      <c r="I57" s="838">
        <f>SUMIF(修正!A57:A68,H57,修正!B57:B68)</f>
        <v>0.7</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0.4</v>
      </c>
      <c r="D58" s="891">
        <v>0.25</v>
      </c>
      <c r="E58" s="614"/>
      <c r="F58" s="833" t="e">
        <f t="shared" si="15"/>
        <v>#DIV/0!</v>
      </c>
      <c r="G58" s="2749"/>
      <c r="H58" s="834" t="str">
        <f>项目基本情况!B37</f>
        <v>一级</v>
      </c>
      <c r="I58" s="838">
        <f>SUMIF(修正!A57:A68,H58,修正!C57:C68)</f>
        <v>0.4</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0.3</v>
      </c>
      <c r="D59" s="891">
        <v>0.25</v>
      </c>
      <c r="E59" s="614"/>
      <c r="F59" s="833" t="e">
        <f t="shared" si="15"/>
        <v>#DIV/0!</v>
      </c>
      <c r="G59" s="2749"/>
      <c r="H59" s="834" t="str">
        <f>项目基本情况!B37</f>
        <v>一级</v>
      </c>
      <c r="I59" s="838">
        <f>SUMIF(修正!A57:A68,H59,修正!D57:D68)</f>
        <v>0.3</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476.94000000000005</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62" t="s">
        <v>1919</v>
      </c>
      <c r="D6" s="3463"/>
      <c r="E6" s="3464" t="s">
        <v>1919</v>
      </c>
      <c r="F6" s="3465"/>
      <c r="G6" s="3462" t="s">
        <v>1919</v>
      </c>
      <c r="H6" s="3463"/>
      <c r="I6" s="3462" t="s">
        <v>1919</v>
      </c>
      <c r="J6" s="3463"/>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5" thickBot="1">
      <c r="A7" s="352" t="s">
        <v>1679</v>
      </c>
      <c r="B7" s="353"/>
      <c r="C7" s="354">
        <f>'数据-取费表'!B2</f>
        <v>45765</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0" t="s">
        <v>1683</v>
      </c>
      <c r="Q8" s="3401"/>
      <c r="R8" s="664" t="s">
        <v>14</v>
      </c>
      <c r="S8" s="665">
        <f t="shared" si="0"/>
        <v>0</v>
      </c>
      <c r="T8" s="664" t="s">
        <v>14</v>
      </c>
      <c r="U8" s="665">
        <f t="shared" si="1"/>
        <v>0</v>
      </c>
      <c r="V8" s="664" t="s">
        <v>14</v>
      </c>
      <c r="W8" s="665">
        <f t="shared" si="2"/>
        <v>0</v>
      </c>
      <c r="X8" s="666"/>
      <c r="Y8" s="3400" t="s">
        <v>1683</v>
      </c>
      <c r="Z8" s="340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2"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152</v>
      </c>
      <c r="G10" s="371"/>
      <c r="H10" s="119">
        <f>ROUND(100/'数据-取费表'!G16,0)</f>
        <v>152</v>
      </c>
      <c r="I10" s="371"/>
      <c r="J10" s="119">
        <f>ROUND(100/'数据-取费表'!G16,0)</f>
        <v>152</v>
      </c>
      <c r="K10" s="592"/>
      <c r="L10" s="2487"/>
      <c r="M10" s="2488"/>
      <c r="N10" s="2488"/>
      <c r="O10" s="2539"/>
      <c r="P10" s="3432"/>
      <c r="Q10" s="530" t="str">
        <f t="shared" si="6"/>
        <v>土地使用年限（年）</v>
      </c>
      <c r="R10" s="664" t="s">
        <v>14</v>
      </c>
      <c r="S10" s="665">
        <f t="shared" si="0"/>
        <v>152</v>
      </c>
      <c r="T10" s="664" t="s">
        <v>14</v>
      </c>
      <c r="U10" s="665">
        <f t="shared" si="1"/>
        <v>152</v>
      </c>
      <c r="V10" s="664" t="s">
        <v>14</v>
      </c>
      <c r="W10" s="665">
        <f t="shared" si="2"/>
        <v>152</v>
      </c>
      <c r="X10" s="666"/>
      <c r="Y10" s="3325"/>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2"/>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2"/>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2"/>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2"/>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34"/>
      <c r="Q16" s="1263"/>
      <c r="R16" s="667"/>
      <c r="S16" s="668"/>
      <c r="T16" s="667"/>
      <c r="U16" s="668"/>
      <c r="V16" s="667"/>
      <c r="W16" s="668"/>
      <c r="X16" s="1265"/>
      <c r="Y16" s="343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34"/>
      <c r="Q18" s="1263"/>
      <c r="R18" s="667"/>
      <c r="S18" s="668"/>
      <c r="T18" s="667"/>
      <c r="U18" s="668"/>
      <c r="V18" s="667"/>
      <c r="W18" s="668"/>
      <c r="X18" s="1265"/>
      <c r="Y18" s="343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4"/>
      <c r="Q19" s="1263" t="str">
        <f t="shared" ref="Q19:Q33" si="8">B19</f>
        <v>区域土地利用方向</v>
      </c>
      <c r="R19" s="667" t="s">
        <v>14</v>
      </c>
      <c r="S19" s="668">
        <f>F19</f>
        <v>100</v>
      </c>
      <c r="T19" s="667" t="s">
        <v>14</v>
      </c>
      <c r="U19" s="668">
        <f>H19</f>
        <v>100</v>
      </c>
      <c r="V19" s="667" t="s">
        <v>14</v>
      </c>
      <c r="W19" s="668">
        <f>J19</f>
        <v>100</v>
      </c>
      <c r="X19" s="1265"/>
      <c r="Y19" s="343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34"/>
      <c r="Q20" s="1263"/>
      <c r="R20" s="667"/>
      <c r="S20" s="668"/>
      <c r="T20" s="667"/>
      <c r="U20" s="668"/>
      <c r="V20" s="667"/>
      <c r="W20" s="668"/>
      <c r="X20" s="1265"/>
      <c r="Y20" s="343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4"/>
      <c r="Q21" s="1263" t="str">
        <f t="shared" si="8"/>
        <v>环境状况</v>
      </c>
      <c r="R21" s="667" t="s">
        <v>14</v>
      </c>
      <c r="S21" s="668">
        <f>F21</f>
        <v>100</v>
      </c>
      <c r="T21" s="667" t="s">
        <v>14</v>
      </c>
      <c r="U21" s="668">
        <f>H21</f>
        <v>100</v>
      </c>
      <c r="V21" s="667" t="s">
        <v>14</v>
      </c>
      <c r="W21" s="668">
        <f>J21</f>
        <v>100</v>
      </c>
      <c r="X21" s="1265"/>
      <c r="Y21" s="343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34"/>
      <c r="Q22" s="1263"/>
      <c r="R22" s="667"/>
      <c r="S22" s="668"/>
      <c r="T22" s="667"/>
      <c r="U22" s="668"/>
      <c r="V22" s="667"/>
      <c r="W22" s="668"/>
      <c r="X22" s="1265"/>
      <c r="Y22" s="343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4"/>
      <c r="Q23" s="530" t="str">
        <f t="shared" si="8"/>
        <v>公共配套设施</v>
      </c>
      <c r="R23" s="664" t="s">
        <v>14</v>
      </c>
      <c r="S23" s="665">
        <f>F23</f>
        <v>100</v>
      </c>
      <c r="T23" s="664" t="s">
        <v>14</v>
      </c>
      <c r="U23" s="665">
        <f>H23</f>
        <v>100</v>
      </c>
      <c r="V23" s="664" t="s">
        <v>14</v>
      </c>
      <c r="W23" s="665">
        <f>J23</f>
        <v>100</v>
      </c>
      <c r="X23" s="666"/>
      <c r="Y23" s="343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34"/>
      <c r="Q24" s="530"/>
      <c r="R24" s="664"/>
      <c r="S24" s="665"/>
      <c r="T24" s="664"/>
      <c r="U24" s="665"/>
      <c r="V24" s="664"/>
      <c r="W24" s="665"/>
      <c r="X24" s="666"/>
      <c r="Y24" s="343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4"/>
      <c r="Q25" s="530" t="str">
        <f t="shared" ref="Q25" si="9">B25</f>
        <v>基础设施水平</v>
      </c>
      <c r="R25" s="664" t="s">
        <v>14</v>
      </c>
      <c r="S25" s="665">
        <f>F25</f>
        <v>100</v>
      </c>
      <c r="T25" s="664" t="s">
        <v>14</v>
      </c>
      <c r="U25" s="665">
        <f>H25</f>
        <v>100</v>
      </c>
      <c r="V25" s="664" t="s">
        <v>14</v>
      </c>
      <c r="W25" s="665">
        <f>J25</f>
        <v>100</v>
      </c>
      <c r="X25" s="666"/>
      <c r="Y25" s="343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34"/>
      <c r="Q26" s="530"/>
      <c r="R26" s="664"/>
      <c r="S26" s="665"/>
      <c r="T26" s="664"/>
      <c r="U26" s="665"/>
      <c r="V26" s="664"/>
      <c r="W26" s="665"/>
      <c r="X26" s="666"/>
      <c r="Y26" s="343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4"/>
      <c r="Q28" s="1263" t="str">
        <f t="shared" si="8"/>
        <v>毗邻道路的类型与等级</v>
      </c>
      <c r="R28" s="667" t="s">
        <v>14</v>
      </c>
      <c r="S28" s="668">
        <f t="shared" si="10"/>
        <v>100</v>
      </c>
      <c r="T28" s="667" t="s">
        <v>14</v>
      </c>
      <c r="U28" s="668">
        <f t="shared" si="11"/>
        <v>100</v>
      </c>
      <c r="V28" s="667" t="s">
        <v>14</v>
      </c>
      <c r="W28" s="668">
        <f t="shared" si="12"/>
        <v>100</v>
      </c>
      <c r="X28" s="1265"/>
      <c r="Y28" s="343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34"/>
      <c r="Q29" s="1263"/>
      <c r="R29" s="667"/>
      <c r="S29" s="668"/>
      <c r="T29" s="667"/>
      <c r="U29" s="668"/>
      <c r="V29" s="667"/>
      <c r="W29" s="668"/>
      <c r="X29" s="1265"/>
      <c r="Y29" s="343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4"/>
      <c r="Q30" s="1263" t="str">
        <f t="shared" si="8"/>
        <v>土地级别</v>
      </c>
      <c r="R30" s="667" t="s">
        <v>14</v>
      </c>
      <c r="S30" s="668">
        <f t="shared" si="10"/>
        <v>100</v>
      </c>
      <c r="T30" s="667" t="s">
        <v>14</v>
      </c>
      <c r="U30" s="668">
        <f t="shared" si="11"/>
        <v>100</v>
      </c>
      <c r="V30" s="667" t="s">
        <v>14</v>
      </c>
      <c r="W30" s="668">
        <f t="shared" si="12"/>
        <v>100</v>
      </c>
      <c r="X30" s="1265"/>
      <c r="Y30" s="343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4"/>
      <c r="Q31" s="1263">
        <f t="shared" si="8"/>
        <v>111</v>
      </c>
      <c r="R31" s="667" t="s">
        <v>14</v>
      </c>
      <c r="S31" s="668">
        <f t="shared" si="10"/>
        <v>100</v>
      </c>
      <c r="T31" s="667" t="s">
        <v>14</v>
      </c>
      <c r="U31" s="668">
        <f t="shared" si="11"/>
        <v>100</v>
      </c>
      <c r="V31" s="667" t="s">
        <v>14</v>
      </c>
      <c r="W31" s="668">
        <f t="shared" si="12"/>
        <v>100</v>
      </c>
      <c r="X31" s="1265"/>
      <c r="Y31" s="343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7" t="s">
        <v>1696</v>
      </c>
      <c r="Q32" s="1263">
        <f t="shared" si="8"/>
        <v>111</v>
      </c>
      <c r="R32" s="667" t="s">
        <v>14</v>
      </c>
      <c r="S32" s="668">
        <f t="shared" si="10"/>
        <v>100</v>
      </c>
      <c r="T32" s="667" t="s">
        <v>14</v>
      </c>
      <c r="U32" s="668">
        <f t="shared" si="11"/>
        <v>100</v>
      </c>
      <c r="V32" s="667" t="s">
        <v>14</v>
      </c>
      <c r="W32" s="668">
        <f t="shared" si="12"/>
        <v>100</v>
      </c>
      <c r="X32" s="1265"/>
      <c r="Y32" s="343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8"/>
      <c r="Q33" s="1263">
        <f t="shared" si="8"/>
        <v>111</v>
      </c>
      <c r="R33" s="669" t="s">
        <v>14</v>
      </c>
      <c r="S33" s="670">
        <f t="shared" si="10"/>
        <v>100</v>
      </c>
      <c r="T33" s="669" t="s">
        <v>14</v>
      </c>
      <c r="U33" s="670">
        <f t="shared" si="11"/>
        <v>100</v>
      </c>
      <c r="V33" s="669" t="s">
        <v>14</v>
      </c>
      <c r="W33" s="670">
        <f t="shared" si="12"/>
        <v>100</v>
      </c>
      <c r="X33" s="671"/>
      <c r="Y33" s="343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8"/>
      <c r="Q34" s="1263" t="str">
        <f>B34</f>
        <v>宗地面积</v>
      </c>
      <c r="R34" s="667" t="s">
        <v>14</v>
      </c>
      <c r="S34" s="668" t="e">
        <f t="shared" si="10"/>
        <v>#N/A</v>
      </c>
      <c r="T34" s="667" t="s">
        <v>14</v>
      </c>
      <c r="U34" s="668" t="e">
        <f t="shared" si="11"/>
        <v>#N/A</v>
      </c>
      <c r="V34" s="667" t="s">
        <v>14</v>
      </c>
      <c r="W34" s="668" t="e">
        <f t="shared" si="12"/>
        <v>#N/A</v>
      </c>
      <c r="X34" s="1265"/>
      <c r="Y34" s="343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38"/>
      <c r="Q35" s="1263" t="str">
        <f t="shared" ref="Q35:Q40" si="14">B35</f>
        <v>宗地形状</v>
      </c>
      <c r="R35" s="667" t="s">
        <v>14</v>
      </c>
      <c r="S35" s="668">
        <f t="shared" si="10"/>
        <v>100</v>
      </c>
      <c r="T35" s="667" t="s">
        <v>14</v>
      </c>
      <c r="U35" s="668">
        <f t="shared" si="11"/>
        <v>100</v>
      </c>
      <c r="V35" s="667" t="s">
        <v>14</v>
      </c>
      <c r="W35" s="668">
        <f t="shared" si="12"/>
        <v>100</v>
      </c>
      <c r="X35" s="1265"/>
      <c r="Y35" s="343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38"/>
      <c r="Q36" s="1263" t="str">
        <f t="shared" si="14"/>
        <v>宗地开发程度</v>
      </c>
      <c r="R36" s="664" t="s">
        <v>14</v>
      </c>
      <c r="S36" s="665">
        <f t="shared" si="10"/>
        <v>100</v>
      </c>
      <c r="T36" s="664" t="s">
        <v>14</v>
      </c>
      <c r="U36" s="665">
        <f t="shared" si="11"/>
        <v>100</v>
      </c>
      <c r="V36" s="664" t="s">
        <v>14</v>
      </c>
      <c r="W36" s="665">
        <f t="shared" si="12"/>
        <v>100</v>
      </c>
      <c r="X36" s="666"/>
      <c r="Y36" s="343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38" t="s">
        <v>1696</v>
      </c>
      <c r="Q37" s="1263" t="str">
        <f t="shared" si="14"/>
        <v>工程地质条件</v>
      </c>
      <c r="R37" s="667" t="s">
        <v>14</v>
      </c>
      <c r="S37" s="668">
        <f t="shared" si="10"/>
        <v>100</v>
      </c>
      <c r="T37" s="667" t="s">
        <v>14</v>
      </c>
      <c r="U37" s="668">
        <f t="shared" si="11"/>
        <v>100</v>
      </c>
      <c r="V37" s="667" t="s">
        <v>14</v>
      </c>
      <c r="W37" s="668">
        <f t="shared" si="12"/>
        <v>100</v>
      </c>
      <c r="X37" s="1265"/>
      <c r="Y37" s="343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8"/>
      <c r="Q38" s="1263">
        <f t="shared" si="14"/>
        <v>111</v>
      </c>
      <c r="R38" s="667" t="s">
        <v>14</v>
      </c>
      <c r="S38" s="668">
        <f t="shared" si="10"/>
        <v>100</v>
      </c>
      <c r="T38" s="667" t="s">
        <v>14</v>
      </c>
      <c r="U38" s="668">
        <f t="shared" si="11"/>
        <v>100</v>
      </c>
      <c r="V38" s="667" t="s">
        <v>14</v>
      </c>
      <c r="W38" s="668">
        <f t="shared" si="12"/>
        <v>100</v>
      </c>
      <c r="X38" s="1265"/>
      <c r="Y38" s="343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8"/>
      <c r="Q39" s="1263">
        <f t="shared" si="14"/>
        <v>111</v>
      </c>
      <c r="R39" s="667" t="s">
        <v>14</v>
      </c>
      <c r="S39" s="668">
        <f t="shared" si="10"/>
        <v>100</v>
      </c>
      <c r="T39" s="667" t="s">
        <v>14</v>
      </c>
      <c r="U39" s="668">
        <f t="shared" si="11"/>
        <v>100</v>
      </c>
      <c r="V39" s="667" t="s">
        <v>14</v>
      </c>
      <c r="W39" s="668">
        <f t="shared" si="12"/>
        <v>100</v>
      </c>
      <c r="X39" s="1265"/>
      <c r="Y39" s="343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8"/>
      <c r="Q40" s="1263">
        <f t="shared" si="14"/>
        <v>111</v>
      </c>
      <c r="R40" s="669" t="s">
        <v>14</v>
      </c>
      <c r="S40" s="670">
        <f t="shared" si="10"/>
        <v>100</v>
      </c>
      <c r="T40" s="669" t="s">
        <v>14</v>
      </c>
      <c r="U40" s="670">
        <f t="shared" si="11"/>
        <v>100</v>
      </c>
      <c r="V40" s="669" t="s">
        <v>14</v>
      </c>
      <c r="W40" s="670">
        <f t="shared" si="12"/>
        <v>100</v>
      </c>
      <c r="X40" s="671"/>
      <c r="Y40" s="343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32" t="str">
        <f>A41</f>
        <v>成交单价</v>
      </c>
      <c r="Q41" s="3432"/>
      <c r="R41" s="3427">
        <f>E41</f>
        <v>0</v>
      </c>
      <c r="S41" s="3427"/>
      <c r="T41" s="3427">
        <f>G41</f>
        <v>0</v>
      </c>
      <c r="U41" s="3427"/>
      <c r="V41" s="3427">
        <f>I41</f>
        <v>0</v>
      </c>
      <c r="W41" s="342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32" t="str">
        <f>A42</f>
        <v>比较价值（元/平方米）</v>
      </c>
      <c r="Q42" s="3432"/>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29" t="str">
        <f>A43</f>
        <v>估价对象XX用房的比较价值（楼面单价，元/平方米）</v>
      </c>
      <c r="Q43" s="3430"/>
      <c r="R43" s="3460" t="e">
        <f>ROUND(IF(D42="简单平均",AVERAGE(R42:W42),R42*F42+T42*H42+V42*J42),0)</f>
        <v>#DIV/0!</v>
      </c>
      <c r="S43" s="3460"/>
      <c r="T43" s="3460"/>
      <c r="U43" s="3460"/>
      <c r="V43" s="3460"/>
      <c r="W43" s="346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15" t="s">
        <v>1887</v>
      </c>
      <c r="H50" s="346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476.94000000000005</v>
      </c>
      <c r="F51" s="611" t="e">
        <f t="shared" ref="F51:F60" si="15">ROUND(B51*E51/10000,0)</f>
        <v>#DIV/0!</v>
      </c>
      <c r="G51" s="3414"/>
      <c r="H51" s="343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0.7</v>
      </c>
      <c r="D52" s="891">
        <v>0.25</v>
      </c>
      <c r="E52" s="614"/>
      <c r="F52" s="611" t="e">
        <f t="shared" si="15"/>
        <v>#DIV/0!</v>
      </c>
      <c r="G52" s="2748" t="s">
        <v>1892</v>
      </c>
      <c r="H52" s="834" t="str">
        <f>项目基本情况!B37</f>
        <v>一级</v>
      </c>
      <c r="I52" s="727">
        <f>SUMIF(修正!A57:A68,H52,修正!B57:B68)</f>
        <v>0.7</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0.4</v>
      </c>
      <c r="D53" s="891">
        <v>0.25</v>
      </c>
      <c r="E53" s="614"/>
      <c r="F53" s="611" t="e">
        <f t="shared" si="15"/>
        <v>#DIV/0!</v>
      </c>
      <c r="G53" s="2749"/>
      <c r="H53" s="834" t="str">
        <f>项目基本情况!B37</f>
        <v>一级</v>
      </c>
      <c r="I53" s="727">
        <f>SUMIF(修正!A57:A68,H53,修正!C57:C68)</f>
        <v>0.4</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0.3</v>
      </c>
      <c r="D54" s="891">
        <v>0.25</v>
      </c>
      <c r="E54" s="614"/>
      <c r="F54" s="611" t="e">
        <f t="shared" si="15"/>
        <v>#DIV/0!</v>
      </c>
      <c r="G54" s="2749"/>
      <c r="H54" s="834" t="str">
        <f>项目基本情况!B37</f>
        <v>一级</v>
      </c>
      <c r="I54" s="727">
        <f>SUMIF(修正!A57:A68,H54,修正!D57:D68)</f>
        <v>0.3</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54.66</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9" t="s">
        <v>2084</v>
      </c>
      <c r="D1" s="3470"/>
      <c r="E1" s="3470"/>
      <c r="F1" s="3470"/>
      <c r="G1" s="3470"/>
      <c r="H1" s="3470"/>
      <c r="I1" s="3470"/>
      <c r="J1" s="3470"/>
      <c r="K1" s="3470"/>
      <c r="L1" s="3470"/>
      <c r="M1" s="3470"/>
      <c r="N1" s="3470"/>
      <c r="O1" s="3470"/>
      <c r="P1" s="3470"/>
      <c r="Q1" s="3470"/>
      <c r="R1" s="3470"/>
      <c r="S1" s="347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0</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79" t="s">
        <v>2603</v>
      </c>
      <c r="B20" s="3472" t="s">
        <v>2624</v>
      </c>
      <c r="C20" s="2840" t="s">
        <v>2435</v>
      </c>
      <c r="D20" s="2841"/>
      <c r="E20" s="2842">
        <v>1</v>
      </c>
      <c r="F20" s="2843" t="s">
        <v>2436</v>
      </c>
      <c r="G20" s="2843"/>
    </row>
    <row r="21" spans="1:13" ht="19.5" customHeight="1">
      <c r="A21" s="3480"/>
      <c r="B21" s="3473"/>
      <c r="C21" s="2844" t="s">
        <v>2437</v>
      </c>
      <c r="D21" s="2845"/>
      <c r="E21" s="2846">
        <v>1</v>
      </c>
      <c r="F21" s="2843" t="s">
        <v>2438</v>
      </c>
      <c r="G21" s="2843"/>
    </row>
    <row r="22" spans="1:13" ht="19.5" customHeight="1">
      <c r="A22" s="3480"/>
      <c r="B22" s="3473"/>
      <c r="C22" s="2844" t="s">
        <v>2439</v>
      </c>
      <c r="D22" s="2845"/>
      <c r="E22" s="2846">
        <v>0.9</v>
      </c>
      <c r="F22" s="2843" t="s">
        <v>2440</v>
      </c>
      <c r="G22" s="2843"/>
    </row>
    <row r="23" spans="1:13" ht="19.5" customHeight="1">
      <c r="A23" s="3480"/>
      <c r="B23" s="3473"/>
      <c r="C23" s="2844" t="s">
        <v>2441</v>
      </c>
      <c r="D23" s="2845"/>
      <c r="E23" s="2846">
        <v>0.9</v>
      </c>
      <c r="F23" s="2843" t="s">
        <v>2442</v>
      </c>
      <c r="G23" s="2843"/>
    </row>
    <row r="24" spans="1:13" ht="19.5" customHeight="1">
      <c r="A24" s="3480"/>
      <c r="B24" s="3473"/>
      <c r="C24" s="2844" t="s">
        <v>2443</v>
      </c>
      <c r="D24" s="2845"/>
      <c r="E24" s="2846">
        <v>0.8</v>
      </c>
      <c r="F24" s="2843" t="s">
        <v>2444</v>
      </c>
      <c r="G24" s="2843"/>
    </row>
    <row r="25" spans="1:13" ht="19.5" customHeight="1" thickBot="1">
      <c r="A25" s="3481"/>
      <c r="B25" s="3474"/>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475" t="s">
        <v>2627</v>
      </c>
      <c r="B27" s="3472" t="s">
        <v>2608</v>
      </c>
      <c r="C27" s="2840" t="s">
        <v>2448</v>
      </c>
      <c r="D27" s="2841"/>
      <c r="E27" s="2842">
        <v>1</v>
      </c>
      <c r="F27" s="2843" t="s">
        <v>2449</v>
      </c>
      <c r="G27" s="2843"/>
    </row>
    <row r="28" spans="1:13" ht="19.5" customHeight="1">
      <c r="A28" s="3476"/>
      <c r="B28" s="3473"/>
      <c r="C28" s="2844" t="s">
        <v>2450</v>
      </c>
      <c r="D28" s="2845"/>
      <c r="E28" s="2846">
        <v>1</v>
      </c>
      <c r="F28" s="2843" t="s">
        <v>2451</v>
      </c>
      <c r="G28" s="2843"/>
    </row>
    <row r="29" spans="1:13" ht="19.5" customHeight="1">
      <c r="A29" s="3476"/>
      <c r="B29" s="3473"/>
      <c r="C29" s="2844" t="s">
        <v>2452</v>
      </c>
      <c r="D29" s="2845"/>
      <c r="E29" s="2846">
        <v>0.8</v>
      </c>
      <c r="F29" s="2843" t="s">
        <v>2453</v>
      </c>
      <c r="G29" s="2843"/>
    </row>
    <row r="30" spans="1:13" ht="19.5" customHeight="1">
      <c r="A30" s="3476"/>
      <c r="B30" s="3473"/>
      <c r="C30" s="2844" t="s">
        <v>2454</v>
      </c>
      <c r="D30" s="2845"/>
      <c r="E30" s="2846">
        <v>0.8</v>
      </c>
      <c r="F30" s="2843" t="s">
        <v>2455</v>
      </c>
      <c r="G30" s="2843"/>
    </row>
    <row r="31" spans="1:13" ht="19.5" customHeight="1">
      <c r="A31" s="3476"/>
      <c r="B31" s="3473"/>
      <c r="C31" s="2844" t="s">
        <v>2456</v>
      </c>
      <c r="D31" s="2845"/>
      <c r="E31" s="2846">
        <v>0.8</v>
      </c>
      <c r="F31" s="2843" t="s">
        <v>2457</v>
      </c>
      <c r="G31" s="2843"/>
    </row>
    <row r="32" spans="1:13" ht="19.5" customHeight="1">
      <c r="A32" s="3476"/>
      <c r="B32" s="3473"/>
      <c r="C32" s="2844" t="s">
        <v>2458</v>
      </c>
      <c r="D32" s="2845"/>
      <c r="E32" s="2846">
        <v>0.7</v>
      </c>
      <c r="F32" s="2843" t="s">
        <v>2459</v>
      </c>
      <c r="G32" s="2843"/>
    </row>
    <row r="33" spans="1:7" ht="19.5" customHeight="1">
      <c r="A33" s="3476"/>
      <c r="B33" s="3473"/>
      <c r="C33" s="2844" t="s">
        <v>2460</v>
      </c>
      <c r="D33" s="2845"/>
      <c r="E33" s="2846">
        <v>0.8</v>
      </c>
      <c r="F33" s="2843" t="s">
        <v>2461</v>
      </c>
      <c r="G33" s="2843"/>
    </row>
    <row r="34" spans="1:7" ht="19.5" customHeight="1">
      <c r="A34" s="3476"/>
      <c r="B34" s="3473"/>
      <c r="C34" s="2844" t="s">
        <v>2462</v>
      </c>
      <c r="D34" s="2845"/>
      <c r="E34" s="2846">
        <v>0.6</v>
      </c>
      <c r="F34" s="2843" t="s">
        <v>2463</v>
      </c>
      <c r="G34" s="2843"/>
    </row>
    <row r="35" spans="1:7" ht="19.5" customHeight="1">
      <c r="A35" s="3476"/>
      <c r="B35" s="3473"/>
      <c r="C35" s="2844" t="s">
        <v>2464</v>
      </c>
      <c r="D35" s="2845"/>
      <c r="E35" s="2846">
        <v>0.2</v>
      </c>
      <c r="F35" s="2843" t="s">
        <v>2465</v>
      </c>
      <c r="G35" s="2843"/>
    </row>
    <row r="36" spans="1:7" ht="19.5" customHeight="1">
      <c r="A36" s="3476"/>
      <c r="B36" s="3473"/>
      <c r="C36" s="2844" t="s">
        <v>2466</v>
      </c>
      <c r="D36" s="2845"/>
      <c r="E36" s="2846">
        <v>0.2</v>
      </c>
      <c r="F36" s="2843" t="s">
        <v>2467</v>
      </c>
      <c r="G36" s="2843"/>
    </row>
    <row r="37" spans="1:7" ht="19.5" customHeight="1">
      <c r="A37" s="3476"/>
      <c r="B37" s="3478" t="s">
        <v>2628</v>
      </c>
      <c r="C37" s="2844" t="s">
        <v>2468</v>
      </c>
      <c r="D37" s="2845"/>
      <c r="E37" s="2846">
        <v>0.6</v>
      </c>
      <c r="F37" s="2843" t="s">
        <v>2469</v>
      </c>
      <c r="G37" s="2843"/>
    </row>
    <row r="38" spans="1:7" ht="19.5" customHeight="1">
      <c r="A38" s="3476"/>
      <c r="B38" s="3473"/>
      <c r="C38" s="2844" t="s">
        <v>2470</v>
      </c>
      <c r="D38" s="2845"/>
      <c r="E38" s="2846">
        <v>0.6</v>
      </c>
      <c r="F38" s="2843" t="s">
        <v>2471</v>
      </c>
      <c r="G38" s="2843"/>
    </row>
    <row r="39" spans="1:7" ht="19.5" customHeight="1" thickBot="1">
      <c r="A39" s="3477"/>
      <c r="B39" s="3474"/>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479" t="s">
        <v>2606</v>
      </c>
      <c r="B41" s="3472" t="s">
        <v>2630</v>
      </c>
      <c r="C41" s="2840" t="s">
        <v>2475</v>
      </c>
      <c r="D41" s="2841"/>
      <c r="E41" s="2842">
        <v>1</v>
      </c>
      <c r="F41" s="2843" t="s">
        <v>2476</v>
      </c>
      <c r="G41" s="2843"/>
    </row>
    <row r="42" spans="1:7" ht="19.5" customHeight="1">
      <c r="A42" s="3480"/>
      <c r="B42" s="3473"/>
      <c r="C42" s="2844" t="s">
        <v>2477</v>
      </c>
      <c r="D42" s="2845"/>
      <c r="E42" s="2846">
        <v>1</v>
      </c>
      <c r="F42" s="2843" t="s">
        <v>2478</v>
      </c>
      <c r="G42" s="2843"/>
    </row>
    <row r="43" spans="1:7" ht="19.5" customHeight="1">
      <c r="A43" s="3480"/>
      <c r="B43" s="3482"/>
      <c r="C43" s="2844" t="s">
        <v>2479</v>
      </c>
      <c r="D43" s="2845"/>
      <c r="E43" s="2846">
        <v>1.5</v>
      </c>
      <c r="F43" s="2843" t="s">
        <v>2480</v>
      </c>
      <c r="G43" s="2843"/>
    </row>
    <row r="44" spans="1:7" ht="19.5" customHeight="1">
      <c r="A44" s="3480"/>
      <c r="B44" s="2855" t="s">
        <v>2631</v>
      </c>
      <c r="C44" s="2844" t="s">
        <v>2632</v>
      </c>
      <c r="D44" s="2845"/>
      <c r="E44" s="2846">
        <v>2</v>
      </c>
      <c r="F44" s="2843" t="s">
        <v>2481</v>
      </c>
      <c r="G44" s="2843"/>
    </row>
    <row r="45" spans="1:7" ht="19.5" customHeight="1">
      <c r="A45" s="3480"/>
      <c r="B45" s="3478" t="s">
        <v>2633</v>
      </c>
      <c r="C45" s="2844" t="s">
        <v>2482</v>
      </c>
      <c r="D45" s="2845"/>
      <c r="E45" s="2846">
        <v>1</v>
      </c>
      <c r="F45" s="2843" t="s">
        <v>2483</v>
      </c>
      <c r="G45" s="2843"/>
    </row>
    <row r="46" spans="1:7" ht="19.5" customHeight="1">
      <c r="A46" s="3480"/>
      <c r="B46" s="3473"/>
      <c r="C46" s="2844" t="s">
        <v>2484</v>
      </c>
      <c r="D46" s="2845"/>
      <c r="E46" s="2846">
        <v>1</v>
      </c>
      <c r="F46" s="2843" t="s">
        <v>2485</v>
      </c>
      <c r="G46" s="2843"/>
    </row>
    <row r="47" spans="1:7" ht="19.5" customHeight="1">
      <c r="A47" s="3480"/>
      <c r="B47" s="3473"/>
      <c r="C47" s="2844" t="s">
        <v>2486</v>
      </c>
      <c r="D47" s="2845"/>
      <c r="E47" s="2846">
        <v>1</v>
      </c>
      <c r="F47" s="2843" t="s">
        <v>2487</v>
      </c>
      <c r="G47" s="2843"/>
    </row>
    <row r="48" spans="1:7" ht="19.5" customHeight="1">
      <c r="A48" s="3480"/>
      <c r="B48" s="3473"/>
      <c r="C48" s="2844" t="s">
        <v>2488</v>
      </c>
      <c r="D48" s="2845"/>
      <c r="E48" s="2846">
        <v>1</v>
      </c>
      <c r="F48" s="2843" t="s">
        <v>2489</v>
      </c>
      <c r="G48" s="2843"/>
    </row>
    <row r="49" spans="1:7" ht="19.5" customHeight="1">
      <c r="A49" s="3480"/>
      <c r="B49" s="3473"/>
      <c r="C49" s="2844" t="s">
        <v>2490</v>
      </c>
      <c r="D49" s="2845"/>
      <c r="E49" s="2846">
        <v>1</v>
      </c>
      <c r="F49" s="2843" t="s">
        <v>2491</v>
      </c>
      <c r="G49" s="2843"/>
    </row>
    <row r="50" spans="1:7" ht="19.5" customHeight="1">
      <c r="A50" s="3480"/>
      <c r="B50" s="3473"/>
      <c r="C50" s="2844" t="s">
        <v>2492</v>
      </c>
      <c r="D50" s="2845"/>
      <c r="E50" s="2846">
        <v>1</v>
      </c>
      <c r="F50" s="2843" t="s">
        <v>2493</v>
      </c>
      <c r="G50" s="2843"/>
    </row>
    <row r="51" spans="1:7" ht="19.5" customHeight="1" thickBot="1">
      <c r="A51" s="3481"/>
      <c r="B51" s="3474"/>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478" t="s">
        <v>2647</v>
      </c>
      <c r="C73" s="2829" t="s">
        <v>2648</v>
      </c>
      <c r="D73" s="2829" t="s">
        <v>2649</v>
      </c>
      <c r="E73" s="2855">
        <v>0.2</v>
      </c>
      <c r="F73" s="2855">
        <v>25</v>
      </c>
    </row>
    <row r="74" spans="1:7" ht="24">
      <c r="A74" s="2855">
        <v>2</v>
      </c>
      <c r="B74" s="3473"/>
      <c r="C74" s="2829" t="s">
        <v>2650</v>
      </c>
      <c r="D74" s="2829" t="s">
        <v>2651</v>
      </c>
      <c r="E74" s="2855">
        <v>0.2</v>
      </c>
      <c r="F74" s="2855">
        <v>25</v>
      </c>
    </row>
    <row r="75" spans="1:7" ht="24">
      <c r="A75" s="2855">
        <v>3</v>
      </c>
      <c r="B75" s="3473"/>
      <c r="C75" s="2829" t="s">
        <v>2652</v>
      </c>
      <c r="D75" s="2829" t="s">
        <v>2653</v>
      </c>
      <c r="E75" s="2855">
        <v>0.2</v>
      </c>
      <c r="F75" s="2855">
        <v>25</v>
      </c>
    </row>
    <row r="76" spans="1:7" ht="14.4">
      <c r="A76" s="2855">
        <v>4</v>
      </c>
      <c r="B76" s="3473"/>
      <c r="C76" s="2829" t="s">
        <v>2654</v>
      </c>
      <c r="D76" s="2829" t="s">
        <v>2655</v>
      </c>
      <c r="E76" s="2855">
        <v>0.15</v>
      </c>
      <c r="F76" s="2855">
        <v>20</v>
      </c>
    </row>
    <row r="77" spans="1:7" ht="24">
      <c r="A77" s="2855">
        <v>5</v>
      </c>
      <c r="B77" s="3473"/>
      <c r="C77" s="2829" t="s">
        <v>2656</v>
      </c>
      <c r="D77" s="2829" t="s">
        <v>2657</v>
      </c>
      <c r="E77" s="2855">
        <v>0.15</v>
      </c>
      <c r="F77" s="2855">
        <v>20</v>
      </c>
    </row>
    <row r="78" spans="1:7" ht="24">
      <c r="A78" s="2855">
        <v>6</v>
      </c>
      <c r="B78" s="3473"/>
      <c r="C78" s="2829" t="s">
        <v>2658</v>
      </c>
      <c r="D78" s="2829" t="s">
        <v>2659</v>
      </c>
      <c r="E78" s="2855">
        <v>0.15</v>
      </c>
      <c r="F78" s="2855">
        <v>20</v>
      </c>
    </row>
    <row r="79" spans="1:7" ht="24">
      <c r="A79" s="2855">
        <v>7</v>
      </c>
      <c r="B79" s="3473"/>
      <c r="C79" s="2829" t="s">
        <v>2660</v>
      </c>
      <c r="D79" s="2829" t="s">
        <v>2661</v>
      </c>
      <c r="E79" s="2855">
        <v>0.15</v>
      </c>
      <c r="F79" s="2855">
        <v>20</v>
      </c>
    </row>
    <row r="80" spans="1:7" ht="24">
      <c r="A80" s="2855">
        <v>8</v>
      </c>
      <c r="B80" s="3473"/>
      <c r="C80" s="2829" t="s">
        <v>2662</v>
      </c>
      <c r="D80" s="2829" t="s">
        <v>2663</v>
      </c>
      <c r="E80" s="2855">
        <v>0.1</v>
      </c>
      <c r="F80" s="2855">
        <v>15</v>
      </c>
    </row>
    <row r="81" spans="1:6" ht="24">
      <c r="A81" s="2855">
        <v>9</v>
      </c>
      <c r="B81" s="3473"/>
      <c r="C81" s="2829" t="s">
        <v>2664</v>
      </c>
      <c r="D81" s="2829" t="s">
        <v>2665</v>
      </c>
      <c r="E81" s="2855">
        <v>0.1</v>
      </c>
      <c r="F81" s="2855">
        <v>15</v>
      </c>
    </row>
    <row r="82" spans="1:6" ht="24">
      <c r="A82" s="2855">
        <v>10</v>
      </c>
      <c r="B82" s="3473"/>
      <c r="C82" s="2829" t="s">
        <v>2666</v>
      </c>
      <c r="D82" s="2829" t="s">
        <v>2667</v>
      </c>
      <c r="E82" s="2855">
        <v>0.1</v>
      </c>
      <c r="F82" s="2855">
        <v>15</v>
      </c>
    </row>
    <row r="83" spans="1:6" ht="24">
      <c r="A83" s="2855">
        <v>11</v>
      </c>
      <c r="B83" s="3473"/>
      <c r="C83" s="2829" t="s">
        <v>2668</v>
      </c>
      <c r="D83" s="2829" t="s">
        <v>2669</v>
      </c>
      <c r="E83" s="2855">
        <v>0.1</v>
      </c>
      <c r="F83" s="2855">
        <v>15</v>
      </c>
    </row>
    <row r="84" spans="1:6" ht="24">
      <c r="A84" s="2855">
        <v>12</v>
      </c>
      <c r="B84" s="3473"/>
      <c r="C84" s="2829" t="s">
        <v>2670</v>
      </c>
      <c r="D84" s="2829" t="s">
        <v>2671</v>
      </c>
      <c r="E84" s="2855">
        <v>0.1</v>
      </c>
      <c r="F84" s="2855">
        <v>15</v>
      </c>
    </row>
    <row r="85" spans="1:6" ht="24">
      <c r="A85" s="2855">
        <v>13</v>
      </c>
      <c r="B85" s="3473"/>
      <c r="C85" s="2829" t="s">
        <v>2672</v>
      </c>
      <c r="D85" s="2829" t="s">
        <v>2673</v>
      </c>
      <c r="E85" s="2855">
        <v>0.1</v>
      </c>
      <c r="F85" s="2855">
        <v>15</v>
      </c>
    </row>
    <row r="86" spans="1:6" ht="24">
      <c r="A86" s="2855">
        <v>14</v>
      </c>
      <c r="B86" s="3473"/>
      <c r="C86" s="2829" t="s">
        <v>2674</v>
      </c>
      <c r="D86" s="2829" t="s">
        <v>2675</v>
      </c>
      <c r="E86" s="2855">
        <v>0.1</v>
      </c>
      <c r="F86" s="2855">
        <v>15</v>
      </c>
    </row>
    <row r="87" spans="1:6" ht="24">
      <c r="A87" s="2855">
        <v>15</v>
      </c>
      <c r="B87" s="3473"/>
      <c r="C87" s="2829" t="s">
        <v>2676</v>
      </c>
      <c r="D87" s="2829" t="s">
        <v>2677</v>
      </c>
      <c r="E87" s="2855">
        <v>0.1</v>
      </c>
      <c r="F87" s="2855">
        <v>15</v>
      </c>
    </row>
    <row r="88" spans="1:6" ht="24">
      <c r="A88" s="2855">
        <v>16</v>
      </c>
      <c r="B88" s="3473"/>
      <c r="C88" s="2829" t="s">
        <v>2678</v>
      </c>
      <c r="D88" s="2829" t="s">
        <v>2679</v>
      </c>
      <c r="E88" s="2855">
        <v>0.1</v>
      </c>
      <c r="F88" s="2855">
        <v>15</v>
      </c>
    </row>
    <row r="89" spans="1:6" ht="24">
      <c r="A89" s="2855">
        <v>17</v>
      </c>
      <c r="B89" s="3482"/>
      <c r="C89" s="2829" t="s">
        <v>2680</v>
      </c>
      <c r="D89" s="2829" t="s">
        <v>2681</v>
      </c>
      <c r="E89" s="2855">
        <v>0.1</v>
      </c>
      <c r="F89" s="2855">
        <v>15</v>
      </c>
    </row>
    <row r="90" spans="1:6" ht="14.4">
      <c r="A90" s="2855">
        <v>18</v>
      </c>
      <c r="B90" s="3478" t="s">
        <v>2682</v>
      </c>
      <c r="C90" s="2829" t="s">
        <v>2683</v>
      </c>
      <c r="D90" s="2829" t="s">
        <v>2684</v>
      </c>
      <c r="E90" s="2855">
        <v>0.2</v>
      </c>
      <c r="F90" s="2855">
        <v>25</v>
      </c>
    </row>
    <row r="91" spans="1:6" ht="24">
      <c r="A91" s="2855">
        <v>19</v>
      </c>
      <c r="B91" s="3473"/>
      <c r="C91" s="2829" t="s">
        <v>2685</v>
      </c>
      <c r="D91" s="2829" t="s">
        <v>2686</v>
      </c>
      <c r="E91" s="2855">
        <v>0.2</v>
      </c>
      <c r="F91" s="2855">
        <v>25</v>
      </c>
    </row>
    <row r="92" spans="1:6" ht="14.4">
      <c r="A92" s="2855">
        <v>20</v>
      </c>
      <c r="B92" s="3473"/>
      <c r="C92" s="2829" t="s">
        <v>2687</v>
      </c>
      <c r="D92" s="2829" t="s">
        <v>2688</v>
      </c>
      <c r="E92" s="2855">
        <v>0.15</v>
      </c>
      <c r="F92" s="2855">
        <v>20</v>
      </c>
    </row>
    <row r="93" spans="1:6" ht="24">
      <c r="A93" s="2855">
        <v>21</v>
      </c>
      <c r="B93" s="3473"/>
      <c r="C93" s="2829" t="s">
        <v>2689</v>
      </c>
      <c r="D93" s="2829" t="s">
        <v>2690</v>
      </c>
      <c r="E93" s="2855">
        <v>0.15</v>
      </c>
      <c r="F93" s="2855">
        <v>20</v>
      </c>
    </row>
    <row r="94" spans="1:6" ht="24">
      <c r="A94" s="2855">
        <v>22</v>
      </c>
      <c r="B94" s="3473"/>
      <c r="C94" s="2829" t="s">
        <v>2691</v>
      </c>
      <c r="D94" s="2829" t="s">
        <v>2692</v>
      </c>
      <c r="E94" s="2855">
        <v>0.15</v>
      </c>
      <c r="F94" s="2855">
        <v>20</v>
      </c>
    </row>
    <row r="95" spans="1:6" ht="36">
      <c r="A95" s="2855">
        <v>23</v>
      </c>
      <c r="B95" s="3473"/>
      <c r="C95" s="2829" t="s">
        <v>2693</v>
      </c>
      <c r="D95" s="2829" t="s">
        <v>2694</v>
      </c>
      <c r="E95" s="2855">
        <v>0.15</v>
      </c>
      <c r="F95" s="2855">
        <v>20</v>
      </c>
    </row>
    <row r="96" spans="1:6" ht="24">
      <c r="A96" s="2855">
        <v>24</v>
      </c>
      <c r="B96" s="3473"/>
      <c r="C96" s="2829" t="s">
        <v>2695</v>
      </c>
      <c r="D96" s="2829" t="s">
        <v>2696</v>
      </c>
      <c r="E96" s="2855">
        <v>0.1</v>
      </c>
      <c r="F96" s="2855">
        <v>15</v>
      </c>
    </row>
    <row r="97" spans="1:6" ht="24">
      <c r="A97" s="2855">
        <v>25</v>
      </c>
      <c r="B97" s="3473"/>
      <c r="C97" s="2829" t="s">
        <v>2697</v>
      </c>
      <c r="D97" s="2829" t="s">
        <v>2698</v>
      </c>
      <c r="E97" s="2855">
        <v>0.1</v>
      </c>
      <c r="F97" s="2855">
        <v>15</v>
      </c>
    </row>
    <row r="98" spans="1:6" ht="24">
      <c r="A98" s="2855">
        <v>26</v>
      </c>
      <c r="B98" s="3473"/>
      <c r="C98" s="2829" t="s">
        <v>2699</v>
      </c>
      <c r="D98" s="2829" t="s">
        <v>2700</v>
      </c>
      <c r="E98" s="2855">
        <v>0.1</v>
      </c>
      <c r="F98" s="2855">
        <v>15</v>
      </c>
    </row>
    <row r="99" spans="1:6" ht="24">
      <c r="A99" s="2855">
        <v>27</v>
      </c>
      <c r="B99" s="3473"/>
      <c r="C99" s="2829" t="s">
        <v>2701</v>
      </c>
      <c r="D99" s="2829" t="s">
        <v>2702</v>
      </c>
      <c r="E99" s="2855">
        <v>0.1</v>
      </c>
      <c r="F99" s="2855">
        <v>15</v>
      </c>
    </row>
    <row r="100" spans="1:6" ht="24">
      <c r="A100" s="2855">
        <v>28</v>
      </c>
      <c r="B100" s="3473"/>
      <c r="C100" s="2829" t="s">
        <v>2703</v>
      </c>
      <c r="D100" s="2829" t="s">
        <v>2704</v>
      </c>
      <c r="E100" s="2855">
        <v>0.1</v>
      </c>
      <c r="F100" s="2855">
        <v>15</v>
      </c>
    </row>
    <row r="101" spans="1:6" ht="24">
      <c r="A101" s="2855">
        <v>29</v>
      </c>
      <c r="B101" s="3473"/>
      <c r="C101" s="2829" t="s">
        <v>2705</v>
      </c>
      <c r="D101" s="2829" t="s">
        <v>2706</v>
      </c>
      <c r="E101" s="2855">
        <v>0.1</v>
      </c>
      <c r="F101" s="2855">
        <v>15</v>
      </c>
    </row>
    <row r="102" spans="1:6" ht="24">
      <c r="A102" s="2855">
        <v>30</v>
      </c>
      <c r="B102" s="3473"/>
      <c r="C102" s="2829" t="s">
        <v>2707</v>
      </c>
      <c r="D102" s="2829" t="s">
        <v>2708</v>
      </c>
      <c r="E102" s="2855">
        <v>0.1</v>
      </c>
      <c r="F102" s="2855">
        <v>15</v>
      </c>
    </row>
    <row r="103" spans="1:6" ht="24">
      <c r="A103" s="2855">
        <v>31</v>
      </c>
      <c r="B103" s="3473"/>
      <c r="C103" s="2829" t="s">
        <v>2709</v>
      </c>
      <c r="D103" s="2829" t="s">
        <v>2710</v>
      </c>
      <c r="E103" s="2855">
        <v>0.1</v>
      </c>
      <c r="F103" s="2855">
        <v>15</v>
      </c>
    </row>
    <row r="104" spans="1:6" ht="24">
      <c r="A104" s="2855">
        <v>32</v>
      </c>
      <c r="B104" s="3473"/>
      <c r="C104" s="2829" t="s">
        <v>2711</v>
      </c>
      <c r="D104" s="2829" t="s">
        <v>2712</v>
      </c>
      <c r="E104" s="2855">
        <v>0.1</v>
      </c>
      <c r="F104" s="2855">
        <v>15</v>
      </c>
    </row>
    <row r="105" spans="1:6" ht="24">
      <c r="A105" s="2855">
        <v>33</v>
      </c>
      <c r="B105" s="3473"/>
      <c r="C105" s="2829" t="s">
        <v>2713</v>
      </c>
      <c r="D105" s="2829" t="s">
        <v>2714</v>
      </c>
      <c r="E105" s="2855">
        <v>0.1</v>
      </c>
      <c r="F105" s="2855">
        <v>15</v>
      </c>
    </row>
    <row r="106" spans="1:6" ht="24">
      <c r="A106" s="2855">
        <v>34</v>
      </c>
      <c r="B106" s="3482"/>
      <c r="C106" s="2829" t="s">
        <v>2715</v>
      </c>
      <c r="D106" s="2829" t="s">
        <v>2716</v>
      </c>
      <c r="E106" s="2855">
        <v>0.1</v>
      </c>
      <c r="F106" s="2855">
        <v>15</v>
      </c>
    </row>
    <row r="107" spans="1:6" ht="36">
      <c r="A107" s="2855">
        <v>35</v>
      </c>
      <c r="B107" s="3478" t="s">
        <v>2717</v>
      </c>
      <c r="C107" s="2855" t="s">
        <v>2718</v>
      </c>
      <c r="D107" s="2829" t="s">
        <v>2719</v>
      </c>
      <c r="E107" s="2855">
        <v>0.15</v>
      </c>
      <c r="F107" s="2855">
        <v>20</v>
      </c>
    </row>
    <row r="108" spans="1:6" ht="24">
      <c r="A108" s="2855">
        <v>36</v>
      </c>
      <c r="B108" s="3473"/>
      <c r="C108" s="2855" t="s">
        <v>2720</v>
      </c>
      <c r="D108" s="2829" t="s">
        <v>2721</v>
      </c>
      <c r="E108" s="2855">
        <v>0.15</v>
      </c>
      <c r="F108" s="2855">
        <v>20</v>
      </c>
    </row>
    <row r="109" spans="1:6" ht="24">
      <c r="A109" s="2855">
        <v>37</v>
      </c>
      <c r="B109" s="3473"/>
      <c r="C109" s="2855" t="s">
        <v>2722</v>
      </c>
      <c r="D109" s="2829" t="s">
        <v>2723</v>
      </c>
      <c r="E109" s="2855">
        <v>0.15</v>
      </c>
      <c r="F109" s="2855">
        <v>20</v>
      </c>
    </row>
    <row r="110" spans="1:6" ht="24">
      <c r="A110" s="2855">
        <v>38</v>
      </c>
      <c r="B110" s="3473"/>
      <c r="C110" s="2855" t="s">
        <v>2724</v>
      </c>
      <c r="D110" s="2829" t="s">
        <v>2725</v>
      </c>
      <c r="E110" s="2855">
        <v>0.1</v>
      </c>
      <c r="F110" s="2855">
        <v>15</v>
      </c>
    </row>
    <row r="111" spans="1:6" ht="24">
      <c r="A111" s="2855">
        <v>39</v>
      </c>
      <c r="B111" s="3473"/>
      <c r="C111" s="2855" t="s">
        <v>2726</v>
      </c>
      <c r="D111" s="2829" t="s">
        <v>2727</v>
      </c>
      <c r="E111" s="2855">
        <v>0.1</v>
      </c>
      <c r="F111" s="2855">
        <v>15</v>
      </c>
    </row>
    <row r="112" spans="1:6" ht="24">
      <c r="A112" s="2855">
        <v>40</v>
      </c>
      <c r="B112" s="3482"/>
      <c r="C112" s="2855" t="s">
        <v>2728</v>
      </c>
      <c r="D112" s="2829" t="s">
        <v>2729</v>
      </c>
      <c r="E112" s="2855">
        <v>0.1</v>
      </c>
      <c r="F112" s="2855">
        <v>15</v>
      </c>
    </row>
    <row r="113" spans="1:6" ht="24">
      <c r="A113" s="2855">
        <v>41</v>
      </c>
      <c r="B113" s="3483" t="s">
        <v>2730</v>
      </c>
      <c r="C113" s="2855" t="s">
        <v>2731</v>
      </c>
      <c r="D113" s="2829" t="s">
        <v>2732</v>
      </c>
      <c r="E113" s="2855">
        <v>0.1</v>
      </c>
      <c r="F113" s="2855">
        <v>15</v>
      </c>
    </row>
    <row r="114" spans="1:6" ht="24">
      <c r="A114" s="2855">
        <v>42</v>
      </c>
      <c r="B114" s="3483"/>
      <c r="C114" s="2855" t="s">
        <v>2733</v>
      </c>
      <c r="D114" s="2829" t="s">
        <v>2734</v>
      </c>
      <c r="E114" s="2855">
        <v>0.1</v>
      </c>
      <c r="F114" s="2855">
        <v>15</v>
      </c>
    </row>
    <row r="115" spans="1:6" ht="24">
      <c r="A115" s="2855">
        <v>43</v>
      </c>
      <c r="B115" s="3483"/>
      <c r="C115" s="2855" t="s">
        <v>2735</v>
      </c>
      <c r="D115" s="2829" t="s">
        <v>2736</v>
      </c>
      <c r="E115" s="2855">
        <v>0.1</v>
      </c>
      <c r="F115" s="2855">
        <v>15</v>
      </c>
    </row>
    <row r="116" spans="1:6" ht="24">
      <c r="A116" s="2855">
        <v>44</v>
      </c>
      <c r="B116" s="3478" t="s">
        <v>2737</v>
      </c>
      <c r="C116" s="2855" t="s">
        <v>2738</v>
      </c>
      <c r="D116" s="2829" t="s">
        <v>2739</v>
      </c>
      <c r="E116" s="2855">
        <v>0.1</v>
      </c>
      <c r="F116" s="2855">
        <v>15</v>
      </c>
    </row>
    <row r="117" spans="1:6" ht="24">
      <c r="A117" s="2855">
        <v>45</v>
      </c>
      <c r="B117" s="3482"/>
      <c r="C117" s="2829" t="s">
        <v>2740</v>
      </c>
      <c r="D117" s="2829" t="s">
        <v>2741</v>
      </c>
      <c r="E117" s="2855">
        <v>0.1</v>
      </c>
      <c r="F117" s="2855">
        <v>15</v>
      </c>
    </row>
    <row r="118" spans="1:6" ht="24">
      <c r="A118" s="2855">
        <v>46</v>
      </c>
      <c r="B118" s="3478" t="s">
        <v>2742</v>
      </c>
      <c r="C118" s="2855" t="s">
        <v>2743</v>
      </c>
      <c r="D118" s="2829" t="s">
        <v>2744</v>
      </c>
      <c r="E118" s="2855">
        <v>0.1</v>
      </c>
      <c r="F118" s="2855">
        <v>15</v>
      </c>
    </row>
    <row r="119" spans="1:6" ht="24">
      <c r="A119" s="2855">
        <v>47</v>
      </c>
      <c r="B119" s="3482"/>
      <c r="C119" s="2855" t="s">
        <v>2745</v>
      </c>
      <c r="D119" s="2829" t="s">
        <v>2746</v>
      </c>
      <c r="E119" s="2855">
        <v>0.1</v>
      </c>
      <c r="F119" s="2855">
        <v>15</v>
      </c>
    </row>
    <row r="120" spans="1:6" ht="24">
      <c r="A120" s="2855">
        <v>48</v>
      </c>
      <c r="B120" s="3478" t="s">
        <v>2747</v>
      </c>
      <c r="C120" s="2855" t="s">
        <v>2748</v>
      </c>
      <c r="D120" s="2829" t="s">
        <v>2749</v>
      </c>
      <c r="E120" s="2855">
        <v>0.1</v>
      </c>
      <c r="F120" s="2855">
        <v>15</v>
      </c>
    </row>
    <row r="121" spans="1:6" ht="24">
      <c r="A121" s="2855">
        <v>49</v>
      </c>
      <c r="B121" s="3482"/>
      <c r="C121" s="2855" t="s">
        <v>2750</v>
      </c>
      <c r="D121" s="2829" t="s">
        <v>2751</v>
      </c>
      <c r="E121" s="2855">
        <v>0.1</v>
      </c>
      <c r="F121" s="2855">
        <v>15</v>
      </c>
    </row>
    <row r="122" spans="1:6" ht="24">
      <c r="A122" s="2855">
        <v>50</v>
      </c>
      <c r="B122" s="3483" t="s">
        <v>2752</v>
      </c>
      <c r="C122" s="2855" t="s">
        <v>2753</v>
      </c>
      <c r="D122" s="2829" t="s">
        <v>2754</v>
      </c>
      <c r="E122" s="2855">
        <v>0.1</v>
      </c>
      <c r="F122" s="2855">
        <v>15</v>
      </c>
    </row>
    <row r="123" spans="1:6" ht="24">
      <c r="A123" s="2855">
        <v>51</v>
      </c>
      <c r="B123" s="3483"/>
      <c r="C123" s="2855" t="s">
        <v>2755</v>
      </c>
      <c r="D123" s="2829" t="s">
        <v>2756</v>
      </c>
      <c r="E123" s="2855">
        <v>0.1</v>
      </c>
      <c r="F123" s="2855">
        <v>15</v>
      </c>
    </row>
    <row r="124" spans="1:6" ht="24">
      <c r="A124" s="2855">
        <v>52</v>
      </c>
      <c r="B124" s="3483" t="s">
        <v>2757</v>
      </c>
      <c r="C124" s="2855" t="s">
        <v>2758</v>
      </c>
      <c r="D124" s="2829" t="s">
        <v>2759</v>
      </c>
      <c r="E124" s="2855">
        <v>0.1</v>
      </c>
      <c r="F124" s="2855">
        <v>15</v>
      </c>
    </row>
    <row r="125" spans="1:6" ht="24">
      <c r="A125" s="2855">
        <v>53</v>
      </c>
      <c r="B125" s="3483"/>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483" t="s">
        <v>2765</v>
      </c>
      <c r="C127" s="2855" t="s">
        <v>2766</v>
      </c>
      <c r="D127" s="2829" t="s">
        <v>2767</v>
      </c>
      <c r="E127" s="2855">
        <v>0.1</v>
      </c>
      <c r="F127" s="2855">
        <v>15</v>
      </c>
    </row>
    <row r="128" spans="1:6" ht="24">
      <c r="A128" s="2855">
        <v>56</v>
      </c>
      <c r="B128" s="3483"/>
      <c r="C128" s="2855" t="s">
        <v>2768</v>
      </c>
      <c r="D128" s="2829" t="s">
        <v>2769</v>
      </c>
      <c r="E128" s="2855">
        <v>0.1</v>
      </c>
      <c r="F128" s="2855">
        <v>15</v>
      </c>
    </row>
    <row r="129" spans="1:6" ht="24">
      <c r="A129" s="2855">
        <v>57</v>
      </c>
      <c r="B129" s="3483"/>
      <c r="C129" s="2855" t="s">
        <v>2770</v>
      </c>
      <c r="D129" s="2829" t="s">
        <v>2771</v>
      </c>
      <c r="E129" s="2855">
        <v>0.1</v>
      </c>
      <c r="F129" s="2855">
        <v>15</v>
      </c>
    </row>
    <row r="130" spans="1:6" ht="24">
      <c r="A130" s="2855">
        <v>58</v>
      </c>
      <c r="B130" s="3483" t="s">
        <v>2772</v>
      </c>
      <c r="C130" s="2855" t="s">
        <v>2773</v>
      </c>
      <c r="D130" s="2829" t="s">
        <v>2774</v>
      </c>
      <c r="E130" s="2855">
        <v>0.1</v>
      </c>
      <c r="F130" s="2855">
        <v>15</v>
      </c>
    </row>
    <row r="131" spans="1:6" ht="24">
      <c r="A131" s="2855">
        <v>59</v>
      </c>
      <c r="B131" s="3483"/>
      <c r="C131" s="2855" t="s">
        <v>2775</v>
      </c>
      <c r="D131" s="2829" t="s">
        <v>2776</v>
      </c>
      <c r="E131" s="2855">
        <v>0.1</v>
      </c>
      <c r="F131" s="2855">
        <v>15</v>
      </c>
    </row>
    <row r="132" spans="1:6" ht="24">
      <c r="A132" s="2855">
        <v>60</v>
      </c>
      <c r="B132" s="3478" t="s">
        <v>2777</v>
      </c>
      <c r="C132" s="2855" t="s">
        <v>2778</v>
      </c>
      <c r="D132" s="2829" t="s">
        <v>2779</v>
      </c>
      <c r="E132" s="2855">
        <v>0.1</v>
      </c>
      <c r="F132" s="2855">
        <v>15</v>
      </c>
    </row>
    <row r="133" spans="1:6" ht="24">
      <c r="A133" s="2855">
        <v>61</v>
      </c>
      <c r="B133" s="3482"/>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483" t="s">
        <v>2785</v>
      </c>
      <c r="C135" s="2855" t="s">
        <v>2786</v>
      </c>
      <c r="D135" s="2829" t="s">
        <v>2787</v>
      </c>
      <c r="E135" s="2855">
        <v>0.1</v>
      </c>
      <c r="F135" s="2855">
        <v>15</v>
      </c>
    </row>
    <row r="136" spans="1:6" ht="24">
      <c r="A136" s="2855">
        <v>64</v>
      </c>
      <c r="B136" s="3483"/>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0.89739999999999998</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30390</v>
      </c>
      <c r="C2" s="2" t="s">
        <v>106</v>
      </c>
      <c r="D2" s="191"/>
      <c r="E2" s="191"/>
      <c r="F2" s="191"/>
      <c r="G2" s="191"/>
    </row>
    <row r="3" spans="1:7" s="192" customFormat="1" ht="18" customHeight="1" thickBot="1">
      <c r="A3" s="195" t="s">
        <v>58</v>
      </c>
      <c r="B3" s="196">
        <f ca="1">ROUND(B2*10000/'数据-汇总表'!E3,0)</f>
        <v>637187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v>
      </c>
      <c r="D10" s="795">
        <f>'数据-汇总表'!E6</f>
        <v>476.94000000000005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476.94000000000005</v>
      </c>
      <c r="E19" s="203">
        <f>'数据-取费表'!B31</f>
        <v>200</v>
      </c>
      <c r="F19" s="223"/>
      <c r="G19" s="1" t="s">
        <v>436</v>
      </c>
    </row>
    <row r="20" spans="1:7" s="206" customFormat="1" ht="13.5" customHeight="1">
      <c r="A20" s="731" t="s">
        <v>419</v>
      </c>
      <c r="B20" s="202" t="s">
        <v>77</v>
      </c>
      <c r="C20" s="224">
        <f>ROUND((C5+C19)*F20,0)</f>
        <v>516</v>
      </c>
      <c r="D20" s="224"/>
      <c r="E20" s="224"/>
      <c r="F20" s="225">
        <f>'数据-取费表'!B37</f>
        <v>2.5000000000000001E-2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2002</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24</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6.4">
      <c r="A27" s="731" t="s">
        <v>342</v>
      </c>
      <c r="B27" s="236" t="s">
        <v>85</v>
      </c>
      <c r="C27" s="237">
        <f>C28</f>
        <v>4227</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4227</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30096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267</v>
      </c>
      <c r="D34" s="209"/>
      <c r="E34" s="212"/>
      <c r="F34" s="249">
        <f>IF('数据-取费表'!B24=0,1,'数据-取费表'!N16)</f>
        <v>1</v>
      </c>
      <c r="G34" s="211" t="s">
        <v>89</v>
      </c>
    </row>
    <row r="35" spans="1:7" ht="13.5" customHeight="1">
      <c r="A35" s="734" t="s">
        <v>351</v>
      </c>
      <c r="B35" s="207" t="s">
        <v>33</v>
      </c>
      <c r="C35" s="212">
        <f>ROUND(C34*F35,0)</f>
        <v>21</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476.94000000000005</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8</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14</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14</v>
      </c>
      <c r="D42" s="230"/>
      <c r="E42" s="230"/>
      <c r="F42" s="231"/>
      <c r="G42" s="3368" t="s">
        <v>94</v>
      </c>
    </row>
    <row r="43" spans="1:7" ht="13.5" customHeight="1">
      <c r="A43" s="734" t="s">
        <v>347</v>
      </c>
      <c r="B43" s="207" t="s">
        <v>426</v>
      </c>
      <c r="C43" s="230">
        <f ca="1">ROUND(IF('数据-取费表'!B22&lt;=1,C39*F22*'数据-取费表'!B21/2,C39*(POWER((1+F22),'数据-取费表'!B21/2)-1)),0)</f>
        <v>0</v>
      </c>
      <c r="D43" s="230"/>
      <c r="E43" s="230"/>
      <c r="F43" s="231"/>
      <c r="G43" s="3369"/>
    </row>
    <row r="44" spans="1:7" ht="13.5" customHeight="1">
      <c r="A44" s="734" t="s">
        <v>348</v>
      </c>
      <c r="B44" s="207" t="s">
        <v>428</v>
      </c>
      <c r="C44" s="230">
        <f ca="1">ROUND(IF('数据-取费表'!B22&lt;=1,C40*F22*'数据-取费表'!B21/2,C40*(POWER((1+F22),'数据-取费表'!B21/2)-1)),4)</f>
        <v>1.4E-3</v>
      </c>
      <c r="D44" s="230"/>
      <c r="E44" s="230"/>
      <c r="F44" s="231"/>
      <c r="G44" s="3370"/>
    </row>
    <row r="45" spans="1:7" s="206" customFormat="1" ht="13.5" customHeight="1">
      <c r="A45" s="731" t="s">
        <v>341</v>
      </c>
      <c r="B45" s="236" t="s">
        <v>85</v>
      </c>
      <c r="C45" s="237">
        <f>C46</f>
        <v>62</v>
      </c>
      <c r="D45" s="227">
        <f>C47</f>
        <v>6.0000000000000001E-3</v>
      </c>
      <c r="E45" s="228" t="s">
        <v>102</v>
      </c>
      <c r="F45" s="238"/>
      <c r="G45" s="239" t="s">
        <v>434</v>
      </c>
    </row>
    <row r="46" spans="1:7" s="206" customFormat="1" ht="13.5" customHeight="1">
      <c r="A46" s="734" t="s">
        <v>349</v>
      </c>
      <c r="B46" s="240" t="s">
        <v>427</v>
      </c>
      <c r="C46" s="241">
        <f>ROUND((C33+C39)*F27,0)</f>
        <v>62</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426</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294</v>
      </c>
      <c r="D51" s="224"/>
      <c r="E51" s="224"/>
      <c r="F51" s="256"/>
      <c r="G51" s="226" t="s">
        <v>37</v>
      </c>
    </row>
    <row r="52" spans="1:7" s="200" customFormat="1" ht="16.8" thickBot="1">
      <c r="A52" s="257" t="s">
        <v>38</v>
      </c>
      <c r="B52" s="258"/>
      <c r="C52" s="259">
        <f ca="1">C31+C51</f>
        <v>30390</v>
      </c>
      <c r="D52" s="258"/>
      <c r="E52" s="258"/>
      <c r="F52" s="258"/>
      <c r="G52" s="260"/>
    </row>
    <row r="55" spans="1:7" ht="15">
      <c r="B55" s="262" t="s">
        <v>39</v>
      </c>
      <c r="C55" s="263"/>
    </row>
    <row r="56" spans="1:7">
      <c r="B56" s="265" t="s">
        <v>40</v>
      </c>
      <c r="C56" s="266">
        <f ca="1">ROUND(C51/C52,3)</f>
        <v>0.01</v>
      </c>
    </row>
    <row r="57" spans="1:7">
      <c r="B57" s="265" t="s">
        <v>41</v>
      </c>
      <c r="C57" s="267">
        <f ca="1">1-C56</f>
        <v>0.99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#N/A</v>
      </c>
    </row>
    <row r="6" spans="1:5" ht="15.6">
      <c r="B6" s="3167"/>
      <c r="C6" s="1392" t="s">
        <v>911</v>
      </c>
      <c r="D6" s="797" t="e">
        <f ca="1">NUMBERSTRING(INT(D5*10000),2)&amp;"元整"</f>
        <v>#N/A</v>
      </c>
    </row>
    <row r="7" spans="1:5" ht="15.6">
      <c r="B7" s="3172"/>
      <c r="C7" s="1393" t="s">
        <v>912</v>
      </c>
      <c r="D7" s="798" t="e">
        <f ca="1">结果表!H102</f>
        <v>#N/A</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#N/A</v>
      </c>
    </row>
    <row r="14" spans="1:5" ht="15.6">
      <c r="B14" s="3167"/>
      <c r="C14" s="1392" t="s">
        <v>911</v>
      </c>
      <c r="D14" s="797" t="e">
        <f ca="1">NUMBERSTRING(INT(D13*10000),2)&amp;"元整"</f>
        <v>#N/A</v>
      </c>
    </row>
    <row r="15" spans="1:5" ht="15.6">
      <c r="B15" s="3172"/>
      <c r="C15" s="1393" t="s">
        <v>921</v>
      </c>
      <c r="D15" s="806" t="e">
        <f ca="1">结果表!H108</f>
        <v>#N/A</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4.抵押净值</v>
      </c>
      <c r="C19" s="1397" t="s">
        <v>910</v>
      </c>
      <c r="D19" s="798" t="e">
        <f ca="1">结果表!H111</f>
        <v>#N/A</v>
      </c>
    </row>
    <row r="20" spans="1:5" ht="15.6">
      <c r="B20" s="3167"/>
      <c r="C20" s="1392" t="s">
        <v>923</v>
      </c>
      <c r="D20" s="797" t="e">
        <f ca="1">NUMBERSTRING(INT(D19*10000),2)&amp;"元整"</f>
        <v>#N/A</v>
      </c>
    </row>
    <row r="21" spans="1:5" ht="16.2" thickBot="1">
      <c r="B21" s="3168"/>
      <c r="C21" s="1399" t="s">
        <v>921</v>
      </c>
      <c r="D21" s="807" t="e">
        <f ca="1">结果表!H112</f>
        <v>#N/A</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4" t="s">
        <v>3177</v>
      </c>
      <c r="B1" s="3484"/>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85" t="s">
        <v>3228</v>
      </c>
      <c r="B1" s="3485"/>
      <c r="C1" s="3485"/>
      <c r="D1" s="3485"/>
      <c r="E1" s="3485"/>
      <c r="F1" s="3486"/>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45765</v>
      </c>
      <c r="B1" s="2927" t="s">
        <v>3374</v>
      </c>
      <c r="C1" s="2928"/>
      <c r="D1" s="2928"/>
      <c r="E1" s="2928"/>
      <c r="F1" s="2928"/>
      <c r="G1" s="2928"/>
      <c r="H1" s="2928"/>
      <c r="I1" s="2928"/>
      <c r="J1" s="2894"/>
      <c r="K1" s="2928" t="s">
        <v>454</v>
      </c>
      <c r="L1" s="2928"/>
      <c r="M1" s="2928"/>
      <c r="N1" s="2928"/>
      <c r="O1" s="2928"/>
      <c r="P1" s="2928"/>
      <c r="Q1" s="2894"/>
      <c r="R1" s="3487" t="s">
        <v>456</v>
      </c>
      <c r="S1" s="3488"/>
      <c r="T1" s="3488"/>
      <c r="U1" s="3488"/>
      <c r="V1" s="3488"/>
      <c r="W1" s="3488"/>
      <c r="X1" s="2894"/>
      <c r="Y1" s="3487" t="s">
        <v>457</v>
      </c>
      <c r="Z1" s="3488"/>
      <c r="AA1" s="3488"/>
      <c r="AB1" s="3488"/>
      <c r="AC1" s="3488"/>
      <c r="AD1" s="3488"/>
    </row>
    <row r="2" spans="1:44"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4" customFormat="1" ht="13.2">
      <c r="A3" s="2882" t="s">
        <v>2815</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3.2">
      <c r="A6" s="2040" t="s">
        <v>3399</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3398</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3.2">
      <c r="A11" s="2903" t="s">
        <v>3372</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3.2">
      <c r="A12" s="2903" t="s">
        <v>3371</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3.2">
      <c r="A13" s="2903" t="s">
        <v>3367</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3.2">
      <c r="A14" s="2903" t="s">
        <v>3366</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3.2">
      <c r="A15" s="2903" t="s">
        <v>3364</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3.2">
      <c r="A16" s="2903" t="s">
        <v>3363</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3.2">
      <c r="A17" s="2903" t="s">
        <v>3362</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3.2">
      <c r="A18" s="2903" t="s">
        <v>3360</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3.2">
      <c r="A19" s="2903" t="s">
        <v>3351</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3.2">
      <c r="A20" s="2903" t="s">
        <v>2816</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3.2">
      <c r="A21" s="2903" t="s">
        <v>2817</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3.2">
      <c r="A22" s="2903" t="s">
        <v>2818</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3.2">
      <c r="A23" s="2903" t="s">
        <v>2819</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3377</v>
      </c>
    </row>
    <row r="27" spans="1:44">
      <c r="I27" s="1405" t="s">
        <v>2821</v>
      </c>
    </row>
    <row r="29" spans="1:44" s="2009" customFormat="1" ht="13.2">
      <c r="B29" s="2927" t="s">
        <v>3375</v>
      </c>
      <c r="C29" s="2928"/>
      <c r="D29" s="2928"/>
      <c r="E29" s="2928"/>
      <c r="F29" s="2928"/>
      <c r="G29" s="2928"/>
      <c r="H29" s="2928"/>
      <c r="I29" s="2928"/>
      <c r="J29" s="2894"/>
      <c r="K29" s="2928" t="s">
        <v>2822</v>
      </c>
      <c r="L29" s="2928"/>
      <c r="M29" s="2928"/>
      <c r="N29" s="2928"/>
      <c r="O29" s="2928"/>
      <c r="P29" s="2928"/>
      <c r="Q29" s="2894"/>
      <c r="R29" s="3487" t="s">
        <v>2823</v>
      </c>
      <c r="S29" s="3488"/>
      <c r="T29" s="3488"/>
      <c r="U29" s="3488"/>
      <c r="V29" s="3488"/>
      <c r="W29" s="3488"/>
      <c r="X29" s="2894"/>
      <c r="Y29" s="3487" t="s">
        <v>2824</v>
      </c>
      <c r="Z29" s="3488"/>
      <c r="AA29" s="3488"/>
      <c r="AB29" s="3488"/>
      <c r="AC29" s="3488"/>
      <c r="AD29" s="3488"/>
    </row>
    <row r="30" spans="1:44" s="2010" customFormat="1" ht="15" thickBot="1">
      <c r="B30" s="2879"/>
      <c r="C30" s="2880"/>
      <c r="D30" s="2011" t="s">
        <v>2825</v>
      </c>
      <c r="E30" s="2012" t="s">
        <v>2826</v>
      </c>
      <c r="F30" s="2012" t="s">
        <v>2827</v>
      </c>
      <c r="G30" s="2012" t="s">
        <v>2828</v>
      </c>
      <c r="H30" s="2012"/>
      <c r="I30" s="2012" t="s">
        <v>2829</v>
      </c>
      <c r="J30" s="2881"/>
      <c r="K30" s="2011" t="s">
        <v>2825</v>
      </c>
      <c r="L30" s="2012" t="s">
        <v>2826</v>
      </c>
      <c r="M30" s="2012" t="s">
        <v>2827</v>
      </c>
      <c r="N30" s="2012" t="s">
        <v>2828</v>
      </c>
      <c r="O30" s="2012"/>
      <c r="P30" s="2012" t="s">
        <v>2829</v>
      </c>
      <c r="Q30" s="2881"/>
      <c r="R30" s="2011" t="s">
        <v>2825</v>
      </c>
      <c r="S30" s="2012" t="s">
        <v>2826</v>
      </c>
      <c r="T30" s="2012" t="s">
        <v>2827</v>
      </c>
      <c r="U30" s="2012" t="s">
        <v>2828</v>
      </c>
      <c r="V30" s="2012"/>
      <c r="W30" s="2012" t="s">
        <v>2829</v>
      </c>
      <c r="X30" s="2881"/>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4" customFormat="1" ht="13.2">
      <c r="A31" s="2882" t="s">
        <v>2830</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3.2">
      <c r="A34" s="2040" t="s">
        <v>3399</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3407</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3.2">
      <c r="A39" s="2903" t="s">
        <v>3373</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3.2">
      <c r="A40" s="2903" t="s">
        <v>3370</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3.2">
      <c r="A41" s="2903" t="s">
        <v>3368</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3.2">
      <c r="A42" s="2903" t="s">
        <v>3366</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3.2">
      <c r="A43" s="2903" t="s">
        <v>3365</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3.2">
      <c r="A44" s="2903" t="s">
        <v>3363</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3.2">
      <c r="A45" s="2903" t="s">
        <v>3362</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3.2">
      <c r="A46" s="2903" t="s">
        <v>3361</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3.2">
      <c r="A47" s="2903" t="s">
        <v>3351</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3.2">
      <c r="A48" s="2903" t="s">
        <v>2831</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3.2">
      <c r="A49" s="2903" t="s">
        <v>2832</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3.2">
      <c r="A50" s="2903" t="s">
        <v>2833</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3.2">
      <c r="A51" s="2903" t="s">
        <v>2834</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3376</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0" t="s">
        <v>2835</v>
      </c>
      <c r="B1" s="3500"/>
      <c r="C1" s="3500"/>
      <c r="D1" s="3500"/>
      <c r="E1" s="3500"/>
      <c r="F1" s="3500"/>
      <c r="G1" s="3501"/>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498"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499"/>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45765</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78A3-B56E-498C-B219-8874B174031C}">
  <sheetPr>
    <tabColor rgb="FFFF0000"/>
  </sheetPr>
  <dimension ref="A1:AJ512"/>
  <sheetViews>
    <sheetView view="pageBreakPreview" topLeftCell="A90" zoomScale="70" zoomScaleNormal="100" zoomScaleSheetLayoutView="70" zoomScalePageLayoutView="80" workbookViewId="0">
      <selection activeCell="R113" sqref="R11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3451</v>
      </c>
      <c r="H1" s="1621" t="str">
        <f>IF(G1="现房","——","估价对象范围")</f>
        <v>——</v>
      </c>
      <c r="I1" s="1622" t="s">
        <v>3452</v>
      </c>
    </row>
    <row r="2" spans="1:12" ht="21.75" customHeight="1" thickBot="1">
      <c r="A2" s="3322" t="str">
        <f>项目基本情况!S2</f>
        <v>北京市北京市朝阳区朝阳门外大街18号房地产</v>
      </c>
      <c r="B2" s="3323"/>
      <c r="C2" s="3323"/>
      <c r="D2" s="3323"/>
      <c r="E2" s="3323"/>
      <c r="F2" s="3323"/>
      <c r="G2" s="3323"/>
      <c r="H2" s="3323"/>
      <c r="I2" s="3324"/>
    </row>
    <row r="3" spans="1:12" ht="13.2">
      <c r="A3" s="3326" t="s">
        <v>1264</v>
      </c>
      <c r="B3" s="3327"/>
      <c r="C3" s="3327"/>
      <c r="D3" s="3327"/>
      <c r="E3" s="3327"/>
      <c r="F3" s="3327"/>
      <c r="G3" s="3327"/>
      <c r="H3" s="3327"/>
      <c r="I3" s="3327"/>
    </row>
    <row r="4" spans="1:12" ht="14.4">
      <c r="A4" s="1624" t="s">
        <v>1265</v>
      </c>
      <c r="B4" s="1625" t="s">
        <v>1266</v>
      </c>
      <c r="C4" s="1626" t="s">
        <v>3455</v>
      </c>
      <c r="D4" s="1626" t="s">
        <v>3457</v>
      </c>
      <c r="E4" s="3331" t="s">
        <v>1267</v>
      </c>
      <c r="F4" s="3332"/>
      <c r="G4" s="3332"/>
      <c r="H4" s="3332"/>
      <c r="I4" s="3333"/>
      <c r="K4" s="138" t="str">
        <f>IF(ISNUMBER(FIND("比较法",结果表办!C4)),"比较法",IF(ISNUMBER(FIND("成本法",结果表办!C4)),"成本法",IF(ISNUMBER(FIND("假设开发法",结果表办!C4)),"假设开发法",IF(ISNUMBER(FIND("收益法",结果表办!C4)),"收益法","基准地价系数修正法"))))</f>
        <v>成本法</v>
      </c>
      <c r="L4" s="138" t="str">
        <f>IF(ISNUMBER(FIND("比较法",结果表办!D4)),"比较法",IF(ISNUMBER(FIND("成本法",结果表办!D4)),"成本法",IF(ISNUMBER(FIND("假设开发法",结果表办!D4)),"假设开发法",IF(ISNUMBER(FIND("收益法",结果表办!D4)),"收益法","基准地价系数修正法"))))</f>
        <v>收益法</v>
      </c>
    </row>
    <row r="5" spans="1:12" ht="13.2">
      <c r="A5" s="3270" t="s">
        <v>1268</v>
      </c>
      <c r="B5" s="3325">
        <v>25</v>
      </c>
      <c r="C5" s="3328"/>
      <c r="D5" s="3316"/>
      <c r="E5" s="123" t="s">
        <v>1269</v>
      </c>
      <c r="F5" s="1627"/>
      <c r="G5" s="1627"/>
      <c r="H5" s="1627"/>
      <c r="I5" s="1281"/>
    </row>
    <row r="6" spans="1:12" ht="13.2">
      <c r="A6" s="3270"/>
      <c r="B6" s="3325"/>
      <c r="C6" s="3330"/>
      <c r="D6" s="3316"/>
      <c r="E6" s="123" t="s">
        <v>1270</v>
      </c>
      <c r="F6" s="1627"/>
      <c r="G6" s="1627"/>
      <c r="H6" s="1627"/>
      <c r="I6" s="1281"/>
    </row>
    <row r="7" spans="1:12" ht="13.2">
      <c r="A7" s="3270"/>
      <c r="B7" s="3325"/>
      <c r="C7" s="3329"/>
      <c r="D7" s="3316"/>
      <c r="E7" s="123" t="s">
        <v>1271</v>
      </c>
      <c r="F7" s="1627"/>
      <c r="G7" s="1627"/>
      <c r="H7" s="1627"/>
      <c r="I7" s="1281"/>
    </row>
    <row r="8" spans="1:12" ht="13.2">
      <c r="A8" s="3270" t="s">
        <v>1272</v>
      </c>
      <c r="B8" s="3325">
        <v>15</v>
      </c>
      <c r="C8" s="3328"/>
      <c r="D8" s="3316"/>
      <c r="E8" s="123" t="s">
        <v>1273</v>
      </c>
      <c r="F8" s="1627"/>
      <c r="G8" s="1627"/>
      <c r="H8" s="1627"/>
      <c r="I8" s="1281"/>
    </row>
    <row r="9" spans="1:12" ht="13.2">
      <c r="A9" s="3270"/>
      <c r="B9" s="3325"/>
      <c r="C9" s="3329"/>
      <c r="D9" s="3316"/>
      <c r="E9" s="123" t="s">
        <v>1274</v>
      </c>
      <c r="F9" s="1627"/>
      <c r="G9" s="1627"/>
      <c r="H9" s="1627"/>
      <c r="I9" s="1281"/>
    </row>
    <row r="10" spans="1:12" ht="13.2">
      <c r="A10" s="3270" t="s">
        <v>1275</v>
      </c>
      <c r="B10" s="3325">
        <v>15</v>
      </c>
      <c r="C10" s="3328"/>
      <c r="D10" s="3316"/>
      <c r="E10" s="123" t="s">
        <v>1276</v>
      </c>
      <c r="F10" s="1627"/>
      <c r="G10" s="1627"/>
      <c r="H10" s="1627"/>
      <c r="I10" s="1281"/>
    </row>
    <row r="11" spans="1:12" ht="13.2">
      <c r="A11" s="3270"/>
      <c r="B11" s="3325"/>
      <c r="C11" s="3329"/>
      <c r="D11" s="3316"/>
      <c r="E11" s="123" t="s">
        <v>1277</v>
      </c>
      <c r="F11" s="1627"/>
      <c r="G11" s="1627"/>
      <c r="H11" s="1627"/>
      <c r="I11" s="1281"/>
    </row>
    <row r="12" spans="1:12" ht="13.2">
      <c r="A12" s="3270" t="s">
        <v>1278</v>
      </c>
      <c r="B12" s="3325">
        <v>15</v>
      </c>
      <c r="C12" s="3328"/>
      <c r="D12" s="3316"/>
      <c r="E12" s="123" t="s">
        <v>1279</v>
      </c>
      <c r="F12" s="1627"/>
      <c r="G12" s="1627"/>
      <c r="H12" s="1627"/>
      <c r="I12" s="1281"/>
    </row>
    <row r="13" spans="1:12" ht="13.2">
      <c r="A13" s="3270"/>
      <c r="B13" s="3325"/>
      <c r="C13" s="3329"/>
      <c r="D13" s="3316"/>
      <c r="E13" s="123" t="s">
        <v>1280</v>
      </c>
      <c r="F13" s="1627"/>
      <c r="G13" s="1627"/>
      <c r="H13" s="1627"/>
      <c r="I13" s="1281"/>
    </row>
    <row r="14" spans="1:12" ht="13.2">
      <c r="A14" s="3270" t="s">
        <v>1281</v>
      </c>
      <c r="B14" s="3325">
        <v>30</v>
      </c>
      <c r="C14" s="3328">
        <v>7</v>
      </c>
      <c r="D14" s="3316">
        <v>3</v>
      </c>
      <c r="E14" s="123" t="s">
        <v>1282</v>
      </c>
      <c r="F14" s="1627"/>
      <c r="G14" s="1627"/>
      <c r="H14" s="1627"/>
      <c r="I14" s="1281"/>
    </row>
    <row r="15" spans="1:12" ht="13.2">
      <c r="A15" s="3270"/>
      <c r="B15" s="3325"/>
      <c r="C15" s="3330"/>
      <c r="D15" s="3316"/>
      <c r="E15" s="123" t="s">
        <v>1283</v>
      </c>
      <c r="F15" s="1627"/>
      <c r="G15" s="1627"/>
      <c r="H15" s="1627"/>
      <c r="I15" s="1281"/>
    </row>
    <row r="16" spans="1:12" ht="13.2">
      <c r="A16" s="3270"/>
      <c r="B16" s="3325"/>
      <c r="C16" s="3329"/>
      <c r="D16" s="3316"/>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47" t="s">
        <v>2131</v>
      </c>
      <c r="F18" s="3348"/>
      <c r="G18" s="3348"/>
      <c r="H18" s="3348"/>
      <c r="I18" s="3348"/>
      <c r="K18" s="294" t="s">
        <v>1289</v>
      </c>
      <c r="L18" s="294">
        <f>IF(C1="",'数据-汇总表'!E3,SUMIF(项目类型,C1,'数据-汇总表'!E17:E26)+SUMIF(项目类型,C1,'数据-汇总表'!I17:I26))</f>
        <v>476.94000000000005</v>
      </c>
      <c r="M18" s="294">
        <f>IF(C1="",'数据-汇总表'!E3,SUMIF(项目类型,C1,'数据-汇总表'!E17:E26))</f>
        <v>476.94000000000005</v>
      </c>
    </row>
    <row r="19" spans="1:36" ht="14.4">
      <c r="A19" s="1630" t="s">
        <v>1290</v>
      </c>
      <c r="B19" s="1631" t="s">
        <v>1291</v>
      </c>
      <c r="C19" s="126">
        <f ca="1">SUMIF(INDIRECT("'"&amp;C4&amp;"'"&amp;"!A:A"),结果表办!B19,INDIRECT("'"&amp;C4&amp;"'"&amp;"!B:B"))</f>
        <v>1811.4201</v>
      </c>
      <c r="D19" s="127">
        <f ca="1">SUMIF(INDIRECT("'"&amp;D4&amp;"'"&amp;"!A:A"),结果表办!B19,INDIRECT("'"&amp;D4&amp;"'"&amp;"!B:B"))</f>
        <v>1156.8995</v>
      </c>
      <c r="E19" s="1630" t="s">
        <v>1292</v>
      </c>
      <c r="F19" s="1631" t="s">
        <v>1291</v>
      </c>
      <c r="G19" s="128">
        <f ca="1">ROUND(C19*$C$18+D19*$D$18,0)</f>
        <v>1615</v>
      </c>
      <c r="H19" s="1632" t="s">
        <v>1293</v>
      </c>
      <c r="I19" s="121"/>
      <c r="K19" s="294" t="s">
        <v>1294</v>
      </c>
      <c r="L19" s="294">
        <f>IF(C1="",'数据-汇总表'!D3,SUMIF(项目类型,C1,'数据-汇总表'!D17:D26)+SUMIF(项目类型,C1,'数据-汇总表'!H17:H27))</f>
        <v>54.66</v>
      </c>
      <c r="M19" s="294">
        <f>IF(C1="",'数据-汇总表'!D3,SUMIF(项目类型,C1,'数据-汇总表'!D17:D26))</f>
        <v>54.66</v>
      </c>
    </row>
    <row r="20" spans="1:36" ht="14.4">
      <c r="A20" s="1633"/>
      <c r="B20" s="43" t="s">
        <v>1295</v>
      </c>
      <c r="C20" s="129">
        <f ca="1">SUMIF(INDIRECT("'"&amp;C4&amp;"'"&amp;"!A:A"),结果表办!B20,INDIRECT("'"&amp;C4&amp;"'"&amp;"!B:B"))</f>
        <v>37980</v>
      </c>
      <c r="D20" s="130">
        <f ca="1">SUMIF(INDIRECT("'"&amp;D4&amp;"'"&amp;"!A:A"),结果表办!B20,INDIRECT("'"&amp;D4&amp;"'"&amp;"!B:B"))</f>
        <v>24257</v>
      </c>
      <c r="E20" s="1633"/>
      <c r="F20" s="43" t="s">
        <v>1295</v>
      </c>
      <c r="G20" s="131">
        <f ca="1">ROUND(C20*$C$18+D20*$D$18,0)</f>
        <v>33863</v>
      </c>
      <c r="H20" s="760" t="s">
        <v>1296</v>
      </c>
      <c r="I20" s="121"/>
    </row>
    <row r="21" spans="1:36" ht="15" customHeight="1" thickBot="1">
      <c r="A21" s="449"/>
      <c r="B21" s="93" t="s">
        <v>1297</v>
      </c>
      <c r="C21" s="678">
        <f ca="1">ROUND(C19*10000/L19,0)</f>
        <v>331398</v>
      </c>
      <c r="D21" s="679">
        <f ca="1">ROUND(D19*10000/L19,0)</f>
        <v>211654</v>
      </c>
      <c r="E21" s="449"/>
      <c r="F21" s="93" t="s">
        <v>1297</v>
      </c>
      <c r="G21" s="132">
        <f ca="1">ROUND(G19*10000/L19,0)</f>
        <v>295463</v>
      </c>
      <c r="H21" s="1634" t="s">
        <v>1296</v>
      </c>
      <c r="I21" s="121"/>
    </row>
    <row r="22" spans="1:36" ht="15" thickBot="1">
      <c r="A22" s="1564" t="s">
        <v>1298</v>
      </c>
      <c r="B22" s="1635"/>
      <c r="C22" s="1636"/>
      <c r="D22" s="680">
        <f ca="1">IF(C19&lt;D19,D19/C19-1,C19/D19-1)</f>
        <v>0.56575406938977846</v>
      </c>
      <c r="E22" s="121"/>
      <c r="F22" s="121"/>
      <c r="G22" s="121"/>
      <c r="H22" s="121"/>
      <c r="I22" s="121"/>
    </row>
    <row r="23" spans="1:36" ht="13.8" thickBot="1">
      <c r="A23" s="646"/>
      <c r="B23" s="646"/>
      <c r="C23" s="646"/>
      <c r="D23" s="646"/>
      <c r="E23" s="121"/>
      <c r="F23" s="121"/>
      <c r="G23" s="121"/>
      <c r="H23" s="121"/>
      <c r="I23" s="121"/>
    </row>
    <row r="24" spans="1:36" ht="14.4">
      <c r="A24" s="3340" t="s">
        <v>1299</v>
      </c>
      <c r="B24" s="1631" t="s">
        <v>1291</v>
      </c>
      <c r="C24" s="128">
        <f>IF(B30=0,0,D30)</f>
        <v>0</v>
      </c>
      <c r="D24" s="1637"/>
      <c r="E24" s="121"/>
      <c r="F24" s="121"/>
      <c r="G24" s="121"/>
      <c r="H24" s="121"/>
      <c r="I24" s="121"/>
    </row>
    <row r="25" spans="1:36" ht="14.4">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33863</v>
      </c>
      <c r="D32" s="1641" t="s">
        <v>3461</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7" t="s">
        <v>1312</v>
      </c>
      <c r="B36" s="1652" t="s">
        <v>1313</v>
      </c>
      <c r="C36" s="137"/>
      <c r="D36" s="1653"/>
      <c r="E36" s="1567"/>
      <c r="F36" s="1654"/>
      <c r="G36" s="121"/>
      <c r="H36" s="121"/>
      <c r="I36" s="121"/>
    </row>
    <row r="37" spans="1:15" ht="15" thickBot="1">
      <c r="A37" s="3318"/>
      <c r="B37" s="1555" t="s">
        <v>1314</v>
      </c>
      <c r="C37" s="139"/>
      <c r="D37" s="1071"/>
      <c r="E37" s="1071"/>
      <c r="F37" s="1654"/>
      <c r="G37" s="121"/>
      <c r="H37" s="121"/>
      <c r="I37" s="121"/>
    </row>
    <row r="38" spans="1:15" ht="15" thickBot="1">
      <c r="A38" s="3319"/>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f ca="1">ROUND(H101*F45,0)</f>
        <v>1615</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8">
        <v>1</v>
      </c>
      <c r="K46" s="3258" t="s">
        <v>1331</v>
      </c>
      <c r="L46" s="3258"/>
      <c r="M46" s="3259"/>
      <c r="N46" s="3259"/>
      <c r="O46" s="3259"/>
    </row>
    <row r="47" spans="1:15" ht="12" customHeight="1">
      <c r="A47" s="152" t="s">
        <v>1332</v>
      </c>
      <c r="B47" s="153"/>
      <c r="C47" s="154"/>
      <c r="D47" s="1024" t="s">
        <v>1333</v>
      </c>
      <c r="E47" s="294" t="s">
        <v>1334</v>
      </c>
      <c r="F47" s="155" t="s">
        <v>1335</v>
      </c>
      <c r="G47" s="2331" t="s">
        <v>1336</v>
      </c>
      <c r="H47" s="2332"/>
      <c r="I47" s="151"/>
      <c r="J47" s="2308">
        <v>2</v>
      </c>
      <c r="K47" s="3258" t="s">
        <v>1337</v>
      </c>
      <c r="L47" s="3258"/>
      <c r="M47" s="3260">
        <f>'数据-取费表'!B2</f>
        <v>45765</v>
      </c>
      <c r="N47" s="3260"/>
      <c r="O47" s="3260"/>
    </row>
    <row r="48" spans="1:15" ht="26.4">
      <c r="A48" s="3320" t="s">
        <v>1338</v>
      </c>
      <c r="B48" s="3321"/>
      <c r="C48" s="3321"/>
      <c r="D48" s="12">
        <f ca="1">IF(H48="情况1",0,IF(H48="情况2",D52,IF(H48="情况3",D53,IF(H48="情况4",D54))))</f>
        <v>86</v>
      </c>
      <c r="E48" s="1256" t="str">
        <f>IF(H48="情况4","(销售额-原购置价)×税（费）率","销售额×税（费）率")</f>
        <v>销售额×税（费）率</v>
      </c>
      <c r="F48" s="2333">
        <f>IF(H48="情况1","免征",'数据-取费表'!B41)</f>
        <v>5.6000000000000001E-2</v>
      </c>
      <c r="G48" s="2334" t="s">
        <v>1339</v>
      </c>
      <c r="H48" s="2335" t="s">
        <v>3464</v>
      </c>
      <c r="I48" s="1668"/>
      <c r="J48" s="2308">
        <v>3</v>
      </c>
      <c r="K48" s="3258" t="s">
        <v>1340</v>
      </c>
      <c r="L48" s="3258"/>
      <c r="M48" s="3261">
        <f ca="1">H101</f>
        <v>1615</v>
      </c>
      <c r="N48" s="3261"/>
      <c r="O48" s="3261"/>
    </row>
    <row r="49" spans="1:35" ht="25.5" customHeight="1">
      <c r="A49" s="2152" t="s">
        <v>1341</v>
      </c>
      <c r="B49" s="3306" t="s">
        <v>1342</v>
      </c>
      <c r="C49" s="3306"/>
      <c r="D49" s="1478">
        <v>0</v>
      </c>
      <c r="E49" s="316" t="s">
        <v>1343</v>
      </c>
      <c r="F49" s="2233" t="s">
        <v>28</v>
      </c>
      <c r="G49" s="3289"/>
      <c r="H49" s="2134" t="s">
        <v>2134</v>
      </c>
      <c r="I49" s="2135"/>
      <c r="J49" s="2308">
        <v>4</v>
      </c>
      <c r="K49" s="3258" t="str">
        <f>IF(项目基本情况!E8="房地产抵押价值","房地产抵押价值","抵押担保权已注销时的房地产抵押价值")</f>
        <v>房地产抵押价值</v>
      </c>
      <c r="L49" s="3258"/>
      <c r="M49" s="3261">
        <f ca="1">IF(项目基本情况!E8="房地产抵押价值",H107,H109)</f>
        <v>1615</v>
      </c>
      <c r="N49" s="3261"/>
      <c r="O49" s="3261"/>
    </row>
    <row r="50" spans="1:35" ht="25.5" customHeight="1">
      <c r="A50" s="2336"/>
      <c r="B50" s="3306" t="s">
        <v>1344</v>
      </c>
      <c r="C50" s="3306"/>
      <c r="D50" s="2189"/>
      <c r="E50" s="323"/>
      <c r="F50" s="2233"/>
      <c r="G50" s="3290"/>
      <c r="H50" s="2136" t="s">
        <v>2135</v>
      </c>
      <c r="I50" s="2135"/>
      <c r="J50" s="3257" t="s">
        <v>1345</v>
      </c>
      <c r="K50" s="3257"/>
      <c r="L50" s="3257"/>
      <c r="M50" s="3257"/>
      <c r="N50" s="3257"/>
      <c r="O50" s="3257"/>
    </row>
    <row r="51" spans="1:35" ht="20.399999999999999" customHeight="1">
      <c r="A51" s="2337"/>
      <c r="B51" s="3306" t="s">
        <v>1346</v>
      </c>
      <c r="C51" s="3306"/>
      <c r="D51" s="1024"/>
      <c r="E51" s="319"/>
      <c r="F51" s="2233"/>
      <c r="G51" s="3291"/>
      <c r="H51" s="2136" t="s">
        <v>2136</v>
      </c>
      <c r="I51" s="2135"/>
      <c r="J51" s="2309" t="s">
        <v>1347</v>
      </c>
      <c r="K51" s="3258" t="s">
        <v>1348</v>
      </c>
      <c r="L51" s="3258"/>
      <c r="M51" s="2309" t="s">
        <v>1349</v>
      </c>
      <c r="N51" s="2309" t="s">
        <v>1350</v>
      </c>
      <c r="O51" s="2309" t="s">
        <v>1351</v>
      </c>
    </row>
    <row r="52" spans="1:35" ht="24" customHeight="1">
      <c r="A52" s="2153" t="s">
        <v>1352</v>
      </c>
      <c r="B52" s="3306" t="s">
        <v>1353</v>
      </c>
      <c r="C52" s="3306"/>
      <c r="D52" s="1024">
        <f ca="1">ROUND(D45*'数据-取费表'!B41/(1+'数据-取费表'!C42),0)</f>
        <v>86</v>
      </c>
      <c r="E52" s="1256" t="s">
        <v>1354</v>
      </c>
      <c r="F52" s="2338">
        <f>'数据-取费表'!B41</f>
        <v>5.6000000000000001E-2</v>
      </c>
      <c r="G52" s="2339"/>
      <c r="H52" s="2329"/>
      <c r="I52" s="1669"/>
      <c r="J52" s="2308">
        <v>1</v>
      </c>
      <c r="K52" s="3283" t="s">
        <v>1355</v>
      </c>
      <c r="L52" s="3283"/>
      <c r="M52" s="2310">
        <f ca="1">D48</f>
        <v>86</v>
      </c>
      <c r="N52" s="2308" t="str">
        <f>E48</f>
        <v>销售额×税（费）率</v>
      </c>
      <c r="O52" s="2311">
        <f>F48</f>
        <v>5.6000000000000001E-2</v>
      </c>
    </row>
    <row r="53" spans="1:35" ht="12" customHeight="1">
      <c r="A53" s="2153" t="s">
        <v>1356</v>
      </c>
      <c r="B53" s="3307" t="s">
        <v>2287</v>
      </c>
      <c r="C53" s="3308"/>
      <c r="D53" s="1024">
        <f ca="1">ROUND(D45*'数据-取费表'!B41/(1+'数据-取费表'!C42),0)</f>
        <v>86</v>
      </c>
      <c r="E53" s="1256" t="s">
        <v>1354</v>
      </c>
      <c r="F53" s="2338">
        <f>'数据-取费表'!B41</f>
        <v>5.6000000000000001E-2</v>
      </c>
      <c r="G53" s="2339"/>
      <c r="H53" s="2329"/>
      <c r="I53" s="1669"/>
      <c r="J53" s="2308">
        <v>2</v>
      </c>
      <c r="K53" s="3283" t="s">
        <v>1357</v>
      </c>
      <c r="L53" s="3283"/>
      <c r="M53" s="2310">
        <f t="shared" ref="M53:O54" ca="1" si="0">D55</f>
        <v>1</v>
      </c>
      <c r="N53" s="2308" t="str">
        <f t="shared" si="0"/>
        <v>销售额×税（费）率</v>
      </c>
      <c r="O53" s="2311">
        <f t="shared" si="0"/>
        <v>5.0000000000000001E-4</v>
      </c>
    </row>
    <row r="54" spans="1:35" ht="12" customHeight="1">
      <c r="A54" s="2153" t="s">
        <v>1358</v>
      </c>
      <c r="B54" s="3307" t="s">
        <v>2288</v>
      </c>
      <c r="C54" s="3308"/>
      <c r="D54" s="1024">
        <f ca="1">C68</f>
        <v>86</v>
      </c>
      <c r="E54" s="319" t="s">
        <v>1359</v>
      </c>
      <c r="F54" s="2338">
        <f>'数据-取费表'!B41</f>
        <v>5.6000000000000001E-2</v>
      </c>
      <c r="G54" s="2339"/>
      <c r="H54" s="2340"/>
      <c r="I54" s="1669"/>
      <c r="J54" s="2308">
        <v>3</v>
      </c>
      <c r="K54" s="3283" t="s">
        <v>1360</v>
      </c>
      <c r="L54" s="3283"/>
      <c r="M54" s="2310">
        <f t="shared" ca="1" si="0"/>
        <v>276</v>
      </c>
      <c r="N54" s="2308" t="str">
        <f t="shared" si="0"/>
        <v>增值额×税（费）率</v>
      </c>
      <c r="O54" s="2312" t="str">
        <f t="shared" si="0"/>
        <v>——</v>
      </c>
    </row>
    <row r="55" spans="1:35" ht="24" customHeight="1">
      <c r="A55" s="3343" t="s">
        <v>1361</v>
      </c>
      <c r="B55" s="3321"/>
      <c r="C55" s="3321"/>
      <c r="D55" s="12">
        <f ca="1">IF(H55="个人住宅",0,ROUND(D45*I55,0))</f>
        <v>1</v>
      </c>
      <c r="E55" s="1256" t="s">
        <v>1362</v>
      </c>
      <c r="F55" s="2338">
        <f>IF(H55="正常",I55,"免征")</f>
        <v>5.0000000000000001E-4</v>
      </c>
      <c r="G55" s="2339"/>
      <c r="H55" s="2335" t="s">
        <v>3465</v>
      </c>
      <c r="I55" s="157">
        <f>'数据-取费表'!B49</f>
        <v>5.0000000000000001E-4</v>
      </c>
      <c r="J55" s="2308" t="str">
        <f>IF(H59="非个人房产","",4)</f>
        <v/>
      </c>
      <c r="K55" s="3283" t="str">
        <f>IF(H59="非个人房产","——","个人所得税")</f>
        <v>——</v>
      </c>
      <c r="L55" s="3283"/>
      <c r="M55" s="2313" t="str">
        <f>D59</f>
        <v>——</v>
      </c>
      <c r="N55" s="1883" t="str">
        <f>E59</f>
        <v>——</v>
      </c>
      <c r="O55" s="2314" t="str">
        <f>F59</f>
        <v>——</v>
      </c>
    </row>
    <row r="56" spans="1:35" ht="25.2">
      <c r="A56" s="3343" t="s">
        <v>1363</v>
      </c>
      <c r="B56" s="3321"/>
      <c r="C56" s="3321"/>
      <c r="D56" s="12">
        <f ca="1">IF(H56="个人住宅",D57,D58)</f>
        <v>276</v>
      </c>
      <c r="E56" s="1256" t="s">
        <v>1364</v>
      </c>
      <c r="F56" s="2338" t="str">
        <f>IF(H56="正常",F58,"免征")</f>
        <v>——</v>
      </c>
      <c r="G56" s="2341" t="s">
        <v>1365</v>
      </c>
      <c r="H56" s="2342" t="s">
        <v>3465</v>
      </c>
      <c r="I56" s="1670"/>
      <c r="J56" s="2308" t="str">
        <f>IF(项目基本情况!K6="上海银行",IF(J55="",4,J55+1),"")</f>
        <v/>
      </c>
      <c r="K56" s="3264" t="str">
        <f>IF(项目基本情况!K6="上海银行","其他处置费用","")</f>
        <v/>
      </c>
      <c r="L56" s="3265"/>
      <c r="M56" s="2310" t="str">
        <f>IF(项目基本情况!K6="上海银行",M69,"")</f>
        <v/>
      </c>
      <c r="N56" s="3264" t="str">
        <f>IF(项目基本情况!K6="上海银行","包含处置中涉及的律师、诉讼、拍卖、评估等费用","")</f>
        <v/>
      </c>
      <c r="O56" s="3267"/>
    </row>
    <row r="57" spans="1:35" ht="13.2">
      <c r="A57" s="2153" t="s">
        <v>1341</v>
      </c>
      <c r="B57" s="3307" t="s">
        <v>1366</v>
      </c>
      <c r="C57" s="3308"/>
      <c r="D57" s="1478">
        <v>0</v>
      </c>
      <c r="E57" s="316" t="s">
        <v>1343</v>
      </c>
      <c r="F57" s="294"/>
      <c r="G57" s="2339"/>
      <c r="H57" s="2343"/>
      <c r="I57" s="1670"/>
      <c r="J57" s="3283">
        <f>IF(AND(J55="",J56=""),4,IF(项目基本情况!K6="上海银行",结果表办!J56+1,结果表办!J55+1))</f>
        <v>4</v>
      </c>
      <c r="K57" s="3283" t="s">
        <v>1367</v>
      </c>
      <c r="L57" s="2315" t="s">
        <v>1368</v>
      </c>
      <c r="M57" s="2316"/>
      <c r="N57" s="2317">
        <f ca="1">SUMIF(M52:M56,"&lt;9e307")</f>
        <v>363</v>
      </c>
      <c r="O57" s="2318"/>
      <c r="P57" s="2462">
        <f ca="1">N57/M49</f>
        <v>0.22476780185758513</v>
      </c>
    </row>
    <row r="58" spans="1:35" ht="25.2">
      <c r="A58" s="2153" t="s">
        <v>1352</v>
      </c>
      <c r="B58" s="3307" t="s">
        <v>1369</v>
      </c>
      <c r="C58" s="3306"/>
      <c r="D58" s="12">
        <f ca="1">IF(H58="转让取得",C81,C97)</f>
        <v>276</v>
      </c>
      <c r="E58" s="1256" t="s">
        <v>1364</v>
      </c>
      <c r="F58" s="294" t="s">
        <v>28</v>
      </c>
      <c r="G58" s="2339"/>
      <c r="H58" s="2342" t="s">
        <v>3466</v>
      </c>
      <c r="I58" s="1670"/>
      <c r="J58" s="3283"/>
      <c r="K58" s="3283"/>
      <c r="L58" s="2315" t="s">
        <v>1370</v>
      </c>
      <c r="M58" s="2319"/>
      <c r="N58" s="2320" t="str">
        <f ca="1">NUMBERSTRING(INT(N57*10000),2)&amp;"元整"</f>
        <v>叁佰陆拾叁万元整</v>
      </c>
      <c r="O58" s="2321"/>
    </row>
    <row r="59" spans="1:35" ht="24.6" thickBot="1">
      <c r="A59" s="3287" t="s">
        <v>1371</v>
      </c>
      <c r="B59" s="3288"/>
      <c r="C59" s="3288"/>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3467</v>
      </c>
      <c r="I59" s="2137" t="s">
        <v>2137</v>
      </c>
      <c r="J59" s="3285">
        <f>J57+1</f>
        <v>5</v>
      </c>
      <c r="K59" s="3283" t="s">
        <v>1372</v>
      </c>
      <c r="L59" s="2308" t="s">
        <v>1368</v>
      </c>
      <c r="M59" s="2322"/>
      <c r="N59" s="2323">
        <f ca="1">M49-N57</f>
        <v>1252</v>
      </c>
      <c r="O59" s="2324"/>
    </row>
    <row r="60" spans="1:35" ht="12" customHeight="1">
      <c r="A60" s="1671"/>
      <c r="B60" s="646"/>
      <c r="C60" s="646"/>
      <c r="D60" s="646"/>
      <c r="E60" s="1466"/>
      <c r="F60" s="1670"/>
      <c r="G60" s="1670"/>
      <c r="H60" s="151"/>
      <c r="I60" s="121"/>
      <c r="J60" s="3286"/>
      <c r="K60" s="3283"/>
      <c r="L60" s="2315" t="s">
        <v>1370</v>
      </c>
      <c r="M60" s="2319"/>
      <c r="N60" s="2320" t="str">
        <f ca="1">NUMBERSTRING(INT(N59*10000),2)&amp;"元整"</f>
        <v>壹仟贰佰伍拾贰万元整</v>
      </c>
      <c r="O60" s="2321"/>
    </row>
    <row r="61" spans="1:35" ht="13.8" thickBot="1">
      <c r="A61" s="3342" t="s">
        <v>1373</v>
      </c>
      <c r="B61" s="3342"/>
      <c r="C61" s="3342"/>
      <c r="D61" s="3342"/>
      <c r="E61" s="3342"/>
      <c r="F61" s="1670"/>
      <c r="G61" s="1670"/>
      <c r="H61" s="151"/>
      <c r="I61" s="121"/>
      <c r="J61" s="2308">
        <f>J59+1</f>
        <v>6</v>
      </c>
      <c r="K61" s="3283" t="s">
        <v>1374</v>
      </c>
      <c r="L61" s="3283"/>
      <c r="M61" s="2325"/>
      <c r="N61" s="2326">
        <f ca="1">ROUND(N59*10000/'数据-汇总表'!E3,0)</f>
        <v>26251</v>
      </c>
      <c r="O61" s="2327"/>
    </row>
    <row r="62" spans="1:35" ht="13.2">
      <c r="A62" s="3302" t="s">
        <v>1375</v>
      </c>
      <c r="B62" s="3303"/>
      <c r="C62" s="1865"/>
      <c r="D62" s="1865" t="s">
        <v>1376</v>
      </c>
      <c r="E62" s="158" t="s">
        <v>1377</v>
      </c>
      <c r="F62" s="1670"/>
      <c r="G62" s="1670"/>
      <c r="H62" s="151"/>
      <c r="I62" s="121"/>
    </row>
    <row r="63" spans="1:35" ht="13.2">
      <c r="A63" s="165" t="s">
        <v>330</v>
      </c>
      <c r="B63" s="159" t="s">
        <v>1378</v>
      </c>
      <c r="C63" s="2348">
        <f ca="1">ROUND((C64+C65)/(1+'数据-取费表'!C42),0)</f>
        <v>1538</v>
      </c>
      <c r="D63" s="159"/>
      <c r="E63" s="160"/>
      <c r="F63" s="1670"/>
      <c r="G63" s="1670"/>
      <c r="H63" s="151"/>
      <c r="I63" s="121"/>
      <c r="J63" s="3266" t="s">
        <v>1379</v>
      </c>
      <c r="K63" s="1245" t="s">
        <v>1380</v>
      </c>
      <c r="L63" s="1245">
        <f ca="1">IF(M49&gt;10000,M49*0.5%,IF(AND(M49&gt;1000,M49&lt;=10000),M49*1%,IF(AND(M49&gt;100,M49&lt;=1000),M49*3%,IF(AND(M49&gt;10,M49&lt;=100),M49*5%,M49*8%))))</f>
        <v>16.149999999999999</v>
      </c>
      <c r="M63" s="294">
        <f ca="1">ROUND(L63,1)</f>
        <v>16.2</v>
      </c>
      <c r="N63" s="2328"/>
      <c r="Z63" s="1623"/>
      <c r="AI63" s="1561"/>
    </row>
    <row r="64" spans="1:35" ht="14.25" customHeight="1">
      <c r="A64" s="161" t="s">
        <v>325</v>
      </c>
      <c r="B64" s="162" t="s">
        <v>1381</v>
      </c>
      <c r="C64" s="2349">
        <f ca="1">D45</f>
        <v>1615</v>
      </c>
      <c r="D64" s="162" t="s">
        <v>26</v>
      </c>
      <c r="E64" s="164"/>
      <c r="F64" s="1670"/>
      <c r="G64" s="1670"/>
      <c r="H64" s="151"/>
      <c r="I64" s="121"/>
      <c r="J64" s="3266"/>
      <c r="K64" s="1245" t="s">
        <v>1382</v>
      </c>
      <c r="L64" s="1245">
        <f ca="1">IF(M49&gt;2000,M49*0.5%,IF(AND(M49&gt;1000,M49&lt;=2000),M49*0.6%,IF(AND(M49&gt;500,M49&lt;=1000),M49*0.7%,IF(AND(M49&gt;200,M49&lt;=500),M49*0.8%,IF(AND(M49&gt;100,M49&lt;=200),M49*0.9%,IF(AND(M49&gt;50,M49&lt;=100),M49*1%,IF(AND(M49&gt;20,M49&lt;=50),M49*1.5%,IF(AND(M49&gt;10,M49&lt;=20),M49*2%,IF(AND(M49&gt;1,M49&lt;=10),M49*2.5%)))))))))</f>
        <v>9.69</v>
      </c>
      <c r="M64" s="294">
        <f t="shared" ref="M64:M65" ca="1" si="1">ROUND(L64,1)</f>
        <v>9.6999999999999993</v>
      </c>
      <c r="N64" s="2329" t="s">
        <v>1383</v>
      </c>
      <c r="Z64" s="1623"/>
      <c r="AI64" s="1561"/>
    </row>
    <row r="65" spans="1:35" ht="14.25" customHeight="1">
      <c r="A65" s="161" t="s">
        <v>326</v>
      </c>
      <c r="B65" s="162" t="s">
        <v>1384</v>
      </c>
      <c r="C65" s="2350"/>
      <c r="D65" s="162"/>
      <c r="E65" s="164"/>
      <c r="F65" s="1670"/>
      <c r="G65" s="1670"/>
      <c r="H65" s="151"/>
      <c r="I65" s="121"/>
      <c r="J65" s="3266"/>
      <c r="K65" s="1245" t="s">
        <v>1385</v>
      </c>
      <c r="L65" s="1245">
        <f ca="1">IF(M49&gt;1000,M49*0.1%,IF(AND(M49&gt;500,M49&lt;=1000),M49*0.5%,IF(AND(M49&gt;50,M49&lt;=500),M49*1%,IF(AND(M49&gt;1,M49&lt;=50),M49*1.5%))))</f>
        <v>1.615</v>
      </c>
      <c r="M65" s="294">
        <f t="shared" ca="1" si="1"/>
        <v>1.6</v>
      </c>
      <c r="N65" s="2329" t="s">
        <v>1383</v>
      </c>
      <c r="Z65" s="1623"/>
      <c r="AI65" s="1561"/>
    </row>
    <row r="66" spans="1:35" ht="14.25" customHeight="1">
      <c r="A66" s="165" t="s">
        <v>327</v>
      </c>
      <c r="B66" s="166" t="s">
        <v>1386</v>
      </c>
      <c r="C66" s="2351"/>
      <c r="D66" s="166" t="s">
        <v>26</v>
      </c>
      <c r="E66" s="1251" t="s">
        <v>671</v>
      </c>
      <c r="F66" s="1670"/>
      <c r="G66" s="1670"/>
      <c r="H66" s="151"/>
      <c r="I66" s="121"/>
      <c r="J66" s="3266"/>
      <c r="K66" s="1245" t="s">
        <v>1387</v>
      </c>
      <c r="L66" s="1245">
        <f ca="1">M49*0.5%</f>
        <v>8.0749999999999993</v>
      </c>
      <c r="M66" s="294">
        <f ca="1">IF(L66&gt;0.5,0.5,ROUND(L66,0))</f>
        <v>0.5</v>
      </c>
      <c r="N66" s="2329" t="s">
        <v>1388</v>
      </c>
      <c r="Z66" s="1623"/>
      <c r="AI66" s="1561"/>
    </row>
    <row r="67" spans="1:35" ht="14.25" customHeight="1">
      <c r="A67" s="165" t="s">
        <v>328</v>
      </c>
      <c r="B67" s="166" t="s">
        <v>1389</v>
      </c>
      <c r="C67" s="2352">
        <f ca="1">C63-C66</f>
        <v>1538</v>
      </c>
      <c r="D67" s="162" t="s">
        <v>26</v>
      </c>
      <c r="E67" s="164"/>
      <c r="F67" s="1670"/>
      <c r="G67" s="1670"/>
      <c r="H67" s="151"/>
      <c r="I67" s="121"/>
      <c r="J67" s="3266"/>
      <c r="K67" s="1245" t="s">
        <v>1390</v>
      </c>
      <c r="L67" s="1245">
        <f ca="1">IF(M49&gt;=10000,(8.25+(M49-10000)*0.01%),IF(AND(M49&gt;=8000,M49&lt;10000),(7.85+(M49-8000)*0.02%),IF(AND(M49&gt;=5000,M49&lt;8000),(6.65+(M49-5000)*0.04%),IF(AND(M49&gt;=2000,M49&lt;5000),(4.25+(PM49-2000)*0.08%),IF(AND(M49&gt;=1000,M49&lt;2000),(2.75+(M49-1000)*0.15%),IF(AND(M49&gt;=100,M49&lt;1000),(0.5+(M49-100)*0.25%),IF(AND(M49&gt;0,M49&lt;100),M49*0.5%)))))))</f>
        <v>3.6724999999999999</v>
      </c>
      <c r="M67" s="294">
        <f ca="1">ROUND(L67*0.9,1)</f>
        <v>3.3</v>
      </c>
      <c r="N67" s="2328"/>
      <c r="Z67" s="1623"/>
      <c r="AI67" s="1561"/>
    </row>
    <row r="68" spans="1:35" ht="14.25" customHeight="1" thickBot="1">
      <c r="A68" s="168" t="s">
        <v>329</v>
      </c>
      <c r="B68" s="169" t="s">
        <v>1391</v>
      </c>
      <c r="C68" s="2353">
        <f ca="1">IF(C67&lt;=0,0,ROUND(C67*D68,0))</f>
        <v>86</v>
      </c>
      <c r="D68" s="2354">
        <f>'数据-取费表'!B41</f>
        <v>5.6000000000000001E-2</v>
      </c>
      <c r="E68" s="170"/>
      <c r="F68" s="1670"/>
      <c r="G68" s="1670"/>
      <c r="H68" s="151"/>
      <c r="I68" s="121"/>
      <c r="J68" s="3266"/>
      <c r="K68" s="1245" t="s">
        <v>1392</v>
      </c>
      <c r="L68" s="1245">
        <f ca="1">IF(M49&gt;10000,M49*0.5%,IF(AND(M49&gt;5000,M49&lt;=10000),M49*1%,IF(AND(M49&gt;1000,M49&lt;=5000),M49*2%,IF(AND(M49&gt;200,M49&lt;=1000),M49*3%,M49*5%))))</f>
        <v>32.299999999999997</v>
      </c>
      <c r="M68" s="294">
        <f ca="1">ROUND(L68,1)</f>
        <v>32.299999999999997</v>
      </c>
      <c r="N68" s="2328"/>
      <c r="Z68" s="1623"/>
      <c r="AI68" s="1561"/>
    </row>
    <row r="69" spans="1:35" ht="16.5" customHeight="1">
      <c r="A69" s="1672"/>
      <c r="B69" s="1673"/>
      <c r="C69" s="1674"/>
      <c r="D69" s="1675"/>
      <c r="E69" s="1676"/>
      <c r="F69" s="1466"/>
      <c r="G69" s="1466"/>
      <c r="H69" s="1467"/>
      <c r="I69" s="646"/>
      <c r="J69" s="3266"/>
      <c r="K69" s="1245" t="s">
        <v>1393</v>
      </c>
      <c r="L69" s="1245"/>
      <c r="M69" s="294">
        <f ca="1">ROUND(SUM(M63:M68),0)</f>
        <v>64</v>
      </c>
      <c r="N69" s="2330">
        <f ca="1">M69/M49</f>
        <v>3.9628482972136225E-2</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1538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9</v>
      </c>
      <c r="D78" s="2361">
        <f>'数据-取费表'!B43</f>
        <v>6.000000000000001E-3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2">
        <f ca="1">C72-C73</f>
        <v>1529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169.88888888888889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914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f>'数据-汇总表'!F19</f>
        <v>476.94000000000005</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1538</v>
      </c>
      <c r="D85" s="162" t="s">
        <v>26</v>
      </c>
      <c r="E85" s="1257"/>
      <c r="F85" s="1255"/>
      <c r="G85" s="1255"/>
      <c r="H85" s="184"/>
      <c r="I85" s="1681"/>
      <c r="J85" s="1678"/>
      <c r="K85" s="1678">
        <v>11899.22</v>
      </c>
      <c r="L85" s="3163">
        <v>5000</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759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339</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329</v>
      </c>
      <c r="D88" s="2361"/>
      <c r="E88" s="185" t="s">
        <v>1413</v>
      </c>
      <c r="F88" s="2148"/>
      <c r="G88" s="186" t="s">
        <v>1414</v>
      </c>
      <c r="H88" s="1684" t="s">
        <v>3462</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10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68" t="s">
        <v>2129</v>
      </c>
      <c r="H90" s="3269"/>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238</v>
      </c>
      <c r="D91" s="2361"/>
      <c r="E91" s="3299" t="s">
        <v>1419</v>
      </c>
      <c r="F91" s="3300"/>
      <c r="G91" s="3300"/>
      <c r="H91" s="1685" t="s">
        <v>3463</v>
      </c>
      <c r="I91" s="1686">
        <f>ROUND(K84*L85/10000,0)</f>
        <v>238</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58</v>
      </c>
      <c r="D92" s="2367">
        <v>0.1</v>
      </c>
      <c r="E92" s="3299" t="s">
        <v>1422</v>
      </c>
      <c r="F92" s="3300"/>
      <c r="G92" s="3300"/>
      <c r="H92" s="3301"/>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9</v>
      </c>
      <c r="D93" s="2361">
        <f>'数据-取费表'!B43</f>
        <v>6.000000000000001E-3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115</v>
      </c>
      <c r="D94" s="2361">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2">
        <f ca="1">ROUND(C85-C86,0)</f>
        <v>779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1.0263504611330698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276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4"/>
      <c r="E100" s="3248" t="s">
        <v>1429</v>
      </c>
      <c r="F100" s="3248"/>
      <c r="G100" s="3248"/>
      <c r="H100" s="3284"/>
      <c r="I100" s="121"/>
    </row>
    <row r="101" spans="1:35" ht="18.75" customHeight="1">
      <c r="A101" s="3292" t="s">
        <v>1430</v>
      </c>
      <c r="B101" s="3293"/>
      <c r="C101" s="2369" t="str">
        <f>C4</f>
        <v>成本法办</v>
      </c>
      <c r="D101" s="2370" t="str">
        <f>D4</f>
        <v>收益法办</v>
      </c>
      <c r="E101" s="3262" t="s">
        <v>1431</v>
      </c>
      <c r="F101" s="3263"/>
      <c r="G101" s="1687" t="s">
        <v>1432</v>
      </c>
      <c r="H101" s="2379">
        <f ca="1">H118</f>
        <v>1615</v>
      </c>
      <c r="I101" s="121"/>
    </row>
    <row r="102" spans="1:35" ht="18.75" customHeight="1">
      <c r="A102" s="3294" t="s">
        <v>1433</v>
      </c>
      <c r="B102" s="2368" t="s">
        <v>1432</v>
      </c>
      <c r="C102" s="2369">
        <f ca="1">IF(D32="楼面单价",ROUND(C19,0),C19)</f>
        <v>1811</v>
      </c>
      <c r="D102" s="2370">
        <f ca="1">IF(D32="楼面单价",ROUND(D19,0),D19)</f>
        <v>1157</v>
      </c>
      <c r="E102" s="3262"/>
      <c r="F102" s="3263"/>
      <c r="G102" s="1687" t="s">
        <v>1434</v>
      </c>
      <c r="H102" s="2339">
        <f ca="1">I118</f>
        <v>33863</v>
      </c>
      <c r="I102" s="121"/>
    </row>
    <row r="103" spans="1:35" ht="42.75" customHeight="1">
      <c r="A103" s="3294"/>
      <c r="B103" s="2368" t="s">
        <v>1434</v>
      </c>
      <c r="C103" s="2371">
        <f ca="1">C20</f>
        <v>37980</v>
      </c>
      <c r="D103" s="2372">
        <f ca="1">D20</f>
        <v>24257</v>
      </c>
      <c r="E103" s="3255" t="s">
        <v>1435</v>
      </c>
      <c r="F103" s="3256"/>
      <c r="G103" s="1688" t="s">
        <v>1436</v>
      </c>
      <c r="H103" s="2379">
        <f>IF(D36="正常操作",H104+H105+H106,H105+H106)</f>
        <v>0</v>
      </c>
      <c r="I103" s="121"/>
    </row>
    <row r="104" spans="1:35" ht="18.75" customHeight="1">
      <c r="A104" s="3294" t="s">
        <v>1437</v>
      </c>
      <c r="B104" s="2373" t="s">
        <v>1432</v>
      </c>
      <c r="C104" s="2374">
        <f ca="1">H118</f>
        <v>1615</v>
      </c>
      <c r="D104" s="2375"/>
      <c r="E104" s="1555" t="s">
        <v>1438</v>
      </c>
      <c r="F104" s="1548"/>
      <c r="G104" s="1688" t="s">
        <v>1436</v>
      </c>
      <c r="H104" s="2380">
        <f>IF(D36="同一抵押权人同一抵押物续贷",C36&amp;"（续贷，未扣减，详见特别提示）",C36)</f>
        <v>0</v>
      </c>
      <c r="I104" s="121"/>
    </row>
    <row r="105" spans="1:35" ht="18.75" customHeight="1" thickBot="1">
      <c r="A105" s="3304"/>
      <c r="B105" s="2376" t="s">
        <v>1434</v>
      </c>
      <c r="C105" s="2377">
        <f ca="1">I118</f>
        <v>33863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5" t="str">
        <f>IF(项目基本情况!E8="已注销","——","3.房地产抵押价值")</f>
        <v>3.房地产抵押价值</v>
      </c>
      <c r="F107" s="3263"/>
      <c r="G107" s="1687" t="s">
        <v>1432</v>
      </c>
      <c r="H107" s="2379">
        <f ca="1">IF(E107="——","——",H101-H103)</f>
        <v>1615</v>
      </c>
      <c r="I107" s="121"/>
    </row>
    <row r="108" spans="1:35" ht="18.75" customHeight="1">
      <c r="A108" s="121"/>
      <c r="B108" s="121"/>
      <c r="C108" s="121"/>
      <c r="D108" s="121"/>
      <c r="E108" s="3295"/>
      <c r="F108" s="3263"/>
      <c r="G108" s="1687" t="s">
        <v>1434</v>
      </c>
      <c r="H108" s="2339">
        <f ca="1">IF(H107=H101,H102,ROUND(H107*10000/'数据-汇总表'!E3,0))</f>
        <v>33863</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2" t="str">
        <f>IF(E109="——","——",H101-H105-H106)</f>
        <v>——</v>
      </c>
      <c r="I109" s="121"/>
    </row>
    <row r="110" spans="1:35" ht="18.75" customHeight="1">
      <c r="A110" s="121"/>
      <c r="B110" s="121"/>
      <c r="C110" s="121"/>
      <c r="D110" s="121"/>
      <c r="E110" s="3295"/>
      <c r="F110" s="3263"/>
      <c r="G110" s="1687" t="s">
        <v>1434</v>
      </c>
      <c r="H110" s="2339"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4.抵押净值</v>
      </c>
      <c r="F111" s="3282"/>
      <c r="G111" s="1687" t="s">
        <v>1432</v>
      </c>
      <c r="H111" s="2379">
        <f ca="1">IF(E111="——","——",N59)</f>
        <v>1252</v>
      </c>
      <c r="I111" s="121"/>
      <c r="J111" s="684">
        <f ca="1">H111/L18*10000</f>
        <v>26250.681427433217</v>
      </c>
    </row>
    <row r="112" spans="1:35" ht="18.75" customHeight="1" thickBot="1">
      <c r="A112" s="121"/>
      <c r="B112" s="121"/>
      <c r="C112" s="121"/>
      <c r="D112" s="121"/>
      <c r="E112" s="3297"/>
      <c r="F112" s="3298"/>
      <c r="G112" s="1690" t="s">
        <v>1434</v>
      </c>
      <c r="H112" s="2383">
        <f ca="1">IF(E111="——","——",N61)</f>
        <v>26251</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4" t="str">
        <f>项目基本情况!S2</f>
        <v>北京市北京市朝阳区朝阳门外大街18号房地产</v>
      </c>
      <c r="B118" s="2150">
        <f>M18</f>
        <v>476.94000000000005</v>
      </c>
      <c r="C118" s="2150">
        <f>M19</f>
        <v>54.66</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1615</v>
      </c>
      <c r="I118" s="2150">
        <f ca="1">ROUND(IF(D32="楼面单价",C32,H118*10000/B118),0)</f>
        <v>33863</v>
      </c>
    </row>
    <row r="119" spans="1:27" ht="18.75" customHeight="1">
      <c r="A119" s="3270" t="s">
        <v>1452</v>
      </c>
      <c r="B119" s="3270"/>
      <c r="C119" s="3270"/>
      <c r="D119" s="3276" t="e">
        <f ca="1">NUMBERSTRING(INT(D118*10000),2)&amp;"元整"</f>
        <v>#REF!</v>
      </c>
      <c r="E119" s="3277"/>
      <c r="F119" s="3276" t="e">
        <f ca="1">NUMBERSTRING(INT(F118*10000),2)&amp;"元整"</f>
        <v>#REF!</v>
      </c>
      <c r="G119" s="3277"/>
      <c r="H119" s="3276" t="str">
        <f ca="1">NUMBERSTRING(INT(H118*10000),2)&amp;"元整"</f>
        <v>壹仟陆佰壹拾伍万元整</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f ca="1">H107</f>
        <v>1615</v>
      </c>
      <c r="E122" s="3272"/>
      <c r="F122" s="3272"/>
      <c r="G122" s="3272"/>
      <c r="H122" s="3272"/>
      <c r="I122" s="3273"/>
      <c r="AA122" s="684"/>
    </row>
    <row r="123" spans="1:27" ht="18.75" customHeight="1">
      <c r="A123" s="3270" t="s">
        <v>1452</v>
      </c>
      <c r="B123" s="3270"/>
      <c r="C123" s="3270"/>
      <c r="D123" s="3276" t="str">
        <f ca="1">NUMBERSTRING(INT(D122*10000),2)&amp;"元整"</f>
        <v>壹仟陆佰壹拾伍万元整</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抵押净值</v>
      </c>
      <c r="B126" s="3282"/>
      <c r="C126" s="3282"/>
      <c r="D126" s="3271">
        <f ca="1">H111</f>
        <v>1252</v>
      </c>
      <c r="E126" s="3272"/>
      <c r="F126" s="3272"/>
      <c r="G126" s="3272"/>
      <c r="H126" s="3272"/>
      <c r="I126" s="3273"/>
      <c r="AA126" s="684"/>
    </row>
    <row r="127" spans="1:27" ht="18.75" customHeight="1">
      <c r="A127" s="3270" t="s">
        <v>1452</v>
      </c>
      <c r="B127" s="3270"/>
      <c r="C127" s="3270"/>
      <c r="D127" s="3276" t="str">
        <f ca="1">NUMBERSTRING(INT(D126*10000),2)&amp;"元整"</f>
        <v>壹仟贰佰伍拾贰万元整</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xr:uid="{512C9657-B0D2-4CF3-8807-E621E67C830C}">
      <formula1>"0,5%,10%"</formula1>
    </dataValidation>
    <dataValidation type="list" allowBlank="1" showInputMessage="1" showErrorMessage="1" sqref="H59" xr:uid="{27D6F568-C4E7-4621-AD4C-F052986E9CB9}">
      <formula1>"非个人房产,个人住宅（满五唯一有凭证）,个人其他（有凭证）,个人其他（无凭证）"</formula1>
    </dataValidation>
    <dataValidation type="list" allowBlank="1" showInputMessage="1" showErrorMessage="1" sqref="E103" xr:uid="{1377083E-3B84-415E-A141-C86E6661F7CE}">
      <formula1>"2.估价师知悉的法定优先受偿款,2.估价师知悉的除抵押担保权以外的法定优先受偿款"</formula1>
    </dataValidation>
    <dataValidation type="list" allowBlank="1" showInputMessage="1" showErrorMessage="1" sqref="G77" xr:uid="{51EED167-0B7A-400A-BB33-0F8075C03082}">
      <formula1>"个人住宅,2016年5月1日前购买,2016年5月1日后购买"</formula1>
    </dataValidation>
    <dataValidation type="list" allowBlank="1" showInputMessage="1" showErrorMessage="1" sqref="C1" xr:uid="{80C00A3C-5F3F-448F-A1E5-EC6938810FE2}">
      <formula1>项目类型</formula1>
    </dataValidation>
    <dataValidation type="list" allowBlank="1" showInputMessage="1" showErrorMessage="1" sqref="I1" xr:uid="{F2AC8597-82F9-4DCB-9FB3-C959D0ADA1C0}">
      <formula1>"项目局部,项目全部,——"</formula1>
    </dataValidation>
    <dataValidation type="list" showInputMessage="1" showErrorMessage="1" sqref="G1" xr:uid="{233CEEE5-EB00-4C72-8160-5E91BC3E7A00}">
      <formula1>"现房,在建,土地,-"</formula1>
    </dataValidation>
    <dataValidation type="list" allowBlank="1" showInputMessage="1" showErrorMessage="1" sqref="C129" xr:uid="{88D66FFC-1A25-46AA-98E1-F5031AD76001}">
      <formula1>"无,有"</formula1>
    </dataValidation>
    <dataValidation type="list" allowBlank="1" showInputMessage="1" showErrorMessage="1" sqref="F116:G116" xr:uid="{A4DFDCAE-E2FF-4FD5-B02C-93678222C65B}">
      <formula1>"建筑物价值,在建建筑物价值,建筑物/在建建筑物价值"</formula1>
    </dataValidation>
    <dataValidation type="list" allowBlank="1" showInputMessage="1" showErrorMessage="1" sqref="D116:E116" xr:uid="{C8494864-0F89-4E1B-B27D-2287777AC9E1}">
      <formula1>"出让国有建设用地使用权价值,划拨国有建设用地使用权价值"</formula1>
    </dataValidation>
    <dataValidation type="list" allowBlank="1" showInputMessage="1" showErrorMessage="1" sqref="C116:C117" xr:uid="{E4256557-8C69-4132-954D-4B7A0BAEDB66}">
      <formula1>"土地面积,分摊土地面积,（分摊）土地面积"</formula1>
    </dataValidation>
    <dataValidation type="list" allowBlank="1" showInputMessage="1" showErrorMessage="1" sqref="B116:B117" xr:uid="{526AE790-0EC6-4B8E-8780-226B644DAD95}">
      <formula1>"建筑面积,规划建筑面积,（规划）建筑面积"</formula1>
    </dataValidation>
    <dataValidation type="list" allowBlank="1" showInputMessage="1" showErrorMessage="1" sqref="D36" xr:uid="{83C48F17-BB41-4B0D-AAD9-0DDFEDE5F5F4}">
      <formula1>"同一抵押权人同一抵押物续贷,注销后放款,正常操作"</formula1>
    </dataValidation>
    <dataValidation type="list" allowBlank="1" showInputMessage="1" showErrorMessage="1" sqref="F75" xr:uid="{6CBD06D2-50FD-463F-AB7E-8EFB7AA5C612}">
      <formula1>"买卖合同,购房发票"</formula1>
    </dataValidation>
    <dataValidation type="list" allowBlank="1" showInputMessage="1" showErrorMessage="1" sqref="H88" xr:uid="{89E24BDD-938A-4857-89D8-BC6F319A6186}">
      <formula1>"仅含出让金,出让金+开发费"</formula1>
    </dataValidation>
    <dataValidation type="list" allowBlank="1" showInputMessage="1" showErrorMessage="1" sqref="H91" xr:uid="{0D34EF8D-2345-437A-B92C-22767FD7086C}">
      <formula1>"企业提供（在右侧录入）,——"</formula1>
    </dataValidation>
    <dataValidation type="list" allowBlank="1" showInputMessage="1" showErrorMessage="1" sqref="C33" xr:uid="{03375129-7DF7-41D1-8B1F-0862CA59943C}">
      <formula1>"成本比率,收益比率,自定义"</formula1>
    </dataValidation>
    <dataValidation type="list" allowBlank="1" showInputMessage="1" showErrorMessage="1" sqref="F45" xr:uid="{530569DD-FAEB-41A7-AF18-22243DEB2ACF}">
      <formula1>"100%,70%,56%"</formula1>
    </dataValidation>
    <dataValidation type="list" allowBlank="1" showInputMessage="1" showErrorMessage="1" sqref="D32" xr:uid="{4AEDD4DC-9407-4374-838E-7CB72D949E30}">
      <formula1>"总价,楼面单价"</formula1>
    </dataValidation>
    <dataValidation type="list" allowBlank="1" showInputMessage="1" showErrorMessage="1" sqref="H58" xr:uid="{E0C28775-247B-4A20-ABCD-68F509E65171}">
      <formula1>"转让取得,自行开发建设"</formula1>
    </dataValidation>
    <dataValidation type="list" allowBlank="1" showInputMessage="1" showErrorMessage="1" sqref="H48" xr:uid="{4A8B67A5-699C-4036-ADC2-52B82515C853}">
      <formula1>"情况1,情况2,情况3,情况4"</formula1>
    </dataValidation>
    <dataValidation type="list" allowBlank="1" showInputMessage="1" showErrorMessage="1" sqref="H55:H56" xr:uid="{77B91F6D-BD82-4664-8681-F42B1DF46240}">
      <formula1>"个人住宅,正常"</formula1>
    </dataValidation>
    <dataValidation type="list" allowBlank="1" showInputMessage="1" showErrorMessage="1" sqref="C4:D4 D33" xr:uid="{7F0A083F-6C7B-44B3-8B12-2B47CB96B32E}">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B8C-A228-4C80-B594-266EDB9D3E9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476.94000000000005</v>
      </c>
      <c r="E1" s="1842"/>
      <c r="F1" s="1842"/>
      <c r="G1" s="1842"/>
      <c r="H1" s="1842"/>
      <c r="I1" s="1842"/>
      <c r="J1" s="1842"/>
      <c r="K1" s="1056"/>
      <c r="L1" s="1843" t="s">
        <v>1928</v>
      </c>
      <c r="M1" s="810">
        <f>SUMPRODUCT((区片价!B5:B9=I2)*(区片价!C3:G3=E2)*(区片价!C5:G9))</f>
        <v>32510</v>
      </c>
      <c r="N1" s="813">
        <f>SUMPRODUCT((因素修正幅度!B5:B9=I2)*(因素修正幅度!C3:G3=E2)*(因素修正幅度!C5:G9))</f>
        <v>8.2000000000000003E-2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1000</v>
      </c>
      <c r="C2" s="1846" t="s">
        <v>1935</v>
      </c>
      <c r="D2" s="162" t="s">
        <v>1936</v>
      </c>
      <c r="E2" s="3118"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1.5206</v>
      </c>
      <c r="T2" s="3061">
        <f t="shared" ref="T2:T16" si="0">ROUND($C$5*$C$22*$C$23*$C$24*S2*$C$28,0)</f>
        <v>35528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20967</v>
      </c>
      <c r="C3" s="1846" t="s">
        <v>1941</v>
      </c>
      <c r="D3" s="162" t="s">
        <v>1942</v>
      </c>
      <c r="E3" s="3116" t="s">
        <v>3454</v>
      </c>
      <c r="F3" s="1848" t="s">
        <v>3433</v>
      </c>
      <c r="G3" s="708">
        <f>IF(F3="宗地容积率",'数据-汇总表'!I4,IF(F3="估价对象容积率",'数据-汇总表'!I6,'数据-汇总表'!I7))</f>
        <v>8.73</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28206</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56"/>
      <c r="B4" s="3357"/>
      <c r="C4" s="3357"/>
      <c r="D4" s="3358"/>
      <c r="E4" s="3358"/>
      <c r="F4" s="3358"/>
      <c r="G4" s="3358"/>
      <c r="H4" s="3358"/>
      <c r="I4" s="3358"/>
      <c r="J4" s="33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24372</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33129</v>
      </c>
      <c r="D5" s="1252">
        <f>ROUND(C6*C17+C20,0)</f>
        <v>32479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22054</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32510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21019</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1.0149999999999999</v>
      </c>
      <c r="D7" s="1866" t="s">
        <v>1953</v>
      </c>
      <c r="E7" s="730">
        <v>100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一级</v>
      </c>
      <c r="Y7" s="1131" t="s">
        <v>1956</v>
      </c>
      <c r="Z7" s="1132">
        <f>G3</f>
        <v>8.73</v>
      </c>
      <c r="AA7" s="1133"/>
      <c r="AB7" s="1133"/>
      <c r="AC7" s="1134"/>
      <c r="AD7" s="1135"/>
      <c r="AE7" s="1135"/>
      <c r="AF7" s="1135"/>
      <c r="AG7" s="1135"/>
      <c r="AH7" s="1135"/>
      <c r="AI7" s="1135"/>
      <c r="AJ7" s="1136"/>
    </row>
    <row r="8" spans="1:36" ht="26.4">
      <c r="A8" s="3007"/>
      <c r="B8" s="162" t="s">
        <v>1957</v>
      </c>
      <c r="C8" s="1870" t="s">
        <v>3434</v>
      </c>
      <c r="D8" s="712" t="s">
        <v>112</v>
      </c>
      <c r="E8" s="713">
        <f>ROUND(C11/E7,4)</f>
        <v>3.7499999999999999E-2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53" t="s">
        <v>1960</v>
      </c>
      <c r="X8" s="33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0.1</v>
      </c>
      <c r="D9" s="163" t="s">
        <v>113</v>
      </c>
      <c r="E9" s="163">
        <f>ROUND(C11/E7,4)</f>
        <v>3.7499999999999999E-2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55"/>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15</v>
      </c>
      <c r="D10" s="163" t="s">
        <v>114</v>
      </c>
      <c r="E10" s="163">
        <f>ROUND(C11/E7,4)</f>
        <v>3.7499999999999999E-2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5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3.75</v>
      </c>
      <c r="D11" s="715" t="s">
        <v>115</v>
      </c>
      <c r="E11" s="715">
        <f>ROUND(C11/E7,4)</f>
        <v>3.7499999999999999E-2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v>1.02</v>
      </c>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60" t="s">
        <v>3250</v>
      </c>
      <c r="B20" s="159" t="s">
        <v>1994</v>
      </c>
      <c r="C20" s="3029">
        <f>ROUND(IF(F21="与级别开发程度一致",0,(G21-E21)/C21),0)</f>
        <v>-31</v>
      </c>
      <c r="D20" s="3044" t="s">
        <v>1998</v>
      </c>
      <c r="E20" s="3045"/>
      <c r="F20" s="3366" t="s">
        <v>1995</v>
      </c>
      <c r="G20" s="3367"/>
      <c r="H20" s="3030" t="s">
        <v>3415</v>
      </c>
      <c r="I20" s="3030" t="s">
        <v>3416</v>
      </c>
      <c r="J20" s="3031" t="s">
        <v>3417</v>
      </c>
      <c r="K20" s="1889" t="s">
        <v>3418</v>
      </c>
      <c r="L20" s="1889" t="s">
        <v>3419</v>
      </c>
      <c r="M20" s="1889" t="s">
        <v>43</v>
      </c>
      <c r="N20" s="1889" t="s">
        <v>3420</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36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3435</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0</v>
      </c>
      <c r="N21" s="2003">
        <f>SUMPRODUCT((七通一平=N20)*(修正!B1:M1=G2)*(修正!B8:M16))</f>
        <v>20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45765</v>
      </c>
      <c r="H23" s="3046" t="s">
        <v>3252</v>
      </c>
      <c r="I23" s="3047" t="str">
        <f>IF(H23="季度增幅（自定义）",SUMIF(N25:N28,E2,O25:O28),"")</f>
        <v/>
      </c>
      <c r="J23" s="3139" t="s">
        <v>3251</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0.68140000000000001</v>
      </c>
      <c r="D24" s="1902" t="s">
        <v>2007</v>
      </c>
      <c r="E24" s="1248">
        <f>存贷款利率!E27/100</f>
        <v>4.3499999999999997E-2</v>
      </c>
      <c r="F24" s="1902" t="s">
        <v>1999</v>
      </c>
      <c r="G24" s="724">
        <f>SUMIF(M30:Q30,E2,M33:Q33)</f>
        <v>5.5E-2</v>
      </c>
      <c r="H24" s="1902" t="s">
        <v>2008</v>
      </c>
      <c r="I24" s="725">
        <f>SUMIF('数据-取费表'!C6:C15,E2,'数据-取费表'!F6:F15)/COUNTIF('数据-取费表'!C6:C15,E2)</f>
        <v>18.8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0.89700000000000002</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0.89700000000000002</v>
      </c>
      <c r="E26" s="708">
        <f>ROUNDDOWN(G3,1)</f>
        <v>8.6999999999999993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708">
        <f>ROUNDUP(G3,1)</f>
        <v>8.7999999999999989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1.0441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1000</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20958</v>
      </c>
      <c r="D33" s="1940">
        <f>'数据-汇总表'!F19</f>
        <v>476.94000000000005</v>
      </c>
      <c r="E33" s="727">
        <f>ROUND(C33*D33/10000,0)</f>
        <v>1000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5240</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4"/>
      <c r="B37" s="1955" t="s">
        <v>2036</v>
      </c>
      <c r="C37" s="167">
        <f>ROUND(D5*C22*C23*C24*C28*F37,0)</f>
        <v>16034</v>
      </c>
      <c r="D37" s="1940">
        <f>'数据-汇总表'!F20</f>
        <v>0</v>
      </c>
      <c r="E37" s="163">
        <f>ROUND(C37*D37/10000,0)</f>
        <v>0</v>
      </c>
      <c r="F37" s="163">
        <f>SUMIF(修正!A57:A68,G2,修正!B57:B68)</f>
        <v>0.7</v>
      </c>
      <c r="G37" s="163">
        <f>ROUND(IF(E2="工业",C37*$M$42,C37*$M$41),0)</f>
        <v>4009</v>
      </c>
      <c r="H37" s="163">
        <f>D37</f>
        <v>0</v>
      </c>
      <c r="I37" s="163">
        <f>ROUND(G37*H37/10000,0)</f>
        <v>0</v>
      </c>
      <c r="J37" s="2752"/>
      <c r="K37" s="3059" t="s">
        <v>3262</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5"/>
      <c r="B38" s="1884" t="s">
        <v>2037</v>
      </c>
      <c r="C38" s="167">
        <f>ROUND(D5*C22*C23*C24*C28*F38,0)</f>
        <v>9162</v>
      </c>
      <c r="D38" s="1940"/>
      <c r="E38" s="163">
        <f t="shared" ref="E38:E42" si="4">ROUND(C38*D38/10000,0)</f>
        <v>0</v>
      </c>
      <c r="F38" s="163">
        <f>SUMIF(修正!A57:A68,G2,修正!C57:C68)</f>
        <v>0.4</v>
      </c>
      <c r="G38" s="163">
        <f>ROUND(IF(E2="工业",C38*$M$42,C38*$M$41),0)</f>
        <v>2291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5"/>
      <c r="B39" s="1884" t="s">
        <v>3255</v>
      </c>
      <c r="C39" s="167">
        <f>ROUND(D5*C22*C23*C24*C28*F39,0)</f>
        <v>6872</v>
      </c>
      <c r="D39" s="1940"/>
      <c r="E39" s="163">
        <f t="shared" si="4"/>
        <v>0</v>
      </c>
      <c r="F39" s="163">
        <f>SUMIF(修正!A57:A68,G2,修正!D57:D68)</f>
        <v>0.3</v>
      </c>
      <c r="G39" s="163">
        <f>ROUND(IF(E2="工业",C39*$M$42,C39*$M$41),0)</f>
        <v>1718</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6872</v>
      </c>
      <c r="D40" s="1940"/>
      <c r="E40" s="163">
        <f t="shared" si="4"/>
        <v>0</v>
      </c>
      <c r="F40" s="167">
        <f>SUMIF(修正!A57:A68,G2,修正!E57:E68)</f>
        <v>0.3</v>
      </c>
      <c r="G40" s="163">
        <f>ROUND(IF(E2="工业",C40*$M$42,C40*$M$41),0)</f>
        <v>1718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1.0434000000000001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66">
      <c r="A50" s="1970" t="s">
        <v>2052</v>
      </c>
      <c r="B50" s="1973" t="str">
        <f>估价对象房地状况!C4</f>
        <v>估价对象位于朝阳门商圈，周边悠唐国际中心、THE BPX等购物中心项目，人流量较大，商业繁华度较好</v>
      </c>
      <c r="C50" s="1887" t="s">
        <v>3437</v>
      </c>
      <c r="D50" s="1002">
        <f t="shared" ref="D50:D58" si="7">SUMIF($J$49:$N$49,C50,J50:N50)</f>
        <v>1.21E-2</v>
      </c>
      <c r="E50" s="702">
        <f>ROUND(SUM(D50:D58),4)</f>
        <v>4.3400000000000001E-2</v>
      </c>
      <c r="F50" s="1675" t="str">
        <f>IF(E2="商业",SUMIF(L1:L12,G2,N1:N12),"——")</f>
        <v>——</v>
      </c>
      <c r="G50" s="1000">
        <v>1.21E-2</v>
      </c>
      <c r="H50" s="1003" t="str">
        <f t="shared" ref="H50:H58" si="8">IFERROR(ROUNDDOWN($F$50*I50/2,4),"——")</f>
        <v>——</v>
      </c>
      <c r="I50" s="3066">
        <v>0.3</v>
      </c>
      <c r="J50" s="1001">
        <f t="shared" ref="J50:J58" si="9">K50+$G50</f>
        <v>2.4199999999999999E-2</v>
      </c>
      <c r="K50" s="1001">
        <f t="shared" ref="K50:K58" si="10">$L50+$G50</f>
        <v>1.21E-2</v>
      </c>
      <c r="L50" s="1001">
        <v>0</v>
      </c>
      <c r="M50" s="1001">
        <f t="shared" ref="M50:N58" si="11">L50-$G50</f>
        <v>-1.21E-2</v>
      </c>
      <c r="N50" s="1001">
        <f t="shared" si="11"/>
        <v>-2.4199999999999999E-2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周边有75、110、420路及地铁2号、6号线，周边道路密集，停车便捷程度，综合评价交通便捷度较好</v>
      </c>
      <c r="C51" s="1887" t="s">
        <v>3437</v>
      </c>
      <c r="D51" s="1002">
        <f t="shared" si="7"/>
        <v>8.8999999999999999E-3</v>
      </c>
      <c r="E51" s="703"/>
      <c r="F51" s="1675"/>
      <c r="G51" s="1000">
        <v>8.8999999999999999E-3</v>
      </c>
      <c r="H51" s="1003" t="str">
        <f t="shared" si="8"/>
        <v>——</v>
      </c>
      <c r="I51" s="3066">
        <v>0.22</v>
      </c>
      <c r="J51" s="1001">
        <f t="shared" si="9"/>
        <v>1.78E-2</v>
      </c>
      <c r="K51" s="1001">
        <f t="shared" si="10"/>
        <v>8.8999999999999999E-3</v>
      </c>
      <c r="L51" s="1001">
        <v>0</v>
      </c>
      <c r="M51" s="1001">
        <f t="shared" si="11"/>
        <v>-8.8999999999999999E-3</v>
      </c>
      <c r="N51" s="1001">
        <f t="shared" si="11"/>
        <v>-1.78E-2</v>
      </c>
      <c r="AA51" s="1057"/>
      <c r="AB51" s="1057"/>
      <c r="AC51" s="1057"/>
      <c r="AD51" s="1057"/>
      <c r="AE51" s="1057"/>
      <c r="AF51" s="1057"/>
      <c r="AG51" s="1057"/>
      <c r="AH51" s="1057"/>
      <c r="AI51" s="1057"/>
      <c r="AJ51" s="1057"/>
      <c r="AK51" s="1057"/>
    </row>
    <row r="52" spans="1:37" s="1056" customFormat="1" ht="48">
      <c r="A52" s="3068" t="s">
        <v>3265</v>
      </c>
      <c r="B52" s="1262">
        <f>估价对象房地状况!C19</f>
        <v>0</v>
      </c>
      <c r="C52" s="1887" t="s">
        <v>3437</v>
      </c>
      <c r="D52" s="1002">
        <f t="shared" si="7"/>
        <v>4.7999999999999996E-3</v>
      </c>
      <c r="E52" s="703"/>
      <c r="F52" s="1675"/>
      <c r="G52" s="1000">
        <v>4.7999999999999996E-3</v>
      </c>
      <c r="H52" s="1003" t="str">
        <f t="shared" si="8"/>
        <v>——</v>
      </c>
      <c r="I52" s="3066">
        <v>0.12</v>
      </c>
      <c r="J52" s="1001">
        <f t="shared" si="9"/>
        <v>9.5999999999999992E-3</v>
      </c>
      <c r="K52" s="1001">
        <f t="shared" si="10"/>
        <v>4.7999999999999996E-3</v>
      </c>
      <c r="L52" s="1001">
        <v>0</v>
      </c>
      <c r="M52" s="1001">
        <f t="shared" si="11"/>
        <v>-4.7999999999999996E-3</v>
      </c>
      <c r="N52" s="1001">
        <f t="shared" si="11"/>
        <v>-9.5999999999999992E-3</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3437</v>
      </c>
      <c r="D53" s="1002">
        <f t="shared" si="7"/>
        <v>2E-3</v>
      </c>
      <c r="E53" s="703"/>
      <c r="F53" s="1675"/>
      <c r="G53" s="1000">
        <v>2E-3</v>
      </c>
      <c r="H53" s="1003" t="str">
        <f t="shared" si="8"/>
        <v>——</v>
      </c>
      <c r="I53" s="3066">
        <v>0.05</v>
      </c>
      <c r="J53" s="1001">
        <f t="shared" si="9"/>
        <v>4.0000000000000001E-3</v>
      </c>
      <c r="K53" s="1001">
        <f t="shared" si="10"/>
        <v>2E-3</v>
      </c>
      <c r="L53" s="1001">
        <v>0</v>
      </c>
      <c r="M53" s="1001">
        <f t="shared" si="11"/>
        <v>-2E-3</v>
      </c>
      <c r="N53" s="1001">
        <f t="shared" si="11"/>
        <v>-4.0000000000000001E-3</v>
      </c>
      <c r="AA53" s="1057"/>
      <c r="AB53" s="1057"/>
      <c r="AC53" s="1057"/>
      <c r="AD53" s="1057"/>
      <c r="AE53" s="1057"/>
      <c r="AF53" s="1057"/>
      <c r="AG53" s="1057"/>
      <c r="AH53" s="1057"/>
      <c r="AI53" s="1057"/>
      <c r="AJ53" s="1057"/>
      <c r="AK53" s="1057"/>
    </row>
    <row r="54" spans="1:37" s="1056" customFormat="1" ht="26.4">
      <c r="A54" s="1970" t="s">
        <v>2056</v>
      </c>
      <c r="B54" s="1262" t="str">
        <f>估价对象房地状况!C24</f>
        <v>城市主干道——朝阳门外大街</v>
      </c>
      <c r="C54" s="1887" t="s">
        <v>3437</v>
      </c>
      <c r="D54" s="1002">
        <f t="shared" si="7"/>
        <v>3.2000000000000002E-3</v>
      </c>
      <c r="E54" s="703"/>
      <c r="F54" s="1675"/>
      <c r="G54" s="1000">
        <v>3.2000000000000002E-3</v>
      </c>
      <c r="H54" s="1003" t="str">
        <f t="shared" si="8"/>
        <v>——</v>
      </c>
      <c r="I54" s="3066">
        <v>0.08</v>
      </c>
      <c r="J54" s="1001">
        <f t="shared" si="9"/>
        <v>6.4000000000000003E-3</v>
      </c>
      <c r="K54" s="1001">
        <f t="shared" si="10"/>
        <v>3.2000000000000002E-3</v>
      </c>
      <c r="L54" s="1001">
        <v>0</v>
      </c>
      <c r="M54" s="1001">
        <f t="shared" si="11"/>
        <v>-3.2000000000000002E-3</v>
      </c>
      <c r="N54" s="1001">
        <f t="shared" si="11"/>
        <v>-6.4000000000000003E-3</v>
      </c>
      <c r="AA54" s="1057"/>
      <c r="AB54" s="1057"/>
      <c r="AC54" s="1057"/>
      <c r="AD54" s="1057"/>
      <c r="AE54" s="1057"/>
      <c r="AF54" s="1057"/>
      <c r="AG54" s="1057"/>
      <c r="AH54" s="1057"/>
      <c r="AI54" s="1057"/>
      <c r="AJ54" s="1057"/>
      <c r="AK54" s="1057"/>
    </row>
    <row r="55" spans="1:37" s="1056" customFormat="1" ht="36">
      <c r="A55" s="1970" t="s">
        <v>2057</v>
      </c>
      <c r="B55" s="1975" t="s">
        <v>2058</v>
      </c>
      <c r="C55" s="1887" t="s">
        <v>3437</v>
      </c>
      <c r="D55" s="1002">
        <f t="shared" si="7"/>
        <v>2E-3</v>
      </c>
      <c r="E55" s="703"/>
      <c r="F55" s="1675"/>
      <c r="G55" s="1000">
        <v>2E-3</v>
      </c>
      <c r="H55" s="1003" t="str">
        <f t="shared" si="8"/>
        <v>——</v>
      </c>
      <c r="I55" s="3066">
        <v>0.05</v>
      </c>
      <c r="J55" s="1001">
        <f t="shared" si="9"/>
        <v>4.0000000000000001E-3</v>
      </c>
      <c r="K55" s="1001">
        <f t="shared" si="10"/>
        <v>2E-3</v>
      </c>
      <c r="L55" s="1001">
        <v>0</v>
      </c>
      <c r="M55" s="1001">
        <f t="shared" si="11"/>
        <v>-2E-3</v>
      </c>
      <c r="N55" s="1001">
        <f t="shared" si="11"/>
        <v>-4.0000000000000001E-3</v>
      </c>
      <c r="AA55" s="1057"/>
      <c r="AB55" s="1057"/>
      <c r="AC55" s="1057"/>
      <c r="AD55" s="1057"/>
      <c r="AE55" s="1057"/>
      <c r="AF55" s="1057"/>
      <c r="AG55" s="1057"/>
      <c r="AH55" s="1057"/>
      <c r="AI55" s="1057"/>
      <c r="AJ55" s="1057"/>
      <c r="AK55" s="1057"/>
    </row>
    <row r="56" spans="1:37" s="1056" customFormat="1" ht="52.8">
      <c r="A56" s="1976" t="s">
        <v>2059</v>
      </c>
      <c r="B56" s="1240" t="str">
        <f>估价对象房地状况!C21</f>
        <v>估价对象所在区域银行、购物场所、学校等公共配套设施齐备，综合评价公共配套设施水平较好</v>
      </c>
      <c r="C56" s="1887" t="s">
        <v>3437</v>
      </c>
      <c r="D56" s="1002">
        <f t="shared" si="7"/>
        <v>2E-3</v>
      </c>
      <c r="E56" s="703"/>
      <c r="F56" s="1675"/>
      <c r="G56" s="1000">
        <v>2E-3</v>
      </c>
      <c r="H56" s="1003" t="str">
        <f t="shared" si="8"/>
        <v>——</v>
      </c>
      <c r="I56" s="3066">
        <v>0.05</v>
      </c>
      <c r="J56" s="1001">
        <f t="shared" si="9"/>
        <v>4.0000000000000001E-3</v>
      </c>
      <c r="K56" s="1001">
        <f t="shared" si="10"/>
        <v>2E-3</v>
      </c>
      <c r="L56" s="1001">
        <v>0</v>
      </c>
      <c r="M56" s="1001">
        <f t="shared" si="11"/>
        <v>-2E-3</v>
      </c>
      <c r="N56" s="1001">
        <f t="shared" si="11"/>
        <v>-4.0000000000000001E-3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估价对象所在区域基础设施水平“七通一平</v>
      </c>
      <c r="C57" s="1887" t="s">
        <v>3445</v>
      </c>
      <c r="D57" s="1002">
        <f t="shared" si="7"/>
        <v>6.4000000000000003E-3</v>
      </c>
      <c r="E57" s="703"/>
      <c r="F57" s="1675"/>
      <c r="G57" s="1000">
        <v>3.2000000000000002E-3</v>
      </c>
      <c r="H57" s="1003" t="str">
        <f t="shared" si="8"/>
        <v>——</v>
      </c>
      <c r="I57" s="3066">
        <v>0.08</v>
      </c>
      <c r="J57" s="1001">
        <f t="shared" si="9"/>
        <v>6.4000000000000003E-3</v>
      </c>
      <c r="K57" s="1001">
        <f t="shared" si="10"/>
        <v>3.2000000000000002E-3</v>
      </c>
      <c r="L57" s="1001">
        <v>0</v>
      </c>
      <c r="M57" s="1001">
        <f t="shared" si="11"/>
        <v>-3.2000000000000002E-3</v>
      </c>
      <c r="N57" s="1001">
        <f t="shared" si="11"/>
        <v>-6.4000000000000003E-3</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区域内有东城职业大学、日坛公园、富国海底世界等自然及人文环境，综合评价自然及人文环境状况较好。</v>
      </c>
      <c r="C58" s="1887" t="s">
        <v>3437</v>
      </c>
      <c r="D58" s="1002">
        <f t="shared" si="7"/>
        <v>2E-3</v>
      </c>
      <c r="E58" s="704"/>
      <c r="F58" s="1675"/>
      <c r="G58" s="1000">
        <v>2E-3</v>
      </c>
      <c r="H58" s="1003" t="str">
        <f t="shared" si="8"/>
        <v>——</v>
      </c>
      <c r="I58" s="3067">
        <v>0.05</v>
      </c>
      <c r="J58" s="1001">
        <f t="shared" si="9"/>
        <v>4.0000000000000001E-3</v>
      </c>
      <c r="K58" s="1001">
        <f t="shared" si="10"/>
        <v>2E-3</v>
      </c>
      <c r="L58" s="1001">
        <v>0</v>
      </c>
      <c r="M58" s="1001">
        <f t="shared" si="11"/>
        <v>-2E-3</v>
      </c>
      <c r="N58" s="1001">
        <f t="shared" si="11"/>
        <v>-4.0000000000000001E-3</v>
      </c>
      <c r="AA58" s="1057"/>
      <c r="AB58" s="1057"/>
      <c r="AC58" s="1057"/>
      <c r="AD58" s="1057"/>
      <c r="AE58" s="1057"/>
      <c r="AF58" s="1057"/>
      <c r="AG58" s="1057"/>
      <c r="AH58" s="1057"/>
      <c r="AI58" s="1057"/>
      <c r="AJ58" s="1057"/>
      <c r="AK58" s="1057"/>
    </row>
    <row r="59" spans="1:37" s="1056" customFormat="1" ht="14.4">
      <c r="A59" s="1967" t="s">
        <v>2062</v>
      </c>
      <c r="B59" s="1968">
        <f>1+E61</f>
        <v>1.0441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估价对象位于朝阳门商圈，周边办公楼项目较多，有联合大厦、华普国际大厦等写字楼，入驻率高，办公集聚程度较好</v>
      </c>
      <c r="C61" s="1887" t="s">
        <v>3437</v>
      </c>
      <c r="D61" s="1002">
        <f t="shared" ref="D61:D69" si="12">SUMIF($J$60:$N$60,C61,J61:N61)</f>
        <v>1.0200000000000001E-2</v>
      </c>
      <c r="E61" s="702">
        <f>ROUND(SUM(D61:D69),4)</f>
        <v>4.41E-2</v>
      </c>
      <c r="F61" s="1675">
        <f>IF(E2="办公",SUMIF(L1:L12,G2,N1:N12),"——")</f>
        <v>8.2000000000000003E-2</v>
      </c>
      <c r="G61" s="1000">
        <v>1.0200000000000001E-2</v>
      </c>
      <c r="H61" s="1003">
        <f t="shared" ref="H61:H69" si="13">IFERROR(ROUNDDOWN($F$61*I61/2,4),"——")</f>
        <v>1.0200000000000001E-2</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t="s">
        <v>3437</v>
      </c>
      <c r="D62" s="1002">
        <f t="shared" si="12"/>
        <v>1.06E-2</v>
      </c>
      <c r="E62" s="703"/>
      <c r="F62" s="1675"/>
      <c r="G62" s="1000">
        <v>1.06E-2</v>
      </c>
      <c r="H62" s="1003">
        <f t="shared" si="13"/>
        <v>1.06E-2</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t="s">
        <v>3437</v>
      </c>
      <c r="D63" s="1002">
        <f t="shared" si="12"/>
        <v>4.4999999999999997E-3</v>
      </c>
      <c r="E63" s="703"/>
      <c r="F63" s="1675"/>
      <c r="G63" s="1000">
        <v>4.4999999999999997E-3</v>
      </c>
      <c r="H63" s="1003">
        <f t="shared" si="13"/>
        <v>4.4999999999999997E-3</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3437</v>
      </c>
      <c r="D64" s="1002">
        <f t="shared" si="12"/>
        <v>2E-3</v>
      </c>
      <c r="E64" s="703"/>
      <c r="F64" s="1675"/>
      <c r="G64" s="1000">
        <v>2E-3</v>
      </c>
      <c r="H64" s="1003">
        <f t="shared" si="13"/>
        <v>2E-3</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t="s">
        <v>3437</v>
      </c>
      <c r="D65" s="1002">
        <f t="shared" si="12"/>
        <v>2E-3</v>
      </c>
      <c r="E65" s="703"/>
      <c r="F65" s="1675"/>
      <c r="G65" s="1000">
        <v>2E-3</v>
      </c>
      <c r="H65" s="1003">
        <f t="shared" si="13"/>
        <v>2E-3</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3437</v>
      </c>
      <c r="D66" s="1002">
        <f t="shared" si="12"/>
        <v>2.3999999999999998E-3</v>
      </c>
      <c r="E66" s="703"/>
      <c r="F66" s="1675"/>
      <c r="G66" s="1000">
        <v>2.3999999999999998E-3</v>
      </c>
      <c r="H66" s="1003">
        <f t="shared" si="13"/>
        <v>2.3999999999999998E-3</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52.8">
      <c r="A67" s="1970" t="s">
        <v>2059</v>
      </c>
      <c r="B67" s="1240" t="str">
        <f>估价对象房地状况!C21</f>
        <v>估价对象所在区域银行、购物场所、学校等公共配套设施齐备，综合评价公共配套设施水平较好</v>
      </c>
      <c r="C67" s="1887" t="s">
        <v>3437</v>
      </c>
      <c r="D67" s="1002">
        <f t="shared" si="12"/>
        <v>2.3999999999999998E-3</v>
      </c>
      <c r="E67" s="703"/>
      <c r="F67" s="1675"/>
      <c r="G67" s="1000">
        <v>2.3999999999999998E-3</v>
      </c>
      <c r="H67" s="1003">
        <f t="shared" si="13"/>
        <v>2.3999999999999998E-3</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t="s">
        <v>3445</v>
      </c>
      <c r="D68" s="1002">
        <f t="shared" si="12"/>
        <v>7.1999999999999998E-3</v>
      </c>
      <c r="E68" s="703"/>
      <c r="F68" s="1675"/>
      <c r="G68" s="1000">
        <v>3.5999999999999999E-3</v>
      </c>
      <c r="H68" s="1003">
        <f t="shared" si="13"/>
        <v>3.5999999999999999E-3</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区域内有东城职业大学、日坛公园、富国海底世界等自然及人文环境，综合评价自然及人文环境状况较好。</v>
      </c>
      <c r="C69" s="1887" t="s">
        <v>3437</v>
      </c>
      <c r="D69" s="1002">
        <f t="shared" si="12"/>
        <v>2.8E-3</v>
      </c>
      <c r="E69" s="704"/>
      <c r="F69" s="1675"/>
      <c r="G69" s="1000">
        <v>2.8E-3</v>
      </c>
      <c r="H69" s="1003">
        <f t="shared" si="13"/>
        <v>2.8E-3</v>
      </c>
      <c r="I69" s="3067">
        <v>7.0000000000000007E-2</v>
      </c>
      <c r="J69" s="1001">
        <f t="shared" si="14"/>
        <v>5.5999999999999999E-3</v>
      </c>
      <c r="K69" s="1001">
        <f t="shared" si="15"/>
        <v>2.8E-3</v>
      </c>
      <c r="L69" s="1001">
        <v>0</v>
      </c>
      <c r="M69" s="1001">
        <f t="shared" si="16"/>
        <v>-2.8E-3</v>
      </c>
      <c r="N69" s="1001">
        <f t="shared" si="16"/>
        <v>-5.5999999999999999E-3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3265</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2608</v>
      </c>
      <c r="B91" s="3077">
        <f>1+E93</f>
        <v>1</v>
      </c>
      <c r="C91" s="3070"/>
      <c r="D91" s="3071"/>
      <c r="E91" s="1675"/>
      <c r="F91" s="1675"/>
      <c r="G91" s="3072"/>
      <c r="H91" s="3073"/>
      <c r="I91" s="3074"/>
      <c r="J91" s="3075"/>
      <c r="K91" s="3075"/>
      <c r="L91" s="3075"/>
      <c r="M91" s="3075"/>
      <c r="N91" s="3075"/>
    </row>
    <row r="92" spans="1:37" ht="25.2">
      <c r="A92" s="3078" t="s">
        <v>2044</v>
      </c>
      <c r="B92" s="2308"/>
      <c r="C92" s="2308" t="s">
        <v>2046</v>
      </c>
      <c r="D92" s="2308" t="s">
        <v>2047</v>
      </c>
      <c r="E92" s="3050" t="s">
        <v>2048</v>
      </c>
      <c r="F92" s="3080" t="s">
        <v>3279</v>
      </c>
      <c r="G92" s="2308" t="s">
        <v>1989</v>
      </c>
      <c r="H92" s="3087" t="s">
        <v>3283</v>
      </c>
      <c r="I92" s="2308" t="s">
        <v>2051</v>
      </c>
      <c r="J92" s="2150" t="s">
        <v>1721</v>
      </c>
      <c r="K92" s="2150" t="s">
        <v>1722</v>
      </c>
      <c r="L92" s="2150" t="s">
        <v>1723</v>
      </c>
      <c r="M92" s="2150" t="s">
        <v>1724</v>
      </c>
      <c r="N92" s="2150" t="s">
        <v>1725</v>
      </c>
    </row>
    <row r="93" spans="1:37" ht="24">
      <c r="A93" s="3068" t="s">
        <v>3268</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2053</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3265</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2054</v>
      </c>
      <c r="B96" s="3084" t="s">
        <v>3281</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c r="A97" s="3078" t="s">
        <v>2056</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2057</v>
      </c>
      <c r="B98" s="3085" t="s">
        <v>3282</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c r="A99" s="3078" t="s">
        <v>2059</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2060</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thickBot="1">
      <c r="A101" s="3079" t="s">
        <v>2061</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62" t="s">
        <v>3290</v>
      </c>
      <c r="B103" s="3362"/>
      <c r="C103" s="3362"/>
      <c r="D103" s="3362"/>
      <c r="E103" s="3362"/>
      <c r="F103" s="3362"/>
      <c r="G103" s="3362"/>
      <c r="H103" s="3362"/>
      <c r="I103" s="3362"/>
      <c r="J103" s="3362"/>
      <c r="K103" s="1667"/>
      <c r="L103" s="1667"/>
      <c r="M103" s="1667"/>
      <c r="N103" s="1667"/>
    </row>
    <row r="104" spans="1:14">
      <c r="A104" s="3363" t="s">
        <v>3291</v>
      </c>
      <c r="B104" s="3363" t="s">
        <v>3292</v>
      </c>
      <c r="C104" s="3088" t="s">
        <v>3293</v>
      </c>
      <c r="D104" s="3089"/>
      <c r="E104" s="3089"/>
      <c r="F104" s="3089"/>
      <c r="G104" s="3089"/>
      <c r="H104" s="3089"/>
      <c r="I104" s="3089"/>
      <c r="J104" s="3090"/>
      <c r="K104" s="3091"/>
      <c r="L104" s="3091"/>
      <c r="M104" s="3091"/>
      <c r="N104" s="3091"/>
    </row>
    <row r="105" spans="1:14">
      <c r="A105" s="3363"/>
      <c r="B105" s="3363"/>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349"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0"/>
      <c r="B111" s="3092" t="s">
        <v>3264</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351"/>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352" t="s">
        <v>3307</v>
      </c>
      <c r="B113" s="3352"/>
      <c r="C113" s="3352"/>
      <c r="D113" s="3352"/>
      <c r="E113" s="3352"/>
      <c r="F113" s="3352"/>
      <c r="G113" s="3352"/>
      <c r="H113" s="3352"/>
      <c r="I113" s="3352"/>
      <c r="J113" s="335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8.73</v>
      </c>
      <c r="C116" s="3097" t="s">
        <v>3309</v>
      </c>
      <c r="D116" s="3098">
        <f>SUMPRODUCT((A118:A122=F116)*(B117:M117=H116)*B118:M122)</f>
        <v>0.8952</v>
      </c>
      <c r="E116" s="162" t="s">
        <v>1936</v>
      </c>
      <c r="F116" s="3099" t="str">
        <f>E2</f>
        <v>办公</v>
      </c>
      <c r="G116" s="162" t="s">
        <v>1937</v>
      </c>
      <c r="H116" s="3099" t="str">
        <f>G2</f>
        <v>一级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1990</v>
      </c>
      <c r="B118" s="3087">
        <f>ROUND(0.9968-0.011*B116,4)</f>
        <v>0.90080000000000005</v>
      </c>
      <c r="C118" s="3087">
        <f>B118</f>
        <v>0.90080000000000005</v>
      </c>
      <c r="D118" s="3087">
        <f>ROUND(0.949-0.014*B116,4)</f>
        <v>0.82679999999999998</v>
      </c>
      <c r="E118" s="3087">
        <f>D118</f>
        <v>0.82679999999999998</v>
      </c>
      <c r="F118" s="3087">
        <f>E118</f>
        <v>0.82679999999999998</v>
      </c>
      <c r="G118" s="3087">
        <f>F118</f>
        <v>0.82679999999999998</v>
      </c>
      <c r="H118" s="3087">
        <f>G118</f>
        <v>0.82679999999999998</v>
      </c>
      <c r="I118" s="3087">
        <f>ROUND(0.8486-0.018*B116,4)</f>
        <v>0.6915</v>
      </c>
      <c r="J118" s="3087">
        <f t="shared" ref="J118:M122" si="35">I118</f>
        <v>0.6915</v>
      </c>
      <c r="K118" s="3087">
        <f t="shared" si="35"/>
        <v>0.6915</v>
      </c>
      <c r="L118" s="3087">
        <f t="shared" si="35"/>
        <v>0.6915</v>
      </c>
      <c r="M118" s="3107">
        <f t="shared" si="35"/>
        <v>0.6915</v>
      </c>
      <c r="N118" s="3095"/>
    </row>
    <row r="119" spans="1:14">
      <c r="A119" s="3055" t="s">
        <v>1991</v>
      </c>
      <c r="B119" s="3087">
        <f>ROUND(0.993-0.0112*B116,4)</f>
        <v>0.8952</v>
      </c>
      <c r="C119" s="3087">
        <f>B119</f>
        <v>0.8952</v>
      </c>
      <c r="D119" s="3087">
        <f>ROUND(0.9415-0.0142*B116,4)</f>
        <v>0.8175</v>
      </c>
      <c r="E119" s="3087">
        <f t="shared" ref="E119:H120" si="36">D119</f>
        <v>0.8175</v>
      </c>
      <c r="F119" s="3087">
        <f t="shared" si="36"/>
        <v>0.8175</v>
      </c>
      <c r="G119" s="3087">
        <f t="shared" si="36"/>
        <v>0.8175</v>
      </c>
      <c r="H119" s="3087">
        <f t="shared" si="36"/>
        <v>0.8175</v>
      </c>
      <c r="I119" s="3087">
        <f>ROUND(0.838-0.0182*B116,4)</f>
        <v>0.67910000000000004</v>
      </c>
      <c r="J119" s="3087">
        <f t="shared" si="35"/>
        <v>0.67910000000000004</v>
      </c>
      <c r="K119" s="3087">
        <f t="shared" si="35"/>
        <v>0.67910000000000004</v>
      </c>
      <c r="L119" s="3087">
        <f t="shared" si="35"/>
        <v>0.67910000000000004</v>
      </c>
      <c r="M119" s="3107">
        <f t="shared" si="35"/>
        <v>0.67910000000000004</v>
      </c>
      <c r="N119" s="3095"/>
    </row>
    <row r="120" spans="1:14">
      <c r="A120" s="3055" t="s">
        <v>1992</v>
      </c>
      <c r="B120" s="3087">
        <f>ROUND(0.9448-0.0115*B116,4)</f>
        <v>0.84440000000000004</v>
      </c>
      <c r="C120" s="3087">
        <f>B120</f>
        <v>0.84440000000000004</v>
      </c>
      <c r="D120" s="3087">
        <f>ROUND(0.937-0.0145*B116,4)</f>
        <v>0.81040000000000001</v>
      </c>
      <c r="E120" s="3087">
        <f t="shared" si="36"/>
        <v>0.81040000000000001</v>
      </c>
      <c r="F120" s="3087">
        <f t="shared" si="36"/>
        <v>0.81040000000000001</v>
      </c>
      <c r="G120" s="3087">
        <f t="shared" si="36"/>
        <v>0.81040000000000001</v>
      </c>
      <c r="H120" s="3087">
        <f t="shared" si="36"/>
        <v>0.81040000000000001</v>
      </c>
      <c r="I120" s="3087">
        <f>ROUND(0.7965-0.0185*B116,4)</f>
        <v>0.63500000000000001</v>
      </c>
      <c r="J120" s="3087">
        <f t="shared" si="35"/>
        <v>0.63500000000000001</v>
      </c>
      <c r="K120" s="3087">
        <f t="shared" si="35"/>
        <v>0.63500000000000001</v>
      </c>
      <c r="L120" s="3087">
        <f t="shared" si="35"/>
        <v>0.63500000000000001</v>
      </c>
      <c r="M120" s="3107">
        <f t="shared" si="35"/>
        <v>0.63500000000000001</v>
      </c>
      <c r="N120" s="3095"/>
    </row>
    <row r="121" spans="1:14" ht="13.8" thickBot="1">
      <c r="A121" s="3108" t="s">
        <v>1993</v>
      </c>
      <c r="B121" s="3109">
        <f>ROUND(0.7836-0.012*B116,4)</f>
        <v>0.67879999999999996</v>
      </c>
      <c r="C121" s="3109">
        <f>B121</f>
        <v>0.67879999999999996</v>
      </c>
      <c r="D121" s="3109">
        <f>ROUND(0.753-0.015*B116,4)</f>
        <v>0.62209999999999999</v>
      </c>
      <c r="E121" s="3109">
        <f>D121</f>
        <v>0.62209999999999999</v>
      </c>
      <c r="F121" s="3109">
        <f>E121</f>
        <v>0.62209999999999999</v>
      </c>
      <c r="G121" s="3109">
        <f>ROUND(0.6612-0.018*B116,4)</f>
        <v>0.50409999999999999</v>
      </c>
      <c r="H121" s="3109">
        <f>G121</f>
        <v>0.50409999999999999</v>
      </c>
      <c r="I121" s="3109">
        <f>ROUND(0.5905-0.019*B116,4)</f>
        <v>0.42459999999999998</v>
      </c>
      <c r="J121" s="3109">
        <f t="shared" si="35"/>
        <v>0.42459999999999998</v>
      </c>
      <c r="K121" s="3109">
        <f t="shared" si="35"/>
        <v>0.42459999999999998</v>
      </c>
      <c r="L121" s="3109">
        <f t="shared" si="35"/>
        <v>0.42459999999999998</v>
      </c>
      <c r="M121" s="3110">
        <f t="shared" si="35"/>
        <v>0.42459999999999998</v>
      </c>
      <c r="N121" s="3095"/>
    </row>
    <row r="122" spans="1:14">
      <c r="A122" s="3111" t="s">
        <v>2608</v>
      </c>
      <c r="B122" s="3087">
        <f>ROUND(0.9404-0.0106*B116,4)</f>
        <v>0.84789999999999999</v>
      </c>
      <c r="C122" s="3087">
        <f>B122</f>
        <v>0.84789999999999999</v>
      </c>
      <c r="D122" s="3087">
        <f>ROUND(0.8955-0.0135*B116,4)</f>
        <v>0.77759999999999996</v>
      </c>
      <c r="E122" s="3087">
        <f t="shared" ref="E122:H122" si="37">D122</f>
        <v>0.77759999999999996</v>
      </c>
      <c r="F122" s="3087">
        <f t="shared" si="37"/>
        <v>0.77759999999999996</v>
      </c>
      <c r="G122" s="3087">
        <f t="shared" si="37"/>
        <v>0.77759999999999996</v>
      </c>
      <c r="H122" s="3087">
        <f t="shared" si="37"/>
        <v>0.77759999999999996</v>
      </c>
      <c r="I122" s="3087">
        <f>ROUND(0.7632-0.0166*B116,4)</f>
        <v>0.61829999999999996</v>
      </c>
      <c r="J122" s="3087">
        <f t="shared" si="35"/>
        <v>0.61829999999999996</v>
      </c>
      <c r="K122" s="3087">
        <f t="shared" si="35"/>
        <v>0.61829999999999996</v>
      </c>
      <c r="L122" s="3087">
        <f t="shared" si="35"/>
        <v>0.61829999999999996</v>
      </c>
      <c r="M122" s="3107">
        <f t="shared" si="35"/>
        <v>0.61829999999999996</v>
      </c>
      <c r="N122" s="30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9F983A21-5BFE-4F47-80B3-B63761BC459E}">
      <formula1>"不用分区数据,中心城区,中心城区以外"</formula1>
    </dataValidation>
    <dataValidation type="list" allowBlank="1" showInputMessage="1" showErrorMessage="1" sqref="H20:O20" xr:uid="{74C9DD58-4F3A-4A90-B2B0-748AD98EA59F}">
      <formula1>七通一平</formula1>
    </dataValidation>
    <dataValidation type="list" allowBlank="1" showInputMessage="1" showErrorMessage="1" sqref="H23" xr:uid="{44F3DD23-D60A-4748-9A1A-9A6C31784B09}">
      <formula1>"地价指数,季度增幅（自定义）,按公示增长率计算"</formula1>
    </dataValidation>
    <dataValidation type="list" allowBlank="1" showInputMessage="1" showErrorMessage="1" sqref="C61:C69 C72:C80 C50:C58 C83:C91 C93:C101" xr:uid="{177472DB-CED8-453D-B148-97170409865B}">
      <formula1>五等判定</formula1>
    </dataValidation>
    <dataValidation type="list" allowBlank="1" showInputMessage="1" showErrorMessage="1" sqref="E3" xr:uid="{71A3AE7F-3918-4A66-954E-03EE43DAD6FF}">
      <formula1>二级分类</formula1>
    </dataValidation>
    <dataValidation type="list" allowBlank="1" showInputMessage="1" showErrorMessage="1" sqref="C8" xr:uid="{75B4FDB2-FE73-476C-BC9B-00F6C97F3EC7}">
      <formula1>商业街名称</formula1>
    </dataValidation>
    <dataValidation type="list" allowBlank="1" showInputMessage="1" showErrorMessage="1" sqref="F3" xr:uid="{1AB22BEF-BC74-4D5D-AB06-391C216C3531}">
      <formula1>"宗地容积率,估价对象容积率,自定义容积率"</formula1>
    </dataValidation>
    <dataValidation type="list" allowBlank="1" showInputMessage="1" showErrorMessage="1" sqref="E2" xr:uid="{ED6CF5DF-BC25-4AB0-A084-0FD7D1353676}">
      <formula1>"商业,办公,住宅,工业,公共服务"</formula1>
    </dataValidation>
    <dataValidation type="list" allowBlank="1" showInputMessage="1" showErrorMessage="1" sqref="F21" xr:uid="{AFD061E6-72BE-43E8-95F9-8719AF60A966}">
      <formula1>"与级别开发程度一致,与级别开发程度不一致"</formula1>
    </dataValidation>
    <dataValidation type="list" allowBlank="1" showInputMessage="1" showErrorMessage="1" sqref="B25" xr:uid="{AAFD5A96-E061-4D92-B16E-9E706C7AAD25}">
      <formula1>"容积率修正,楼层修正"</formula1>
    </dataValidation>
    <dataValidation type="list" allowBlank="1" showInputMessage="1" showErrorMessage="1" sqref="C15:D15" xr:uid="{4E420CBC-3606-45D1-91BD-60E150B2D431}">
      <formula1>"有,无"</formula1>
    </dataValidation>
    <dataValidation type="list" allowBlank="1" showInputMessage="1" showErrorMessage="1" sqref="E15" xr:uid="{26BA8890-3EC2-4655-9FB5-47AECC3A08A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3E4A-B1DD-42E6-8EB9-453117EFDB32}">
  <sheetPr>
    <tabColor rgb="FF92D050"/>
    <pageSetUpPr fitToPage="1"/>
  </sheetPr>
  <dimension ref="A1:H57"/>
  <sheetViews>
    <sheetView view="pageBreakPreview" zoomScale="70" zoomScaleNormal="70" zoomScaleSheetLayoutView="70" workbookViewId="0">
      <selection activeCell="M31" sqref="M3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685</v>
      </c>
      <c r="B2" s="3120">
        <f ca="1">ROUND(IF(D2="——",C52/10000,C52/10000-E2),4)</f>
        <v>1811.4201</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37980</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f ca="1">C6+C7+C8</f>
        <v>10395966</v>
      </c>
      <c r="D5" s="203" t="s">
        <v>1469</v>
      </c>
      <c r="E5" s="204" t="s">
        <v>1470</v>
      </c>
      <c r="F5" s="204" t="s">
        <v>1471</v>
      </c>
      <c r="G5" s="205"/>
    </row>
    <row r="6" spans="1:8" s="206" customFormat="1" ht="13.5" customHeight="1">
      <c r="A6" s="732" t="s">
        <v>346</v>
      </c>
      <c r="B6" s="207" t="s">
        <v>1473</v>
      </c>
      <c r="C6" s="208">
        <f>ROUND(基准地价修正办!C33*基准地价修正办!D33,0)</f>
        <v>9995709</v>
      </c>
      <c r="D6" s="209"/>
      <c r="E6" s="210"/>
      <c r="F6" s="210"/>
      <c r="G6" s="211"/>
    </row>
    <row r="7" spans="1:8" s="206" customFormat="1" ht="13.5" customHeight="1">
      <c r="A7" s="732" t="s">
        <v>347</v>
      </c>
      <c r="B7" s="207" t="s">
        <v>1475</v>
      </c>
      <c r="C7" s="212">
        <f>ROUND(C6*F7,0)</f>
        <v>304869</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95388</v>
      </c>
      <c r="D8" s="214"/>
      <c r="E8" s="212"/>
      <c r="F8" s="213"/>
      <c r="G8" s="1714" t="s">
        <v>3446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95388</v>
      </c>
      <c r="D10" s="795">
        <f ca="1">IF(B1="",'数据-汇总表'!E6,IF(INDIRECT("'数据-取费表'!c"&amp;$G$1)="住宅",INDIRECT("'数据-取费表'!s"&amp;$G$1),INDIRECT("'数据-取费表'!k"&amp;$G$1)+INDIRECT("'数据-取费表'!s"&amp;$G$1)))</f>
        <v>476.94000000000005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476.94000000000005</v>
      </c>
      <c r="E19" s="203">
        <f>'数据-取费表'!B31</f>
        <v>200</v>
      </c>
      <c r="F19" s="223"/>
      <c r="G19" s="1714" t="s">
        <v>3447</v>
      </c>
    </row>
    <row r="20" spans="1:7" s="206" customFormat="1" ht="13.5" customHeight="1">
      <c r="A20" s="247" t="s">
        <v>1493</v>
      </c>
      <c r="B20" s="202" t="s">
        <v>1494</v>
      </c>
      <c r="C20" s="224">
        <f ca="1">ROUND((C5+C19)*F20,0)</f>
        <v>259899</v>
      </c>
      <c r="D20" s="224"/>
      <c r="E20" s="224"/>
      <c r="F20" s="225">
        <f>'数据-取费表'!B37</f>
        <v>2.5000000000000001E-2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224">
        <f ca="1">ROUND(SUM(C23:C25),0)</f>
        <v>1009284</v>
      </c>
      <c r="D22" s="227">
        <f ca="1">C26</f>
        <v>1.4E-3</v>
      </c>
      <c r="E22" s="228" t="s">
        <v>1498</v>
      </c>
      <c r="F22" s="229">
        <f ca="1">'数据-取费表'!B40</f>
        <v>3.1E-2</v>
      </c>
      <c r="G22" s="226" t="str">
        <f>IF('数据-取费表'!B22&lt;=1,"单利计息","复利计息")</f>
        <v>复利计息</v>
      </c>
    </row>
    <row r="23" spans="1:7" s="206" customFormat="1" ht="13.5" customHeight="1">
      <c r="A23" s="734" t="s">
        <v>346</v>
      </c>
      <c r="B23" s="207" t="s">
        <v>1503</v>
      </c>
      <c r="C23" s="230">
        <f ca="1">ROUND(IF('数据-取费表'!B22&lt;=1,C5*F22*'数据-取费表'!B22,C5*(POWER((1+F22),'数据-取费表'!B22)-1)),0)</f>
        <v>997106</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f ca="1">ROUND(IF('数据-取费表'!B22&lt;=1,C20*F22*'数据-取费表'!B22/2,C20*(POWER((1+F22),'数据-取费表'!B22/2)-1)),0)</f>
        <v>12178</v>
      </c>
      <c r="D25" s="230"/>
      <c r="E25" s="233"/>
      <c r="F25" s="231"/>
      <c r="G25" s="234" t="s">
        <v>1510</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6.4">
      <c r="A27" s="247" t="s">
        <v>1512</v>
      </c>
      <c r="B27" s="236" t="s">
        <v>1513</v>
      </c>
      <c r="C27" s="237">
        <f ca="1">C28</f>
        <v>2131173</v>
      </c>
      <c r="D27" s="227">
        <f ca="1">C29</f>
        <v>6.0000000000000001E-3</v>
      </c>
      <c r="E27" s="228" t="s">
        <v>1498</v>
      </c>
      <c r="F27" s="238">
        <f ca="1">IF(B1="",'数据-取费表'!Q16,INDIRECT("'数据-取费表'!q"&amp;$G$1))</f>
        <v>0.2</v>
      </c>
      <c r="G27" s="239" t="s">
        <v>1515</v>
      </c>
    </row>
    <row r="28" spans="1:7" s="206" customFormat="1" ht="13.5" customHeight="1">
      <c r="A28" s="734" t="s">
        <v>346</v>
      </c>
      <c r="B28" s="240" t="s">
        <v>1516</v>
      </c>
      <c r="C28" s="241">
        <f ca="1">ROUND((C5+C19+C20)*F27,0)</f>
        <v>2131173</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15172465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3033338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2670864</v>
      </c>
      <c r="D34" s="209"/>
      <c r="E34" s="212"/>
      <c r="F34" s="249"/>
      <c r="G34" s="211"/>
    </row>
    <row r="35" spans="1:7" ht="13.5" customHeight="1">
      <c r="A35" s="734" t="s">
        <v>351</v>
      </c>
      <c r="B35" s="207" t="s">
        <v>1527</v>
      </c>
      <c r="C35" s="212">
        <f ca="1">ROUND(C34*F35,0)</f>
        <v>213669</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95388</v>
      </c>
      <c r="D37" s="209">
        <f ca="1">D19</f>
        <v>476.94000000000005</v>
      </c>
      <c r="E37" s="241">
        <f>'数据-取费表'!B35</f>
        <v>200</v>
      </c>
      <c r="F37" s="251"/>
      <c r="G37" s="253"/>
    </row>
    <row r="38" spans="1:7" ht="13.5" customHeight="1">
      <c r="A38" s="734" t="s">
        <v>354</v>
      </c>
      <c r="B38" s="207" t="s">
        <v>1533</v>
      </c>
      <c r="C38" s="212">
        <f ca="1">ROUND(C34*F38,0)</f>
        <v>53417</v>
      </c>
      <c r="D38" s="212"/>
      <c r="E38" s="212"/>
      <c r="F38" s="251">
        <f>'数据-取费表'!B36</f>
        <v>0.02</v>
      </c>
      <c r="G38" s="211" t="s">
        <v>1528</v>
      </c>
    </row>
    <row r="39" spans="1:7" s="206" customFormat="1" ht="13.5" customHeight="1">
      <c r="A39" s="247" t="s">
        <v>1491</v>
      </c>
      <c r="B39" s="202" t="s">
        <v>1494</v>
      </c>
      <c r="C39" s="224">
        <f ca="1">ROUND(C33*F20,0)</f>
        <v>75833</v>
      </c>
      <c r="D39" s="224"/>
      <c r="E39" s="224"/>
      <c r="F39" s="225">
        <f>F20</f>
        <v>2.5000000000000001E-2</v>
      </c>
      <c r="G39" s="226" t="s">
        <v>1536</v>
      </c>
    </row>
    <row r="40" spans="1:7" s="206" customFormat="1" ht="13.5" customHeight="1">
      <c r="A40" s="247" t="s">
        <v>1493</v>
      </c>
      <c r="B40" s="202" t="s">
        <v>1497</v>
      </c>
      <c r="C40" s="227">
        <f>F21</f>
        <v>0.03</v>
      </c>
      <c r="D40" s="228" t="s">
        <v>1539</v>
      </c>
      <c r="E40" s="224"/>
      <c r="F40" s="225">
        <f>F21</f>
        <v>0.03</v>
      </c>
      <c r="G40" s="226" t="s">
        <v>1540</v>
      </c>
    </row>
    <row r="41" spans="1:7" s="206" customFormat="1" ht="13.5" customHeight="1">
      <c r="A41" s="247" t="s">
        <v>1496</v>
      </c>
      <c r="B41" s="202" t="s">
        <v>1501</v>
      </c>
      <c r="C41" s="224">
        <f ca="1">ROUND(SUM(C42:C43),0)</f>
        <v>145691</v>
      </c>
      <c r="D41" s="227">
        <f ca="1">C44</f>
        <v>1.4E-3</v>
      </c>
      <c r="E41" s="228" t="s">
        <v>1539</v>
      </c>
      <c r="F41" s="229">
        <f ca="1">F22</f>
        <v>3.1E-2</v>
      </c>
      <c r="G41" s="226" t="str">
        <f>IF('数据-取费表'!B22&lt;=1,"单利计息","复利计息")</f>
        <v>复利计息</v>
      </c>
    </row>
    <row r="42" spans="1:7" ht="13.5" customHeight="1">
      <c r="A42" s="734" t="s">
        <v>346</v>
      </c>
      <c r="B42" s="207" t="s">
        <v>1503</v>
      </c>
      <c r="C42" s="230">
        <f ca="1">ROUND(IF('数据-取费表'!B22&lt;=1,C33*F22*'数据-取费表'!B20/2,C33*(POWER((1+F22),'数据-取费表'!B20/2)-1)),0)</f>
        <v>142138</v>
      </c>
      <c r="D42" s="230"/>
      <c r="E42" s="230"/>
      <c r="F42" s="231"/>
      <c r="G42" s="3368" t="s">
        <v>1591</v>
      </c>
    </row>
    <row r="43" spans="1:7" ht="13.5" customHeight="1">
      <c r="A43" s="734" t="s">
        <v>347</v>
      </c>
      <c r="B43" s="207" t="s">
        <v>1506</v>
      </c>
      <c r="C43" s="230">
        <f ca="1">ROUND(IF('数据-取费表'!B22&lt;=1,C39*F22*'数据-取费表'!B20/2,C39*(POWER((1+F22),'数据-取费表'!B20/2)-1)),0)</f>
        <v>3553</v>
      </c>
      <c r="D43" s="230"/>
      <c r="E43" s="230"/>
      <c r="F43" s="231"/>
      <c r="G43" s="3369"/>
    </row>
    <row r="44" spans="1:7" ht="13.5" customHeight="1">
      <c r="A44" s="734" t="s">
        <v>348</v>
      </c>
      <c r="B44" s="207" t="s">
        <v>1509</v>
      </c>
      <c r="C44" s="230">
        <f ca="1">ROUND(IF('数据-取费表'!B22&lt;=1,C40*F22*'数据-取费表'!B20/2,C40*(POWER((1+F22),'数据-取费表'!B20/2)-1)),4)</f>
        <v>1.4E-3</v>
      </c>
      <c r="D44" s="230"/>
      <c r="E44" s="230"/>
      <c r="F44" s="231"/>
      <c r="G44" s="3370"/>
    </row>
    <row r="45" spans="1:7" s="206" customFormat="1" ht="13.5" customHeight="1">
      <c r="A45" s="247" t="s">
        <v>1500</v>
      </c>
      <c r="B45" s="236" t="s">
        <v>1513</v>
      </c>
      <c r="C45" s="237">
        <f ca="1">C46</f>
        <v>621834</v>
      </c>
      <c r="D45" s="227">
        <f ca="1">C47</f>
        <v>6.0000000000000001E-3</v>
      </c>
      <c r="E45" s="228" t="s">
        <v>1539</v>
      </c>
      <c r="F45" s="238">
        <f ca="1">F27</f>
        <v>0.2</v>
      </c>
      <c r="G45" s="239" t="s">
        <v>1548</v>
      </c>
    </row>
    <row r="46" spans="1:7" s="206" customFormat="1" ht="13.5" customHeight="1">
      <c r="A46" s="734" t="s">
        <v>346</v>
      </c>
      <c r="B46" s="240" t="s">
        <v>1549</v>
      </c>
      <c r="C46" s="241">
        <f ca="1">ROUND((C33+C39)*F27,0)</f>
        <v>621834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4263385</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2941736</v>
      </c>
      <c r="D51" s="224"/>
      <c r="E51" s="224"/>
      <c r="F51" s="256"/>
      <c r="G51" s="226" t="s">
        <v>1560</v>
      </c>
    </row>
    <row r="52" spans="1:7" s="200" customFormat="1" ht="16.8" thickBot="1">
      <c r="A52" s="257" t="s">
        <v>1561</v>
      </c>
      <c r="B52" s="258"/>
      <c r="C52" s="259">
        <f ca="1">C31+C51</f>
        <v>18114201</v>
      </c>
      <c r="D52" s="258"/>
      <c r="E52" s="258"/>
      <c r="F52" s="258"/>
      <c r="G52" s="260"/>
    </row>
    <row r="55" spans="1:7" ht="15">
      <c r="B55" s="262" t="s">
        <v>1562</v>
      </c>
      <c r="C55" s="263"/>
    </row>
    <row r="56" spans="1:7">
      <c r="B56" s="265" t="s">
        <v>802</v>
      </c>
      <c r="C56" s="267">
        <f ca="1">1-C57</f>
        <v>0.83799999999999997</v>
      </c>
    </row>
    <row r="57" spans="1:7">
      <c r="B57" s="265" t="s">
        <v>803</v>
      </c>
      <c r="C57" s="266">
        <f ca="1">ROUND(C51/C52,3)</f>
        <v>0.16200000000000001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55B45A54-C493-4414-A21B-0A2756378242}">
      <formula1>"需扣减承租人权益,——"</formula1>
    </dataValidation>
    <dataValidation type="list" allowBlank="1" showInputMessage="1" showErrorMessage="1" sqref="G2" xr:uid="{429532C0-04D8-43A7-B800-8DA0D31E234F}">
      <formula1>估价方法</formula1>
    </dataValidation>
    <dataValidation type="list" allowBlank="1" showInputMessage="1" showErrorMessage="1" sqref="B1" xr:uid="{C35BEF16-F24E-44A5-97BB-C8805CD82D24}">
      <formula1>项目类型</formula1>
    </dataValidation>
    <dataValidation type="list" allowBlank="1" showInputMessage="1" showErrorMessage="1" sqref="G19" xr:uid="{90E7B840-C387-46CC-B519-1AD2F90A2C48}">
      <formula1>"已包含在土地取得成本中,未包含在土地取得成本中"</formula1>
    </dataValidation>
    <dataValidation type="list" allowBlank="1" showInputMessage="1" showErrorMessage="1" sqref="G8" xr:uid="{EDF75EA5-E8CC-4E62-916A-6C635E37B633}">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3B3A0-EC18-491A-8C70-D9A4DB69F641}">
  <sheetPr>
    <tabColor rgb="FF92D050"/>
  </sheetPr>
  <dimension ref="A1:AK83"/>
  <sheetViews>
    <sheetView view="pageBreakPreview" zoomScale="70" zoomScaleNormal="70" zoomScaleSheetLayoutView="70" workbookViewId="0">
      <selection activeCell="F43" sqref="F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18.8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1">
        <f ca="1">ROUND(D2/10000,4)</f>
        <v>1156.8995</v>
      </c>
      <c r="C2" s="1289" t="s">
        <v>805</v>
      </c>
      <c r="D2" s="1375">
        <f ca="1">C40+J29+L46</f>
        <v>11568995</v>
      </c>
      <c r="E2" s="1295" t="s">
        <v>880</v>
      </c>
      <c r="F2" s="1296"/>
      <c r="G2" s="2476"/>
      <c r="H2" s="2466"/>
      <c r="I2" s="2466"/>
      <c r="J2" s="2466"/>
      <c r="K2" s="2467"/>
      <c r="L2" s="2466"/>
      <c r="M2" s="2466"/>
    </row>
    <row r="3" spans="1:37" ht="18" customHeight="1" thickBot="1">
      <c r="A3" s="1297" t="s">
        <v>806</v>
      </c>
      <c r="B3" s="1298">
        <f ca="1">IF(ISERROR(D2/F43),0,ROUND(D2/F43,0))</f>
        <v>24257</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1019659</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ROUND(F6*F8*F7*(1-F9),0)</f>
        <v>1018386</v>
      </c>
      <c r="D6" s="147" t="s">
        <v>2106</v>
      </c>
      <c r="E6" s="294" t="s">
        <v>696</v>
      </c>
      <c r="F6" s="295">
        <f ca="1">INDIRECT("'数据-取费表'!u"&amp;$G$1)</f>
        <v>6.5</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476.94000000000005</v>
      </c>
      <c r="G7" s="1292"/>
      <c r="H7" s="296"/>
      <c r="I7" s="3372"/>
      <c r="J7" s="298"/>
      <c r="K7" s="299"/>
      <c r="L7" s="294" t="s">
        <v>697</v>
      </c>
      <c r="M7" s="295">
        <f ca="1">F7</f>
        <v>476.94000000000005</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0.1</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1273</v>
      </c>
      <c r="D10" s="150" t="s">
        <v>2116</v>
      </c>
      <c r="E10" s="305" t="s">
        <v>701</v>
      </c>
      <c r="F10" s="1053" t="s">
        <v>3448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2941736</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2670864</v>
      </c>
      <c r="D14" s="1257" t="s">
        <v>708</v>
      </c>
      <c r="E14" s="1255"/>
      <c r="F14" s="311"/>
      <c r="G14" s="1292"/>
      <c r="H14" s="928" t="s">
        <v>398</v>
      </c>
      <c r="I14" s="294" t="s">
        <v>709</v>
      </c>
      <c r="J14" s="21">
        <f ca="1">C29</f>
        <v>4263385</v>
      </c>
      <c r="K14" s="12"/>
      <c r="L14" s="759"/>
      <c r="M14" s="760"/>
    </row>
    <row r="15" spans="1:37" s="1304" customFormat="1" ht="18" customHeight="1" thickBot="1">
      <c r="A15" s="928" t="s">
        <v>399</v>
      </c>
      <c r="B15" s="294" t="s">
        <v>710</v>
      </c>
      <c r="C15" s="21">
        <f ca="1">ROUND(C14*F15,0)</f>
        <v>213669</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14430</v>
      </c>
      <c r="K16" s="1024" t="s">
        <v>715</v>
      </c>
      <c r="L16" s="1025"/>
      <c r="M16" s="1009"/>
    </row>
    <row r="17" spans="1:37" s="1304" customFormat="1" ht="18" customHeight="1">
      <c r="A17" s="928" t="s">
        <v>681</v>
      </c>
      <c r="B17" s="294" t="s">
        <v>716</v>
      </c>
      <c r="C17" s="21">
        <f ca="1">ROUND(F17*(F43+INDIRECT("'数据-取费表'!S"&amp;$G$1)),0)</f>
        <v>95388</v>
      </c>
      <c r="D17" s="294" t="s">
        <v>717</v>
      </c>
      <c r="E17" s="294" t="s">
        <v>718</v>
      </c>
      <c r="F17" s="23">
        <f>'数据-取费表'!B35</f>
        <v>200</v>
      </c>
      <c r="G17" s="1303"/>
      <c r="H17" s="928" t="s">
        <v>398</v>
      </c>
      <c r="I17" s="294" t="s">
        <v>719</v>
      </c>
      <c r="J17" s="2140">
        <f ca="1">ROUND(IF(AND(项目基本情况!B11="自然人",项目基本情况!B10="北京市"),J6*M17/(1+'数据-取费表'!C42),J18+J19+J20),0)</f>
        <v>1640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53417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3033338</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75833</v>
      </c>
      <c r="D20" s="315" t="s">
        <v>729</v>
      </c>
      <c r="E20" s="294" t="s">
        <v>712</v>
      </c>
      <c r="F20" s="314">
        <f>'数据-取费表'!B37</f>
        <v>2.5000000000000001E-2</v>
      </c>
      <c r="G20" s="1303"/>
      <c r="H20" s="928" t="s">
        <v>680</v>
      </c>
      <c r="I20" s="147" t="s">
        <v>730</v>
      </c>
      <c r="J20" s="22">
        <f ca="1">ROUND(M20*M21,0)</f>
        <v>1640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54.66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12790</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145691</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-14430</v>
      </c>
      <c r="K25" s="1032" t="s">
        <v>753</v>
      </c>
      <c r="L25" s="1033"/>
      <c r="M25" s="1034"/>
    </row>
    <row r="26" spans="1:37" ht="18" customHeight="1">
      <c r="A26" s="928" t="s">
        <v>397</v>
      </c>
      <c r="B26" s="294" t="s">
        <v>754</v>
      </c>
      <c r="C26" s="21">
        <f ca="1">ROUND((C19+C20)*F26,0)</f>
        <v>621834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4263385</v>
      </c>
      <c r="D29" s="1029"/>
      <c r="E29" s="1027"/>
      <c r="F29" s="1030"/>
      <c r="G29" s="1303"/>
      <c r="H29" s="325" t="s">
        <v>396</v>
      </c>
      <c r="I29" s="326" t="s">
        <v>768</v>
      </c>
      <c r="J29" s="327">
        <f ca="1">ROUND(J26/(1+F40)^F41,0)</f>
        <v>0</v>
      </c>
      <c r="K29" s="328" t="s">
        <v>769</v>
      </c>
      <c r="L29" s="329"/>
      <c r="M29" s="330">
        <f ca="1">INDIRECT("'数据-取费表'!k"&amp;$G$1)</f>
        <v>476.94000000000005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193171</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172341</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54314</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116387</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1640</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54.66</v>
      </c>
      <c r="G35" s="1292"/>
      <c r="H35" s="2468"/>
      <c r="I35" s="1305"/>
      <c r="J35" s="1306"/>
      <c r="K35" s="2472"/>
      <c r="L35" s="2471"/>
      <c r="M35" s="2471"/>
    </row>
    <row r="36" spans="1:18" ht="18" customHeight="1">
      <c r="A36" s="1039" t="s">
        <v>402</v>
      </c>
      <c r="B36" s="294" t="s">
        <v>738</v>
      </c>
      <c r="C36" s="21">
        <f ca="1">ROUND(C29*F36,0)</f>
        <v>12790</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ROUND(C13*F37,0)</f>
        <v>2942</v>
      </c>
      <c r="D37" s="1256" t="s">
        <v>743</v>
      </c>
      <c r="E37" s="294" t="s">
        <v>712</v>
      </c>
      <c r="F37" s="321">
        <f ca="1">INDIRECT("'数据-取费表'!Al"&amp;$G$1)</f>
        <v>1E-3</v>
      </c>
      <c r="G37" s="1292"/>
      <c r="H37" s="2471"/>
      <c r="I37" s="1305"/>
      <c r="J37" s="1306"/>
      <c r="K37" s="2329"/>
      <c r="L37" s="2471"/>
      <c r="M37" s="2471"/>
    </row>
    <row r="38" spans="1:18" ht="18" customHeight="1" thickBot="1">
      <c r="A38" s="1026" t="s">
        <v>683</v>
      </c>
      <c r="B38" s="1027" t="s">
        <v>728</v>
      </c>
      <c r="C38" s="1028">
        <f ca="1">ROUND(C5*F38,0)</f>
        <v>5098</v>
      </c>
      <c r="D38" s="1029" t="s">
        <v>748</v>
      </c>
      <c r="E38" s="1027" t="s">
        <v>712</v>
      </c>
      <c r="F38" s="1023">
        <f ca="1">INDIRECT("'数据-取费表'!Am"&amp;$G$1)</f>
        <v>5.0000000000000001E-3</v>
      </c>
      <c r="G38" s="1292"/>
      <c r="H38" s="2471"/>
      <c r="I38" s="1305"/>
      <c r="J38" s="1306"/>
      <c r="K38" s="2469"/>
      <c r="L38" s="2471"/>
      <c r="M38" s="2471"/>
    </row>
    <row r="39" spans="1:18" ht="24.6" customHeight="1" thickTop="1">
      <c r="A39" s="1016" t="s">
        <v>394</v>
      </c>
      <c r="B39" s="1031" t="s">
        <v>752</v>
      </c>
      <c r="C39" s="302">
        <f ca="1">C5-C30</f>
        <v>826488</v>
      </c>
      <c r="D39" s="1032" t="s">
        <v>753</v>
      </c>
      <c r="E39" s="1033"/>
      <c r="F39" s="1034"/>
      <c r="G39" s="1292"/>
      <c r="H39" s="2471"/>
      <c r="I39" s="1305"/>
      <c r="J39" s="1306"/>
      <c r="K39" s="2469"/>
      <c r="L39" s="2471"/>
      <c r="M39" s="2471"/>
    </row>
    <row r="40" spans="1:18" ht="18" customHeight="1">
      <c r="A40" s="291" t="s">
        <v>395</v>
      </c>
      <c r="B40" s="292" t="s">
        <v>774</v>
      </c>
      <c r="C40" s="293">
        <f ca="1">ROUND(C39*(1-((1+F42)/(1+F40))^F41)/(F40-F42),0)</f>
        <v>11091026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18.8</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23255</v>
      </c>
      <c r="D43" s="328" t="s">
        <v>777</v>
      </c>
      <c r="E43" s="329" t="s">
        <v>778</v>
      </c>
      <c r="F43" s="330">
        <f ca="1">INDIRECT("'数据-取费表'!k"&amp;$G$1)</f>
        <v>476.94000000000005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-1129.1445000000001</v>
      </c>
      <c r="D45" s="3128" t="s">
        <v>3349</v>
      </c>
      <c r="E45" s="1307"/>
      <c r="F45" s="1307"/>
      <c r="O45" s="1310" t="s">
        <v>808</v>
      </c>
      <c r="P45" s="1366"/>
      <c r="Q45" s="1366"/>
      <c r="R45" s="1366"/>
    </row>
    <row r="46" spans="1:18" s="1292" customFormat="1" ht="13.8" thickBot="1">
      <c r="A46" s="1311" t="s">
        <v>809</v>
      </c>
      <c r="C46" s="1312">
        <f ca="1">ROUND(C45,0)</f>
        <v>-1129</v>
      </c>
      <c r="D46" s="1313" t="str">
        <f>C2</f>
        <v>万元</v>
      </c>
      <c r="I46" s="1314" t="s">
        <v>810</v>
      </c>
      <c r="J46" s="1315"/>
      <c r="K46" s="1316"/>
      <c r="L46" s="1317">
        <f ca="1">IF(M47="住宅",0,IF(L48&gt;J51,L60,J60))</f>
        <v>477969</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3449</v>
      </c>
      <c r="K47" s="1323" t="s">
        <v>816</v>
      </c>
      <c r="L47" s="1324">
        <f ca="1">INDIRECT("'数据-取费表'!d"&amp;$G$1)</f>
        <v>50</v>
      </c>
      <c r="M47" s="1288" t="str">
        <f>IF(ISNUMBER(FIND("住宅",C1)),"住宅","非住宅")</f>
        <v>非住宅</v>
      </c>
      <c r="O47" s="1325" t="s">
        <v>403</v>
      </c>
      <c r="P47" s="1326" t="s">
        <v>817</v>
      </c>
      <c r="Q47" s="1327">
        <f ca="1">C40+J29</f>
        <v>11091026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3450</v>
      </c>
      <c r="K48" s="1330" t="s">
        <v>820</v>
      </c>
      <c r="L48" s="1331">
        <f ca="1">INDIRECT("'数据-取费表'!f"&amp;$G$1)</f>
        <v>18.8</v>
      </c>
      <c r="O48" s="1325" t="s">
        <v>404</v>
      </c>
      <c r="P48" s="1326" t="s">
        <v>821</v>
      </c>
      <c r="Q48" s="1327">
        <f ca="1">J60</f>
        <v>477969</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'数据-取费表'!O19</f>
        <v>1996</v>
      </c>
      <c r="K49" s="1330" t="s">
        <v>824</v>
      </c>
      <c r="L49" s="1333"/>
      <c r="O49" s="1334" t="s">
        <v>405</v>
      </c>
      <c r="P49" s="1326" t="s">
        <v>825</v>
      </c>
      <c r="Q49" s="1327">
        <f ca="1">C29</f>
        <v>4263385</v>
      </c>
      <c r="R49" s="1327" t="s">
        <v>818</v>
      </c>
    </row>
    <row r="50" spans="1:18" s="1292" customFormat="1" ht="13.8" thickBot="1">
      <c r="A50" s="922"/>
      <c r="B50" s="925"/>
      <c r="C50" s="926"/>
      <c r="D50" s="899"/>
      <c r="E50" s="993" t="s">
        <v>697</v>
      </c>
      <c r="F50" s="994">
        <f ca="1">F7</f>
        <v>476.94000000000005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31</v>
      </c>
      <c r="K51" s="1339" t="s">
        <v>830</v>
      </c>
      <c r="L51" s="1340">
        <f ca="1">ROUND(-PV(INDIRECT("'数据-取费表'!h"&amp;$G$1),J51,(C39-C13*C76),0),0)</f>
        <v>9676376</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18.8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18.8</v>
      </c>
      <c r="K53" s="3374" t="s">
        <v>837</v>
      </c>
      <c r="L53" s="3375"/>
      <c r="O53" s="1325" t="s">
        <v>409</v>
      </c>
      <c r="P53" s="1326" t="s">
        <v>838</v>
      </c>
      <c r="Q53" s="1327">
        <f ca="1">Q47+Q48</f>
        <v>11568995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0.20300000000000001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2941736</v>
      </c>
      <c r="D56" s="1352"/>
      <c r="E56" s="1353"/>
      <c r="F56" s="1345"/>
      <c r="I56" s="1354" t="s">
        <v>842</v>
      </c>
      <c r="J56" s="1355"/>
      <c r="K56" s="1328" t="s">
        <v>843</v>
      </c>
      <c r="L56" s="1331" t="str">
        <f ca="1">IF(L48&lt;J51,"——",L48-J51)</f>
        <v>——</v>
      </c>
      <c r="O56" s="1325" t="s">
        <v>403</v>
      </c>
      <c r="P56" s="1326" t="s">
        <v>817</v>
      </c>
      <c r="Q56" s="1327">
        <f ca="1">C40+J29</f>
        <v>11091026</v>
      </c>
      <c r="R56" s="1327" t="s">
        <v>818</v>
      </c>
    </row>
    <row r="57" spans="1:18" s="1292" customFormat="1" ht="24.6" thickBot="1">
      <c r="A57" s="1356"/>
      <c r="B57" s="896" t="s">
        <v>767</v>
      </c>
      <c r="C57" s="230">
        <f ca="1">C29</f>
        <v>4263385</v>
      </c>
      <c r="D57" s="1357"/>
      <c r="E57" s="1358"/>
      <c r="F57" s="1359"/>
      <c r="I57" s="1360" t="s">
        <v>844</v>
      </c>
      <c r="J57" s="1361">
        <f ca="1">IF(OR(M47="住宅",J51&lt;L48,J56="是"),"——",J51-L48)</f>
        <v>12.2</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17372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1640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1705354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477969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f ca="1">IF(项目基本情况!B11="自然人","——",IF(D61="按租金收入计税",ROUND(C49*F61/(1+'数据-取费表'!C42),0),IF(D61="按房产原值计税",ROUND(C57*F61*0.7,0),INDIRECT("'数据-取费表'!Aj"&amp;$G$1))))</f>
        <v>0</v>
      </c>
      <c r="D61" s="1278" t="s">
        <v>3332</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f ca="1">IF(项目基本情况!B11="自然人","——",ROUND(F62*F63,0))</f>
        <v>1640</v>
      </c>
      <c r="D62" s="911" t="s">
        <v>731</v>
      </c>
      <c r="E62" s="896" t="s">
        <v>732</v>
      </c>
      <c r="F62" s="317">
        <f t="shared" si="0"/>
        <v>30</v>
      </c>
      <c r="I62" s="1367" t="s">
        <v>858</v>
      </c>
      <c r="J62" s="610" t="s">
        <v>859</v>
      </c>
      <c r="K62" s="610" t="s">
        <v>860</v>
      </c>
      <c r="L62" s="610" t="s">
        <v>861</v>
      </c>
      <c r="M62" s="1368" t="s">
        <v>862</v>
      </c>
      <c r="O62" s="1325" t="s">
        <v>409</v>
      </c>
      <c r="P62" s="1326" t="s">
        <v>838</v>
      </c>
      <c r="Q62" s="1327">
        <f ca="1">Q56+Q57</f>
        <v>11091026</v>
      </c>
      <c r="R62" s="1327" t="s">
        <v>410</v>
      </c>
    </row>
    <row r="63" spans="1:18" s="1292" customFormat="1" ht="13.8" thickBot="1">
      <c r="A63" s="318"/>
      <c r="B63" s="902"/>
      <c r="C63" s="26"/>
      <c r="D63" s="912"/>
      <c r="E63" s="896" t="s">
        <v>736</v>
      </c>
      <c r="F63" s="295">
        <f t="shared" ca="1" si="0"/>
        <v>54.66</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12790</v>
      </c>
      <c r="D64" s="910" t="s">
        <v>771</v>
      </c>
      <c r="E64" s="896" t="s">
        <v>712</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2942</v>
      </c>
      <c r="D65" s="910" t="s">
        <v>743</v>
      </c>
      <c r="E65" s="896" t="s">
        <v>712</v>
      </c>
      <c r="F65" s="321">
        <f t="shared" ca="1" si="0"/>
        <v>1E-3</v>
      </c>
      <c r="I65" s="1367" t="s">
        <v>867</v>
      </c>
      <c r="J65" s="610">
        <v>40</v>
      </c>
      <c r="K65" s="610">
        <v>30</v>
      </c>
      <c r="L65" s="610">
        <v>50</v>
      </c>
      <c r="M65" s="1369">
        <v>0.02</v>
      </c>
      <c r="O65" s="1325" t="s">
        <v>403</v>
      </c>
      <c r="P65" s="1326" t="s">
        <v>817</v>
      </c>
      <c r="Q65" s="1327">
        <f ca="1">C40+J29</f>
        <v>11091026</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-17372</v>
      </c>
      <c r="D67" s="909" t="s">
        <v>753</v>
      </c>
      <c r="E67" s="914"/>
      <c r="F67" s="915"/>
      <c r="O67" s="1334" t="s">
        <v>405</v>
      </c>
      <c r="P67" s="1326" t="s">
        <v>850</v>
      </c>
      <c r="Q67" s="1370">
        <f ca="1">L51</f>
        <v>9676376</v>
      </c>
      <c r="R67" s="1327" t="s">
        <v>870</v>
      </c>
    </row>
    <row r="68" spans="1:18" s="1292" customFormat="1" ht="16.2" thickBot="1">
      <c r="A68" s="893" t="s">
        <v>395</v>
      </c>
      <c r="B68" s="894" t="s">
        <v>774</v>
      </c>
      <c r="C68" s="293">
        <f ca="1">ROUND(C67*(1-((1+F70)/(1+F68))^F69)/(F68-F70),0)</f>
        <v>-200419</v>
      </c>
      <c r="D68" s="911" t="s">
        <v>758</v>
      </c>
      <c r="E68" s="896" t="s">
        <v>759</v>
      </c>
      <c r="F68" s="304">
        <f ca="1">F40</f>
        <v>5.5E-2</v>
      </c>
      <c r="O68" s="1334" t="s">
        <v>406</v>
      </c>
      <c r="P68" s="1371" t="s">
        <v>871</v>
      </c>
      <c r="Q68" s="1327">
        <f ca="1">ROUND(Q69-Q70*Q71,0)</f>
        <v>620566</v>
      </c>
      <c r="R68" s="1327" t="s">
        <v>414</v>
      </c>
    </row>
    <row r="69" spans="1:18" s="1292" customFormat="1" ht="13.8" thickBot="1">
      <c r="A69" s="897"/>
      <c r="B69" s="898"/>
      <c r="C69" s="298"/>
      <c r="D69" s="916" t="s">
        <v>762</v>
      </c>
      <c r="E69" s="896" t="s">
        <v>763</v>
      </c>
      <c r="F69" s="324">
        <f ca="1">F41</f>
        <v>18.8</v>
      </c>
      <c r="O69" s="1334" t="s">
        <v>411</v>
      </c>
      <c r="P69" s="1371" t="s">
        <v>872</v>
      </c>
      <c r="Q69" s="1327">
        <f ca="1">C39</f>
        <v>826488</v>
      </c>
      <c r="R69" s="1327" t="s">
        <v>818</v>
      </c>
    </row>
    <row r="70" spans="1:18" s="1292" customFormat="1" ht="13.8" thickBot="1">
      <c r="A70" s="900"/>
      <c r="B70" s="901"/>
      <c r="C70" s="302"/>
      <c r="D70" s="912"/>
      <c r="E70" s="896" t="s">
        <v>766</v>
      </c>
      <c r="F70" s="991"/>
      <c r="O70" s="1334" t="s">
        <v>412</v>
      </c>
      <c r="P70" s="1371" t="s">
        <v>873</v>
      </c>
      <c r="Q70" s="1327">
        <f ca="1">C13</f>
        <v>2941736</v>
      </c>
      <c r="R70" s="1327" t="s">
        <v>818</v>
      </c>
    </row>
    <row r="71" spans="1:18" s="1292" customFormat="1" ht="13.8" thickBot="1">
      <c r="A71" s="917" t="s">
        <v>396</v>
      </c>
      <c r="B71" s="918" t="s">
        <v>776</v>
      </c>
      <c r="C71" s="327">
        <f ca="1">ROUND(C68/F71,0)</f>
        <v>-420</v>
      </c>
      <c r="D71" s="919" t="s">
        <v>777</v>
      </c>
      <c r="E71" s="920" t="s">
        <v>778</v>
      </c>
      <c r="F71" s="330">
        <f ca="1">F43</f>
        <v>476.94000000000005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205922</v>
      </c>
      <c r="D75" s="1292"/>
      <c r="E75" s="1292"/>
      <c r="F75" s="1292"/>
      <c r="K75" s="1309"/>
      <c r="L75" s="1292"/>
      <c r="O75" s="1325" t="s">
        <v>409</v>
      </c>
      <c r="P75" s="1326" t="s">
        <v>838</v>
      </c>
      <c r="Q75" s="1327">
        <f ca="1">Q65+Q66</f>
        <v>11091026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0.751</v>
      </c>
    </row>
    <row r="80" spans="1:18">
      <c r="B80" s="331" t="s">
        <v>800</v>
      </c>
      <c r="C80" s="266">
        <f ca="1">ROUND(C75/C39,3)</f>
        <v>0.249</v>
      </c>
    </row>
    <row r="81" spans="2:3">
      <c r="B81" s="262" t="s">
        <v>801</v>
      </c>
      <c r="C81" s="230"/>
    </row>
    <row r="82" spans="2:3">
      <c r="B82" s="265" t="s">
        <v>802</v>
      </c>
      <c r="C82" s="267">
        <f ca="1">1-C83</f>
        <v>0.73499999999999999</v>
      </c>
    </row>
    <row r="83" spans="2:3">
      <c r="B83" s="265" t="s">
        <v>803</v>
      </c>
      <c r="C83" s="266">
        <f ca="1">ROUND(C13/C40,3)</f>
        <v>0.26500000000000001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F73248DD-F32F-48B4-AD24-BC4A199BAC30}">
      <formula1>"在建（套用方法）,土地（套用方法）,——"</formula1>
    </dataValidation>
    <dataValidation type="list" allowBlank="1" showInputMessage="1" showErrorMessage="1" sqref="F10 F53 M10" xr:uid="{765DD306-0D0B-42D1-A3D6-A003A6501C0D}">
      <formula1>"押一,押二,押三,自定义"</formula1>
    </dataValidation>
    <dataValidation type="list" allowBlank="1" showInputMessage="1" showErrorMessage="1" sqref="K19" xr:uid="{ABF53B92-851A-4C8C-BECE-FFF0A8030611}">
      <formula1>"按租金收入计税,按房产原值计税"</formula1>
    </dataValidation>
    <dataValidation type="list" allowBlank="1" showInputMessage="1" showErrorMessage="1" sqref="D33 D61" xr:uid="{F32E26AA-D02A-4F6E-B0C7-E7A2B1424823}">
      <formula1>"按租金收入计税,按房产原值计税,按票据"</formula1>
    </dataValidation>
    <dataValidation type="list" allowBlank="1" showInputMessage="1" showErrorMessage="1" sqref="C1" xr:uid="{3063ADB6-1033-423C-9AF4-7E4F67CCF8EC}">
      <formula1>项目类型</formula1>
    </dataValidation>
    <dataValidation type="list" allowBlank="1" showInputMessage="1" showErrorMessage="1" sqref="J47" xr:uid="{D18515B4-BDDB-4997-8427-434EB461A530}">
      <formula1>"钢,钢混,砖混"</formula1>
    </dataValidation>
    <dataValidation type="list" allowBlank="1" showInputMessage="1" showErrorMessage="1" sqref="J48" xr:uid="{18FCE8B0-6978-4D8B-8166-52382488AF40}">
      <formula1>"非生产用房,生产用房,受腐蚀的生产用房"</formula1>
    </dataValidation>
    <dataValidation type="list" allowBlank="1" showInputMessage="1" showErrorMessage="1" sqref="J56" xr:uid="{06DB1DCC-6BCD-4D71-AA31-69677903DD6A}">
      <formula1>估价范围判定</formula1>
    </dataValidation>
    <dataValidation type="list" allowBlank="1" showInputMessage="1" showErrorMessage="1" sqref="L55" xr:uid="{80ED25DB-A3FC-4E82-B6D0-DA492297E09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6">
      <c r="A3" s="3178"/>
      <c r="B3" s="3178"/>
      <c r="C3" s="3178"/>
      <c r="D3" s="801" t="s">
        <v>925</v>
      </c>
      <c r="E3" s="801" t="s">
        <v>931</v>
      </c>
      <c r="F3" s="801" t="s">
        <v>925</v>
      </c>
      <c r="G3" s="801" t="s">
        <v>926</v>
      </c>
      <c r="H3" s="801" t="s">
        <v>925</v>
      </c>
      <c r="I3" s="801" t="s">
        <v>926</v>
      </c>
    </row>
    <row r="4" spans="1:9" ht="30">
      <c r="A4" s="1403" t="str">
        <f>项目基本情况!S2</f>
        <v>北京市北京市朝阳区朝阳门外大街18号房地产</v>
      </c>
      <c r="B4" s="801">
        <f>项目基本情况!C17</f>
        <v>476.94000000000005</v>
      </c>
      <c r="C4" s="801">
        <f>项目基本情况!C18</f>
        <v>54.66</v>
      </c>
      <c r="D4" s="801" t="e">
        <f ca="1">结果表!D118</f>
        <v>#N/A</v>
      </c>
      <c r="E4" s="801" t="e">
        <f ca="1">结果表!E118</f>
        <v>#N/A</v>
      </c>
      <c r="F4" s="801" t="e">
        <f ca="1">结果表!F118</f>
        <v>#N/A</v>
      </c>
      <c r="G4" s="801" t="e">
        <f ca="1">结果表!G118</f>
        <v>#N/A</v>
      </c>
      <c r="H4" s="801" t="e">
        <f ca="1">结果表!H118</f>
        <v>#N/A</v>
      </c>
      <c r="I4" s="801" t="e">
        <f ca="1">结果表!I118</f>
        <v>#N/A</v>
      </c>
    </row>
    <row r="5" spans="1:9" ht="30" customHeight="1">
      <c r="A5" s="3178" t="s">
        <v>927</v>
      </c>
      <c r="B5" s="3178"/>
      <c r="C5" s="3178"/>
      <c r="D5" s="3178" t="e">
        <f ca="1">结果表!D119</f>
        <v>#N/A</v>
      </c>
      <c r="E5" s="3178"/>
      <c r="F5" s="3178" t="e">
        <f ca="1">结果表!F119</f>
        <v>#N/A</v>
      </c>
      <c r="G5" s="3178"/>
      <c r="H5" s="3178" t="e">
        <f ca="1">结果表!H119</f>
        <v>#N/A</v>
      </c>
      <c r="I5" s="3178"/>
    </row>
    <row r="6" spans="1:9" ht="15.6">
      <c r="A6" s="3179" t="str">
        <f>结果表!A120</f>
        <v>估价师知悉的法定优先受偿款</v>
      </c>
      <c r="B6" s="3179"/>
      <c r="C6" s="3179"/>
      <c r="D6" s="3179">
        <f>结果表!D120</f>
        <v>0</v>
      </c>
      <c r="E6" s="3179"/>
      <c r="F6" s="3179"/>
      <c r="G6" s="3179"/>
      <c r="H6" s="3179"/>
      <c r="I6" s="3179"/>
    </row>
    <row r="7" spans="1:9" ht="15">
      <c r="A7" s="3178" t="s">
        <v>927</v>
      </c>
      <c r="B7" s="3178"/>
      <c r="C7" s="3178"/>
      <c r="D7" s="3180" t="str">
        <f>结果表!D121</f>
        <v>零元整</v>
      </c>
      <c r="E7" s="3181"/>
      <c r="F7" s="3181"/>
      <c r="G7" s="3181"/>
      <c r="H7" s="3181"/>
      <c r="I7" s="3182"/>
    </row>
    <row r="8" spans="1:9" ht="15.6">
      <c r="A8" s="3179" t="str">
        <f>结果表!A122</f>
        <v>房地产抵押价值</v>
      </c>
      <c r="B8" s="3179"/>
      <c r="C8" s="3179"/>
      <c r="D8" s="3179" t="e">
        <f ca="1">结果表!D122</f>
        <v>#N/A</v>
      </c>
      <c r="E8" s="3179"/>
      <c r="F8" s="3179"/>
      <c r="G8" s="3179"/>
      <c r="H8" s="3179"/>
      <c r="I8" s="3179"/>
    </row>
    <row r="9" spans="1:9" ht="15">
      <c r="A9" s="3178" t="s">
        <v>927</v>
      </c>
      <c r="B9" s="3178"/>
      <c r="C9" s="3178"/>
      <c r="D9" s="3178" t="e">
        <f ca="1">结果表!D123</f>
        <v>#N/A</v>
      </c>
      <c r="E9" s="3178"/>
      <c r="F9" s="3178"/>
      <c r="G9" s="3178"/>
      <c r="H9" s="3178"/>
      <c r="I9" s="3178"/>
    </row>
    <row r="10" spans="1:9" ht="15.6">
      <c r="A10" s="3179" t="str">
        <f>结果表!A124</f>
        <v/>
      </c>
      <c r="B10" s="3179"/>
      <c r="C10" s="3179"/>
      <c r="D10" s="3179" t="str">
        <f>结果表!D124</f>
        <v>——</v>
      </c>
      <c r="E10" s="3179"/>
      <c r="F10" s="3179"/>
      <c r="G10" s="3179"/>
      <c r="H10" s="3179"/>
      <c r="I10" s="3179"/>
    </row>
    <row r="11" spans="1:9" ht="15">
      <c r="A11" s="3178" t="s">
        <v>927</v>
      </c>
      <c r="B11" s="3178"/>
      <c r="C11" s="3178"/>
      <c r="D11" s="3178" t="e">
        <f>结果表!D125</f>
        <v>#VALUE!</v>
      </c>
      <c r="E11" s="3178"/>
      <c r="F11" s="3178"/>
      <c r="G11" s="3178"/>
      <c r="H11" s="3178"/>
      <c r="I11" s="3178"/>
    </row>
    <row r="12" spans="1:9" ht="15.6">
      <c r="A12" s="3179" t="str">
        <f>结果表!A126</f>
        <v>抵押净值</v>
      </c>
      <c r="B12" s="3179"/>
      <c r="C12" s="3179"/>
      <c r="D12" s="3179" t="e">
        <f ca="1">结果表!D126</f>
        <v>#N/A</v>
      </c>
      <c r="E12" s="3179"/>
      <c r="F12" s="3179"/>
      <c r="G12" s="3179"/>
      <c r="H12" s="3179"/>
      <c r="I12" s="3179"/>
    </row>
    <row r="13" spans="1:9" ht="15.6" thickBot="1">
      <c r="A13" s="3183" t="s">
        <v>927</v>
      </c>
      <c r="B13" s="3183"/>
      <c r="C13" s="3183"/>
      <c r="D13" s="3183" t="e">
        <f ca="1">结果表!D127</f>
        <v>#N/A</v>
      </c>
      <c r="E13" s="3183"/>
      <c r="F13" s="3183"/>
      <c r="G13" s="3183"/>
      <c r="H13" s="3183"/>
      <c r="I13" s="3183"/>
    </row>
    <row r="14" spans="1:9" ht="14.4" thickTop="1">
      <c r="A14" s="3184" t="s">
        <v>932</v>
      </c>
      <c r="B14" s="3184"/>
      <c r="C14" s="3184"/>
      <c r="D14" s="3184"/>
      <c r="E14" s="3184"/>
      <c r="F14" s="3184"/>
      <c r="G14" s="3184"/>
      <c r="H14" s="3184"/>
      <c r="I14" s="318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5" t="s">
        <v>949</v>
      </c>
      <c r="B1" s="3185"/>
      <c r="C1" s="3185"/>
      <c r="D1" s="3185"/>
    </row>
    <row r="2" spans="1:4" ht="17.399999999999999">
      <c r="A2" s="3186" t="s">
        <v>933</v>
      </c>
      <c r="B2" s="3186"/>
      <c r="C2" s="3186"/>
      <c r="D2" s="3186"/>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86" t="s">
        <v>939</v>
      </c>
      <c r="B6" s="3186"/>
      <c r="C6" s="3186"/>
      <c r="D6" s="318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7" t="s">
        <v>942</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1" t="s">
        <v>943</v>
      </c>
      <c r="B16" s="3191"/>
      <c r="C16" s="3191"/>
      <c r="D16" s="3191"/>
    </row>
    <row r="17" spans="1:4" ht="144" customHeight="1">
      <c r="A17" s="3191" t="s">
        <v>944</v>
      </c>
      <c r="B17" s="3191"/>
      <c r="C17" s="3191"/>
      <c r="D17" s="3191"/>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45770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结果表办</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2025-04-23T03:03:23Z</dcterms:modified>
</cp:coreProperties>
</file>