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3085" yWindow="495" windowWidth="9630" windowHeight="11760" tabRatio="875"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7"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商业" sheetId="72"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商业" sheetId="73" r:id="rId34"/>
    <sheet name="不动产收益法-车库" sheetId="74" r:id="rId35"/>
    <sheet name="不动产收益法" sheetId="15"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5" r:id="rId47"/>
    <sheet name="收益依据" sheetId="78" r:id="rId48"/>
  </sheets>
  <externalReferences>
    <externalReference r:id="rId49"/>
    <externalReference r:id="rId50"/>
    <externalReference r:id="rId51"/>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22">'基准地价-商业'!$A$1:$J$44,'基准地价-商业'!$A$47:$N$103,'基准地价-商业'!$R$1:$V$16</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[1]定义!$G$2:$G$5</definedName>
    <definedName name="法定最高年限">定义!$G$2:$G$5</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 localSheetId="22">'基准地价-商业'!$N$19:$AB$19</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[1]修正!$C$71:$C$139</definedName>
    <definedName name="商业街名称">修正!$C$71:$C$139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'比较法-工业'!$B$100:$M$100</definedName>
    <definedName name="套工用途" localSheetId="11">'[1]比较法-工业'!$B$71:$M$71</definedName>
    <definedName name="套工用途">'比较法-工业'!$B$71:$M$71</definedName>
    <definedName name="套工宗地形状" localSheetId="11">'[1]比较法-工业'!$B$111:$M$111</definedName>
    <definedName name="套工宗地形状">'比较法-工业'!$B$111:$M$111</definedName>
    <definedName name="套综道路等级" localSheetId="11">'[1]比较法-住宅、综合'!$B$107:$M$107</definedName>
    <definedName name="套综道路等级">'比较法-住宅、综合'!$B$107:$M$107</definedName>
    <definedName name="套综工程地质条件" localSheetId="11">'[1]比较法-住宅、综合'!$B$126:$M$126</definedName>
    <definedName name="套综工程地质条件">'比较法-住宅、综合'!$B$126:$M$126</definedName>
    <definedName name="套综交易情况" localSheetId="11">'[1]比较法-住宅、综合'!$A$74:$M$74</definedName>
    <definedName name="套综交易情况">'比较法-住宅、综合'!$A$74:$M$74</definedName>
    <definedName name="套综临街宽度及深度" localSheetId="11">'[1]比较法-住宅、综合'!$B$122:$M$122</definedName>
    <definedName name="套综临街宽度及深度">'比较法-住宅、综合'!$B$122:$M$122</definedName>
    <definedName name="套综土地级别" localSheetId="11">'[1]比较法-住宅、综合'!$B$109:$M$109</definedName>
    <definedName name="套综土地级别">'比较法-住宅、综合'!$B$109:$M$109</definedName>
    <definedName name="套综用途" localSheetId="11">'[1]比较法-住宅、综合'!$B$76:$M$76</definedName>
    <definedName name="套综用途">'比较法-住宅、综合'!$B$76:$M$76</definedName>
    <definedName name="套综宗地内开发程度" localSheetId="11">'[1]比较法-住宅、综合'!$B$124:$M$124</definedName>
    <definedName name="套综宗地内开发程度">'比较法-住宅、综合'!$B$124:$M$124</definedName>
    <definedName name="套综宗地形状" localSheetId="11">'[1]比较法-住宅、综合'!$B$120:$M$120</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6">'[2]数据-汇总表'!$C$17:$C$26</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[1]定义!$F$1:$F$12</definedName>
    <definedName name="主用途">定义!$F$1:$F$12</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25" i="1" l="1"/>
  <c r="A8" i="77"/>
  <c r="C37" i="9" l="1"/>
  <c r="C38" i="9"/>
  <c r="B38" i="9"/>
  <c r="I17" i="4"/>
  <c r="W24" i="1"/>
  <c r="P17" i="78"/>
  <c r="P16" i="78"/>
  <c r="P15" i="78"/>
  <c r="P3" i="78"/>
  <c r="P4" i="78"/>
  <c r="P5" i="78"/>
  <c r="P6" i="78"/>
  <c r="P7" i="78"/>
  <c r="P8" i="78"/>
  <c r="P9" i="78"/>
  <c r="P10" i="78"/>
  <c r="P11" i="78"/>
  <c r="P12" i="78"/>
  <c r="P13" i="78"/>
  <c r="P14" i="78"/>
  <c r="P2" i="78"/>
  <c r="C31" i="77"/>
  <c r="E35" i="68"/>
  <c r="D35" i="68"/>
  <c r="E34" i="68"/>
  <c r="D34" i="68"/>
  <c r="V7" i="1"/>
  <c r="U17" i="78"/>
  <c r="U16" i="78"/>
  <c r="U15" i="78"/>
  <c r="U14" i="78"/>
  <c r="U13" i="78"/>
  <c r="U12" i="78"/>
  <c r="U11" i="78"/>
  <c r="U10" i="78"/>
  <c r="U9" i="78"/>
  <c r="U8" i="78"/>
  <c r="U7" i="78"/>
  <c r="U6" i="78"/>
  <c r="U5" i="78"/>
  <c r="U4" i="78"/>
  <c r="B35" i="1"/>
  <c r="AH7" i="1"/>
  <c r="L14" i="1"/>
  <c r="A3" i="3"/>
  <c r="C40" i="39" s="1"/>
  <c r="AT13" i="3"/>
  <c r="K20" i="1" s="1"/>
  <c r="AN13" i="3"/>
  <c r="AL13" i="3"/>
  <c r="M13" i="3"/>
  <c r="G20" i="6" s="1"/>
  <c r="K13" i="3"/>
  <c r="G19" i="6" s="1"/>
  <c r="V20" i="1" s="1"/>
  <c r="A5" i="77"/>
  <c r="K19" i="1" s="1"/>
  <c r="I13" i="3"/>
  <c r="F19" i="6" s="1"/>
  <c r="V19" i="1" s="1"/>
  <c r="W21" i="1" s="1"/>
  <c r="B4" i="77"/>
  <c r="B3" i="77" s="1"/>
  <c r="D1" i="77" s="1"/>
  <c r="B23" i="77"/>
  <c r="D104" i="34" l="1"/>
  <c r="E104" i="34" s="1"/>
  <c r="F104" i="34" s="1"/>
  <c r="G104" i="34" s="1"/>
  <c r="H104" i="34" s="1"/>
  <c r="I104" i="34" s="1"/>
  <c r="D105" i="34"/>
  <c r="E105" i="34" s="1"/>
  <c r="F105" i="34" s="1"/>
  <c r="G105" i="34" s="1"/>
  <c r="H105" i="34" s="1"/>
  <c r="I105" i="34" s="1"/>
  <c r="D119" i="39" l="1"/>
  <c r="E119" i="39" s="1"/>
  <c r="F119" i="39" s="1"/>
  <c r="G119" i="39" s="1"/>
  <c r="H119" i="39" s="1"/>
  <c r="E40" i="39" l="1"/>
  <c r="E69" i="34" l="1"/>
  <c r="F69" i="34" s="1"/>
  <c r="G69" i="34" s="1"/>
  <c r="H69" i="34" s="1"/>
  <c r="D69" i="34"/>
  <c r="E81" i="39"/>
  <c r="F81" i="39" s="1"/>
  <c r="G81" i="39" s="1"/>
  <c r="H81" i="39" s="1"/>
  <c r="D81" i="39"/>
  <c r="E59" i="39" l="1"/>
  <c r="I43" i="39" l="1"/>
  <c r="G43" i="39"/>
  <c r="E43" i="39"/>
  <c r="D72" i="39"/>
  <c r="E72" i="39" s="1"/>
  <c r="F72" i="39" s="1"/>
  <c r="G72" i="39" s="1"/>
  <c r="H72" i="39" s="1"/>
  <c r="I72" i="39" s="1"/>
  <c r="J72" i="39" s="1"/>
  <c r="K72" i="39" s="1"/>
  <c r="L72" i="39" s="1"/>
  <c r="M72" i="39" s="1"/>
  <c r="N72" i="39" s="1"/>
  <c r="I48" i="39"/>
  <c r="G48" i="39"/>
  <c r="E48" i="39"/>
  <c r="E118" i="39"/>
  <c r="F118" i="39" s="1"/>
  <c r="G118" i="39" s="1"/>
  <c r="H118" i="39" s="1"/>
  <c r="D118" i="39"/>
  <c r="I40" i="39"/>
  <c r="G40" i="39"/>
  <c r="I9" i="39"/>
  <c r="G9" i="39"/>
  <c r="E9" i="39"/>
  <c r="E76" i="39"/>
  <c r="D76" i="39"/>
  <c r="C76" i="39"/>
  <c r="I13" i="39"/>
  <c r="G13" i="39"/>
  <c r="E13" i="39"/>
  <c r="I7" i="39"/>
  <c r="G7" i="39"/>
  <c r="E7" i="39"/>
  <c r="C7" i="39"/>
  <c r="D40" i="46" l="1"/>
  <c r="B39" i="9" s="1"/>
  <c r="B37" i="9" l="1"/>
  <c r="D3" i="4"/>
  <c r="C39" i="9" l="1"/>
  <c r="E38" i="9"/>
  <c r="E37" i="9"/>
  <c r="Q73" i="74"/>
  <c r="Q60" i="74"/>
  <c r="D60" i="74"/>
  <c r="Q59" i="74"/>
  <c r="K59" i="74"/>
  <c r="F58" i="74"/>
  <c r="Q52" i="74"/>
  <c r="J50" i="74"/>
  <c r="M47" i="74"/>
  <c r="F33" i="74"/>
  <c r="F60" i="74" s="1"/>
  <c r="F31" i="74"/>
  <c r="F23" i="74"/>
  <c r="D24" i="74" s="1"/>
  <c r="F21" i="74"/>
  <c r="F20" i="74"/>
  <c r="M19" i="74"/>
  <c r="F18" i="74"/>
  <c r="M17" i="74"/>
  <c r="F17" i="74"/>
  <c r="F15" i="74"/>
  <c r="Q73" i="73"/>
  <c r="Q60" i="73"/>
  <c r="D60" i="73"/>
  <c r="Q59" i="73"/>
  <c r="K59" i="73"/>
  <c r="P75" i="73" s="1"/>
  <c r="F58" i="73"/>
  <c r="Q52" i="73"/>
  <c r="J50" i="73"/>
  <c r="M47" i="73"/>
  <c r="L46" i="73" s="1"/>
  <c r="F33" i="73"/>
  <c r="F60" i="73" s="1"/>
  <c r="F31" i="73"/>
  <c r="F23" i="73"/>
  <c r="D24" i="73" s="1"/>
  <c r="F21" i="73"/>
  <c r="F20" i="73"/>
  <c r="M19" i="73"/>
  <c r="F18" i="73"/>
  <c r="M17" i="73"/>
  <c r="F17" i="73"/>
  <c r="F15" i="73"/>
  <c r="D37" i="72"/>
  <c r="D1" i="72" s="1"/>
  <c r="D33" i="72"/>
  <c r="F117" i="72"/>
  <c r="N112" i="72"/>
  <c r="N113" i="72" s="1"/>
  <c r="M112" i="72"/>
  <c r="M113" i="72" s="1"/>
  <c r="L112" i="72"/>
  <c r="L113" i="72" s="1"/>
  <c r="K112" i="72"/>
  <c r="K113" i="72" s="1"/>
  <c r="J112" i="72"/>
  <c r="J113" i="72" s="1"/>
  <c r="I112" i="72"/>
  <c r="I113" i="72" s="1"/>
  <c r="H112" i="72"/>
  <c r="H113" i="72" s="1"/>
  <c r="G112" i="72"/>
  <c r="G113" i="72" s="1"/>
  <c r="F112" i="72"/>
  <c r="F113" i="72" s="1"/>
  <c r="E112" i="72"/>
  <c r="E113" i="72" s="1"/>
  <c r="D112" i="72"/>
  <c r="D113" i="72" s="1"/>
  <c r="C112" i="72"/>
  <c r="C113" i="72" s="1"/>
  <c r="M101" i="72"/>
  <c r="N101" i="72" s="1"/>
  <c r="K101" i="72"/>
  <c r="J101" i="72" s="1"/>
  <c r="D101" i="72"/>
  <c r="N100" i="72"/>
  <c r="M100" i="72"/>
  <c r="K100" i="72"/>
  <c r="J100" i="72" s="1"/>
  <c r="D100" i="72"/>
  <c r="M99" i="72"/>
  <c r="N99" i="72" s="1"/>
  <c r="K99" i="72"/>
  <c r="J99" i="72" s="1"/>
  <c r="D99" i="72"/>
  <c r="N98" i="72"/>
  <c r="M98" i="72"/>
  <c r="K98" i="72"/>
  <c r="J98" i="72" s="1"/>
  <c r="D98" i="72"/>
  <c r="N97" i="72"/>
  <c r="M97" i="72"/>
  <c r="K97" i="72"/>
  <c r="J97" i="72" s="1"/>
  <c r="D97" i="72"/>
  <c r="B97" i="72"/>
  <c r="M96" i="72"/>
  <c r="N96" i="72" s="1"/>
  <c r="K96" i="72"/>
  <c r="J96" i="72" s="1"/>
  <c r="D96" i="72"/>
  <c r="M95" i="72"/>
  <c r="N95" i="72" s="1"/>
  <c r="K95" i="72"/>
  <c r="J95" i="72" s="1"/>
  <c r="D95" i="72"/>
  <c r="B95" i="72"/>
  <c r="N94" i="72"/>
  <c r="M94" i="72"/>
  <c r="K94" i="72"/>
  <c r="J94" i="72" s="1"/>
  <c r="D94" i="72"/>
  <c r="M93" i="72"/>
  <c r="N93" i="72" s="1"/>
  <c r="K93" i="72"/>
  <c r="J93" i="72" s="1"/>
  <c r="F93" i="72"/>
  <c r="H98" i="72" s="1"/>
  <c r="D93" i="72"/>
  <c r="N90" i="72"/>
  <c r="M90" i="72"/>
  <c r="K90" i="72"/>
  <c r="J90" i="72" s="1"/>
  <c r="D90" i="72"/>
  <c r="M89" i="72"/>
  <c r="N89" i="72" s="1"/>
  <c r="K89" i="72"/>
  <c r="J89" i="72"/>
  <c r="D89" i="72"/>
  <c r="M88" i="72"/>
  <c r="N88" i="72" s="1"/>
  <c r="K88" i="72"/>
  <c r="J88" i="72" s="1"/>
  <c r="D88" i="72"/>
  <c r="N87" i="72"/>
  <c r="M87" i="72"/>
  <c r="K87" i="72"/>
  <c r="J87" i="72" s="1"/>
  <c r="D87" i="72"/>
  <c r="M86" i="72"/>
  <c r="N86" i="72" s="1"/>
  <c r="K86" i="72"/>
  <c r="J86" i="72" s="1"/>
  <c r="D86" i="72"/>
  <c r="B86" i="72"/>
  <c r="N85" i="72"/>
  <c r="M85" i="72"/>
  <c r="K85" i="72"/>
  <c r="J85" i="72" s="1"/>
  <c r="D85" i="72"/>
  <c r="B85" i="72"/>
  <c r="M84" i="72"/>
  <c r="N84" i="72" s="1"/>
  <c r="K84" i="72"/>
  <c r="J84" i="72" s="1"/>
  <c r="D84" i="72"/>
  <c r="N83" i="72"/>
  <c r="M83" i="72"/>
  <c r="K83" i="72"/>
  <c r="J83" i="72" s="1"/>
  <c r="F83" i="72"/>
  <c r="H88" i="72" s="1"/>
  <c r="E83" i="72"/>
  <c r="B81" i="72" s="1"/>
  <c r="D83" i="72"/>
  <c r="M80" i="72"/>
  <c r="N80" i="72" s="1"/>
  <c r="K80" i="72"/>
  <c r="J80" i="72" s="1"/>
  <c r="D80" i="72"/>
  <c r="M79" i="72"/>
  <c r="N79" i="72" s="1"/>
  <c r="K79" i="72"/>
  <c r="J79" i="72" s="1"/>
  <c r="D79" i="72"/>
  <c r="M78" i="72"/>
  <c r="N78" i="72" s="1"/>
  <c r="K78" i="72"/>
  <c r="J78" i="72"/>
  <c r="D78" i="72"/>
  <c r="M77" i="72"/>
  <c r="N77" i="72" s="1"/>
  <c r="K77" i="72"/>
  <c r="J77" i="72"/>
  <c r="D77" i="72"/>
  <c r="M76" i="72"/>
  <c r="N76" i="72" s="1"/>
  <c r="K76" i="72"/>
  <c r="J76" i="72" s="1"/>
  <c r="D76" i="72"/>
  <c r="M75" i="72"/>
  <c r="N75" i="72" s="1"/>
  <c r="K75" i="72"/>
  <c r="J75" i="72"/>
  <c r="D75" i="72"/>
  <c r="M74" i="72"/>
  <c r="N74" i="72" s="1"/>
  <c r="K74" i="72"/>
  <c r="J74" i="72" s="1"/>
  <c r="D74" i="72"/>
  <c r="B74" i="72"/>
  <c r="M73" i="72"/>
  <c r="N73" i="72" s="1"/>
  <c r="K73" i="72"/>
  <c r="J73" i="72"/>
  <c r="D73" i="72"/>
  <c r="M72" i="72"/>
  <c r="N72" i="72" s="1"/>
  <c r="K72" i="72"/>
  <c r="J72" i="72" s="1"/>
  <c r="F72" i="72"/>
  <c r="H77" i="72" s="1"/>
  <c r="D72" i="72"/>
  <c r="N69" i="72"/>
  <c r="M69" i="72"/>
  <c r="K69" i="72"/>
  <c r="J69" i="72" s="1"/>
  <c r="D69" i="72"/>
  <c r="M68" i="72"/>
  <c r="N68" i="72" s="1"/>
  <c r="K68" i="72"/>
  <c r="J68" i="72" s="1"/>
  <c r="D68" i="72" s="1"/>
  <c r="E61" i="72" s="1"/>
  <c r="B59" i="72" s="1"/>
  <c r="M67" i="72"/>
  <c r="N67" i="72" s="1"/>
  <c r="K67" i="72"/>
  <c r="J67" i="72" s="1"/>
  <c r="D67" i="72"/>
  <c r="M66" i="72"/>
  <c r="N66" i="72" s="1"/>
  <c r="K66" i="72"/>
  <c r="J66" i="72"/>
  <c r="D66" i="72"/>
  <c r="M65" i="72"/>
  <c r="N65" i="72" s="1"/>
  <c r="K65" i="72"/>
  <c r="J65" i="72"/>
  <c r="D65" i="72"/>
  <c r="N64" i="72"/>
  <c r="M64" i="72"/>
  <c r="K64" i="72"/>
  <c r="J64" i="72" s="1"/>
  <c r="D64" i="72"/>
  <c r="M63" i="72"/>
  <c r="N63" i="72" s="1"/>
  <c r="K63" i="72"/>
  <c r="J63" i="72" s="1"/>
  <c r="D63" i="72"/>
  <c r="B63" i="72"/>
  <c r="M62" i="72"/>
  <c r="N62" i="72" s="1"/>
  <c r="K62" i="72"/>
  <c r="J62" i="72"/>
  <c r="D62" i="72"/>
  <c r="M61" i="72"/>
  <c r="N61" i="72" s="1"/>
  <c r="K61" i="72"/>
  <c r="J61" i="72" s="1"/>
  <c r="D61" i="72"/>
  <c r="M58" i="72"/>
  <c r="N58" i="72" s="1"/>
  <c r="K58" i="72"/>
  <c r="J58" i="72" s="1"/>
  <c r="D58" i="72"/>
  <c r="M57" i="72"/>
  <c r="N57" i="72" s="1"/>
  <c r="K57" i="72"/>
  <c r="J57" i="72"/>
  <c r="D57" i="72" s="1"/>
  <c r="M56" i="72"/>
  <c r="N56" i="72" s="1"/>
  <c r="K56" i="72"/>
  <c r="J56" i="72" s="1"/>
  <c r="D56" i="72"/>
  <c r="M55" i="72"/>
  <c r="N55" i="72" s="1"/>
  <c r="K55" i="72"/>
  <c r="J55" i="72"/>
  <c r="D55" i="72"/>
  <c r="M54" i="72"/>
  <c r="N54" i="72" s="1"/>
  <c r="K54" i="72"/>
  <c r="J54" i="72"/>
  <c r="D54" i="72"/>
  <c r="M53" i="72"/>
  <c r="N53" i="72" s="1"/>
  <c r="K53" i="72"/>
  <c r="J53" i="72" s="1"/>
  <c r="D53" i="72"/>
  <c r="M52" i="72"/>
  <c r="N52" i="72" s="1"/>
  <c r="K52" i="72"/>
  <c r="J52" i="72" s="1"/>
  <c r="D52" i="72"/>
  <c r="B52" i="72"/>
  <c r="M51" i="72"/>
  <c r="N51" i="72" s="1"/>
  <c r="K51" i="72"/>
  <c r="J51" i="72" s="1"/>
  <c r="D51" i="72"/>
  <c r="M50" i="72"/>
  <c r="N50" i="72" s="1"/>
  <c r="K50" i="72"/>
  <c r="J50" i="72" s="1"/>
  <c r="D50" i="72"/>
  <c r="H42" i="72"/>
  <c r="H41" i="72"/>
  <c r="H40" i="72"/>
  <c r="H39" i="72"/>
  <c r="H38" i="72"/>
  <c r="H37" i="72"/>
  <c r="P32" i="72"/>
  <c r="M32" i="72"/>
  <c r="J24" i="72"/>
  <c r="G24" i="72"/>
  <c r="G18" i="72" s="1"/>
  <c r="E24" i="72"/>
  <c r="O32" i="72" s="1"/>
  <c r="I23" i="72"/>
  <c r="C22" i="72"/>
  <c r="C20" i="72"/>
  <c r="G17" i="72"/>
  <c r="C17" i="72"/>
  <c r="C13"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C7" i="72"/>
  <c r="N6" i="72"/>
  <c r="I2" i="72"/>
  <c r="M12" i="72" s="1"/>
  <c r="G2" i="72"/>
  <c r="C27" i="72" s="1"/>
  <c r="D42" i="46"/>
  <c r="D33" i="46"/>
  <c r="D22" i="74" l="1"/>
  <c r="E72" i="72"/>
  <c r="B70" i="72" s="1"/>
  <c r="E93" i="72"/>
  <c r="B91" i="72" s="1"/>
  <c r="D22" i="73"/>
  <c r="N10" i="72"/>
  <c r="M11" i="72"/>
  <c r="N32" i="72"/>
  <c r="D23" i="73"/>
  <c r="D23" i="74"/>
  <c r="E50" i="72"/>
  <c r="B48" i="72" s="1"/>
  <c r="C28" i="72" s="1"/>
  <c r="L46" i="74"/>
  <c r="P75" i="74"/>
  <c r="P62" i="74"/>
  <c r="P62" i="73"/>
  <c r="F50" i="72"/>
  <c r="X7" i="72"/>
  <c r="S3" i="72"/>
  <c r="S6" i="72"/>
  <c r="M8" i="72"/>
  <c r="D21" i="72"/>
  <c r="M1" i="72"/>
  <c r="M2" i="72"/>
  <c r="M4" i="72"/>
  <c r="H90" i="72"/>
  <c r="N1" i="72"/>
  <c r="N2" i="72"/>
  <c r="M5" i="72"/>
  <c r="N7" i="72"/>
  <c r="M9" i="72"/>
  <c r="H87" i="72"/>
  <c r="H57" i="72"/>
  <c r="H53" i="72"/>
  <c r="H50" i="72"/>
  <c r="H56" i="72"/>
  <c r="H52" i="72"/>
  <c r="H58" i="72"/>
  <c r="H74" i="72"/>
  <c r="H72" i="72"/>
  <c r="K21" i="72"/>
  <c r="H79" i="72"/>
  <c r="H85" i="72"/>
  <c r="N3" i="72"/>
  <c r="N5" i="72"/>
  <c r="M7" i="72"/>
  <c r="N8" i="72"/>
  <c r="H76" i="72"/>
  <c r="H80" i="72"/>
  <c r="H83" i="72"/>
  <c r="E10" i="72"/>
  <c r="E8" i="72"/>
  <c r="E9" i="72"/>
  <c r="E11" i="72"/>
  <c r="L21" i="72"/>
  <c r="F41" i="72"/>
  <c r="H97" i="72"/>
  <c r="H100" i="72"/>
  <c r="N12" i="72"/>
  <c r="N11" i="72"/>
  <c r="M3" i="72"/>
  <c r="N4" i="72"/>
  <c r="S5" i="72"/>
  <c r="M6" i="72"/>
  <c r="N9" i="72"/>
  <c r="M10" i="72"/>
  <c r="H21" i="72"/>
  <c r="M21" i="72"/>
  <c r="Q32" i="72"/>
  <c r="H94" i="72"/>
  <c r="H101" i="72"/>
  <c r="H95" i="72"/>
  <c r="H99" i="72"/>
  <c r="H96" i="72"/>
  <c r="H93" i="72"/>
  <c r="H117" i="72"/>
  <c r="F61" i="72"/>
  <c r="F40" i="72"/>
  <c r="F38" i="72"/>
  <c r="F37" i="72"/>
  <c r="N21" i="72"/>
  <c r="J21" i="72"/>
  <c r="S2" i="72"/>
  <c r="C6" i="72"/>
  <c r="S4" i="72"/>
  <c r="C21" i="72"/>
  <c r="I21" i="72"/>
  <c r="O21" i="72"/>
  <c r="I18" i="72"/>
  <c r="E17" i="72" s="1"/>
  <c r="F39" i="72"/>
  <c r="F42" i="72"/>
  <c r="E44" i="72"/>
  <c r="H55" i="72"/>
  <c r="H75" i="72"/>
  <c r="H78" i="72"/>
  <c r="H86" i="72"/>
  <c r="H89" i="72"/>
  <c r="H51" i="72"/>
  <c r="H54" i="72"/>
  <c r="H73" i="72"/>
  <c r="H84" i="72"/>
  <c r="F17" i="4"/>
  <c r="D5" i="72" l="1"/>
  <c r="C5" i="72"/>
  <c r="H68" i="72"/>
  <c r="H65" i="72"/>
  <c r="H62" i="72"/>
  <c r="H66" i="72"/>
  <c r="H69" i="72"/>
  <c r="H64" i="72"/>
  <c r="H61" i="72"/>
  <c r="H67" i="72"/>
  <c r="H63" i="72"/>
  <c r="G21" i="72"/>
  <c r="G14" i="65"/>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72" l="1"/>
  <c r="E21" i="46"/>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R34" i="68"/>
  <c r="R33" i="68"/>
  <c r="C30" i="68"/>
  <c r="M24" i="68"/>
  <c r="R23" i="68"/>
  <c r="R22" i="68"/>
  <c r="R21" i="68"/>
  <c r="N19" i="68"/>
  <c r="R18" i="68"/>
  <c r="R17" i="68"/>
  <c r="R16" i="68"/>
  <c r="M14" i="68"/>
  <c r="N14" i="68" s="1"/>
  <c r="D14" i="68"/>
  <c r="R13" i="68"/>
  <c r="R12" i="68"/>
  <c r="R11" i="68"/>
  <c r="R10" i="68"/>
  <c r="R9" i="68"/>
  <c r="R8" i="68"/>
  <c r="R7" i="68"/>
  <c r="R4" i="68"/>
  <c r="R3" i="68"/>
  <c r="R14" i="68" l="1"/>
  <c r="R24" i="68"/>
  <c r="R25" i="68"/>
  <c r="R19" i="68"/>
  <c r="R35" i="68"/>
  <c r="U34" i="68" s="1"/>
  <c r="F26" i="43"/>
  <c r="AH10" i="59" l="1"/>
  <c r="AG10" i="59"/>
  <c r="AE10" i="59"/>
  <c r="AF10" i="59" s="1"/>
  <c r="AD10" i="59"/>
  <c r="Q10" i="59"/>
  <c r="P10" i="59"/>
  <c r="O10" i="59"/>
  <c r="N10" i="59"/>
  <c r="AH11" i="59" l="1"/>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N29" i="59"/>
  <c r="B29"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N39" i="59"/>
  <c r="X39" i="59" s="1"/>
  <c r="Q38" i="59"/>
  <c r="AB38" i="59" s="1"/>
  <c r="F39" i="59"/>
  <c r="P38" i="59"/>
  <c r="E39" i="59"/>
  <c r="E40" i="59" s="1"/>
  <c r="E41" i="59" s="1"/>
  <c r="U41" i="59" s="1"/>
  <c r="O38" i="59"/>
  <c r="N38" i="59"/>
  <c r="D38" i="59"/>
  <c r="Q37" i="59"/>
  <c r="AB37" i="59" s="1"/>
  <c r="P37" i="59"/>
  <c r="O37" i="59"/>
  <c r="N37" i="59"/>
  <c r="Q36" i="59"/>
  <c r="AB36" i="59" s="1"/>
  <c r="P36" i="59"/>
  <c r="O36" i="59"/>
  <c r="N36" i="59"/>
  <c r="Q35" i="59"/>
  <c r="AB35" i="59" s="1"/>
  <c r="P35" i="59"/>
  <c r="O35" i="59"/>
  <c r="N35" i="59"/>
  <c r="Q34" i="59"/>
  <c r="P34" i="59"/>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26" i="59" s="1"/>
  <c r="Z26" i="59" s="1"/>
  <c r="N30" i="59"/>
  <c r="D30" i="59"/>
  <c r="X28" i="59"/>
  <c r="AA3" i="59"/>
  <c r="AA27" i="59"/>
  <c r="AA29" i="59"/>
  <c r="AB29" i="59"/>
  <c r="AB3" i="59"/>
  <c r="AB26" i="59"/>
  <c r="AB27" i="59"/>
  <c r="AB28" i="59"/>
  <c r="E31" i="59"/>
  <c r="E32" i="59"/>
  <c r="E33" i="59" s="1"/>
  <c r="U33" i="59" s="1"/>
  <c r="B52" i="59"/>
  <c r="B53" i="59"/>
  <c r="S53" i="59" s="1"/>
  <c r="E52" i="59"/>
  <c r="E53" i="59" s="1"/>
  <c r="U53" i="59" s="1"/>
  <c r="S6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3" i="59"/>
  <c r="C48" i="59"/>
  <c r="D48" i="59" s="1"/>
  <c r="D47" i="59"/>
  <c r="C52" i="59"/>
  <c r="D51" i="59"/>
  <c r="C56" i="59"/>
  <c r="D55" i="59"/>
  <c r="C60" i="59"/>
  <c r="D59" i="59"/>
  <c r="C64" i="59"/>
  <c r="D63" i="59"/>
  <c r="C36" i="59"/>
  <c r="D35" i="59"/>
  <c r="E67" i="59"/>
  <c r="T69" i="59"/>
  <c r="O69" i="59"/>
  <c r="D69" i="59"/>
  <c r="C68" i="59"/>
  <c r="P69" i="59"/>
  <c r="U69" i="59"/>
  <c r="Q69" i="59"/>
  <c r="C72" i="59"/>
  <c r="E72" i="59"/>
  <c r="E71" i="59"/>
  <c r="D73" i="59"/>
  <c r="C76" i="59"/>
  <c r="E76" i="59"/>
  <c r="E75" i="59"/>
  <c r="D77" i="59"/>
  <c r="C80" i="59"/>
  <c r="E80" i="59"/>
  <c r="E79" i="59"/>
  <c r="D81" i="59"/>
  <c r="C84" i="59"/>
  <c r="C88" i="59"/>
  <c r="U16" i="4"/>
  <c r="T16" i="4" s="1"/>
  <c r="S16" i="4"/>
  <c r="Q16" i="4"/>
  <c r="O16" i="4"/>
  <c r="M16" i="4"/>
  <c r="K16" i="4"/>
  <c r="P66" i="59"/>
  <c r="P67" i="59"/>
  <c r="D88" i="59"/>
  <c r="C87" i="59"/>
  <c r="D87" i="59" s="1"/>
  <c r="D80" i="59"/>
  <c r="C79" i="59"/>
  <c r="D79" i="59" s="1"/>
  <c r="D72" i="59"/>
  <c r="C71" i="59"/>
  <c r="D71" i="59" s="1"/>
  <c r="C67" i="59"/>
  <c r="O68" i="59"/>
  <c r="D68" i="59"/>
  <c r="D84" i="59"/>
  <c r="C83" i="59"/>
  <c r="D83" i="59" s="1"/>
  <c r="D76" i="59"/>
  <c r="C75" i="59"/>
  <c r="D75" i="59"/>
  <c r="C37" i="59"/>
  <c r="D36" i="59"/>
  <c r="C65" i="59"/>
  <c r="D64" i="59"/>
  <c r="D60" i="59"/>
  <c r="C61" i="59"/>
  <c r="C57" i="59"/>
  <c r="D56" i="59"/>
  <c r="C53" i="59"/>
  <c r="D52" i="59"/>
  <c r="C45" i="59"/>
  <c r="D44" i="59"/>
  <c r="T61"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S21" i="34" s="1"/>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72" s="1"/>
  <c r="C22" i="20"/>
  <c r="B68" i="46" s="1"/>
  <c r="S18" i="36"/>
  <c r="S21" i="37"/>
  <c r="C27" i="40"/>
  <c r="B57" i="46"/>
  <c r="E66" i="36"/>
  <c r="H18" i="35"/>
  <c r="J18" i="35"/>
  <c r="H21" i="37"/>
  <c r="J21" i="37"/>
  <c r="E84" i="34"/>
  <c r="F84" i="34"/>
  <c r="G84" i="34" s="1"/>
  <c r="J21" i="34"/>
  <c r="AC21" i="34" s="1"/>
  <c r="H21" i="34"/>
  <c r="U21" i="34" s="1"/>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72" s="1"/>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E19" i="4"/>
  <c r="G7" i="1"/>
  <c r="B2" i="52"/>
  <c r="B15" i="52" s="1"/>
  <c r="F41" i="4"/>
  <c r="J52" i="40" s="1"/>
  <c r="H42" i="46"/>
  <c r="H41" i="46"/>
  <c r="H39" i="46"/>
  <c r="H38" i="46"/>
  <c r="H37" i="46"/>
  <c r="C10" i="46"/>
  <c r="C11" i="46" s="1"/>
  <c r="C9" i="46"/>
  <c r="E19" i="6"/>
  <c r="E20" i="6"/>
  <c r="E21" i="6"/>
  <c r="K8" i="1" s="1"/>
  <c r="AO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AC42" i="34" s="1"/>
  <c r="F42" i="34"/>
  <c r="S42" i="34" s="1"/>
  <c r="J38" i="34"/>
  <c r="AC38" i="34" s="1"/>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D96" i="39"/>
  <c r="D94" i="39"/>
  <c r="E94" i="39" s="1"/>
  <c r="F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H46" i="34" s="1"/>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c r="F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s="1"/>
  <c r="Q41" i="34"/>
  <c r="Z41" i="34" s="1"/>
  <c r="Q40" i="34"/>
  <c r="Z40" i="34" s="1"/>
  <c r="F40" i="34"/>
  <c r="S40" i="34" s="1"/>
  <c r="Q39" i="34"/>
  <c r="Z39" i="34"/>
  <c r="J39" i="34"/>
  <c r="AC39" i="34" s="1"/>
  <c r="H39" i="34"/>
  <c r="AB39" i="34" s="1"/>
  <c r="F39" i="34"/>
  <c r="S39" i="34" s="1"/>
  <c r="Q38" i="34"/>
  <c r="Z38" i="34" s="1"/>
  <c r="Q37" i="34"/>
  <c r="Z37" i="34" s="1"/>
  <c r="Q36" i="34"/>
  <c r="Z36" i="34"/>
  <c r="Q35" i="34"/>
  <c r="Z35" i="34"/>
  <c r="Q34" i="34"/>
  <c r="Z34" i="34"/>
  <c r="Q33" i="34"/>
  <c r="Z33" i="34"/>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9" i="34"/>
  <c r="AC9" i="34" s="1"/>
  <c r="H9" i="34"/>
  <c r="AB9" i="34" s="1"/>
  <c r="F9" i="34"/>
  <c r="S9" i="34" s="1"/>
  <c r="J8" i="34"/>
  <c r="AC8" i="34" s="1"/>
  <c r="H8" i="34"/>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72" s="1"/>
  <c r="B90" i="46"/>
  <c r="C25" i="40"/>
  <c r="G16" i="20"/>
  <c r="G15" i="20"/>
  <c r="B83" i="72" s="1"/>
  <c r="B83" i="46"/>
  <c r="C24" i="20"/>
  <c r="B75" i="46"/>
  <c r="C21" i="20"/>
  <c r="B76" i="46"/>
  <c r="C20" i="20"/>
  <c r="C18" i="20"/>
  <c r="C17" i="20"/>
  <c r="C16" i="20"/>
  <c r="C15" i="20"/>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s="1"/>
  <c r="H43" i="21"/>
  <c r="AB43" i="21" s="1"/>
  <c r="F32" i="21"/>
  <c r="F38" i="21"/>
  <c r="S38" i="21"/>
  <c r="F36" i="21"/>
  <c r="S36" i="21"/>
  <c r="F39" i="21"/>
  <c r="AA39" i="21"/>
  <c r="J40" i="21"/>
  <c r="W40" i="21"/>
  <c r="H35" i="21"/>
  <c r="AB35" i="2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s="1"/>
  <c r="H39" i="33"/>
  <c r="AB39" i="33" s="1"/>
  <c r="F26" i="33"/>
  <c r="AA26" i="33" s="1"/>
  <c r="U33" i="33"/>
  <c r="W38" i="33"/>
  <c r="S40" i="33"/>
  <c r="S33" i="33"/>
  <c r="W33" i="33"/>
  <c r="U38" i="33"/>
  <c r="S8" i="21"/>
  <c r="W8" i="21"/>
  <c r="H39" i="37"/>
  <c r="AB39" i="37"/>
  <c r="AB27" i="35"/>
  <c r="W10" i="40"/>
  <c r="U11" i="40"/>
  <c r="U36" i="40"/>
  <c r="S40" i="39"/>
  <c r="F11" i="21"/>
  <c r="S11" i="21" s="1"/>
  <c r="AC40" i="21"/>
  <c r="AA38"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J10" i="34"/>
  <c r="AC10" i="34" s="1"/>
  <c r="W8" i="34"/>
  <c r="J28" i="34"/>
  <c r="W28" i="34" s="1"/>
  <c r="S38" i="33"/>
  <c r="E113" i="33"/>
  <c r="F36" i="33"/>
  <c r="S36" i="33" s="1"/>
  <c r="F19" i="33"/>
  <c r="S19" i="33" s="1"/>
  <c r="J19" i="33"/>
  <c r="S10" i="21"/>
  <c r="W40" i="33"/>
  <c r="F125" i="21"/>
  <c r="G125" i="21"/>
  <c r="AB30" i="36"/>
  <c r="AC34" i="36"/>
  <c r="H29" i="35"/>
  <c r="U34" i="37"/>
  <c r="S34" i="37"/>
  <c r="AA34" i="37"/>
  <c r="AB42" i="34"/>
  <c r="AB40" i="34"/>
  <c r="F113" i="33"/>
  <c r="G113" i="33" s="1"/>
  <c r="H113" i="33" s="1"/>
  <c r="I113" i="33" s="1"/>
  <c r="J113" i="33" s="1"/>
  <c r="K113" i="33" s="1"/>
  <c r="L113" i="33" s="1"/>
  <c r="M113" i="33" s="1"/>
  <c r="H37" i="33"/>
  <c r="AB37" i="33" s="1"/>
  <c r="S37" i="33"/>
  <c r="W42" i="34"/>
  <c r="AA42" i="34"/>
  <c r="S38" i="34"/>
  <c r="J37" i="33"/>
  <c r="W37" i="33" s="1"/>
  <c r="J42" i="21"/>
  <c r="AC42" i="21" s="1"/>
  <c r="J44" i="34"/>
  <c r="W44" i="34" s="1"/>
  <c r="F44" i="34"/>
  <c r="AA44" i="34" s="1"/>
  <c r="S44" i="34"/>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31" i="21"/>
  <c r="AB13" i="21"/>
  <c r="S46" i="21"/>
  <c r="AC30" i="21"/>
  <c r="W30" i="21"/>
  <c r="AB30" i="21"/>
  <c r="AA28" i="21"/>
  <c r="W14" i="21"/>
  <c r="AC14" i="21"/>
  <c r="W42" i="21"/>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AZ559" i="3" s="1"/>
  <c r="BA557" i="3"/>
  <c r="BA555" i="3"/>
  <c r="AZ555" i="3" s="1"/>
  <c r="BA551" i="3"/>
  <c r="BA545" i="3"/>
  <c r="AZ545" i="3" s="1"/>
  <c r="BA543" i="3"/>
  <c r="BA541" i="3"/>
  <c r="AZ541" i="3" s="1"/>
  <c r="BA531" i="3"/>
  <c r="BA521" i="3"/>
  <c r="BA509" i="3"/>
  <c r="BA505" i="3"/>
  <c r="BA501" i="3"/>
  <c r="BA493" i="3"/>
  <c r="AZ493" i="3" s="1"/>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AZ543" i="3" s="1"/>
  <c r="BA542" i="3"/>
  <c r="AC542" i="3"/>
  <c r="G542" i="3" s="1"/>
  <c r="BQ542" i="3"/>
  <c r="BL542" i="3" s="1"/>
  <c r="BQ568" i="3"/>
  <c r="BQ566" i="3"/>
  <c r="BQ564" i="3"/>
  <c r="BL564" i="3" s="1"/>
  <c r="BQ562" i="3"/>
  <c r="BL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AZ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S25" i="37"/>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G132" i="3"/>
  <c r="BA134" i="3"/>
  <c r="AZ134" i="3" s="1"/>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5" i="3"/>
  <c r="AZ39" i="3"/>
  <c r="AZ43" i="3"/>
  <c r="AZ47" i="3"/>
  <c r="AZ51" i="3"/>
  <c r="AZ55" i="3"/>
  <c r="G537" i="3"/>
  <c r="BL181" i="3"/>
  <c r="AZ181" i="3" s="1"/>
  <c r="G182" i="3"/>
  <c r="BA184" i="3"/>
  <c r="AZ184" i="3"/>
  <c r="BL185" i="3"/>
  <c r="G186" i="3"/>
  <c r="BA188" i="3"/>
  <c r="AZ188" i="3"/>
  <c r="BL189" i="3"/>
  <c r="G190" i="3"/>
  <c r="BA192" i="3"/>
  <c r="AZ192" i="3" s="1"/>
  <c r="BL193" i="3"/>
  <c r="G194" i="3"/>
  <c r="BA196" i="3"/>
  <c r="AZ196" i="3"/>
  <c r="BL197" i="3"/>
  <c r="G198" i="3"/>
  <c r="BA200" i="3"/>
  <c r="AZ200" i="3" s="1"/>
  <c r="BL201" i="3"/>
  <c r="AZ66" i="3"/>
  <c r="AZ74" i="3"/>
  <c r="AZ84" i="3"/>
  <c r="AZ90" i="3"/>
  <c r="AZ94"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9"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321" i="3"/>
  <c r="AZ341" i="3"/>
  <c r="AZ353" i="3"/>
  <c r="G368" i="3"/>
  <c r="BA370" i="3"/>
  <c r="AZ370" i="3" s="1"/>
  <c r="BL371" i="3"/>
  <c r="G372" i="3"/>
  <c r="BA374" i="3"/>
  <c r="AZ374" i="3" s="1"/>
  <c r="BL375" i="3"/>
  <c r="G376" i="3"/>
  <c r="BA378" i="3"/>
  <c r="AZ378" i="3" s="1"/>
  <c r="BL379" i="3"/>
  <c r="AZ379" i="3" s="1"/>
  <c r="G380" i="3"/>
  <c r="BA382" i="3"/>
  <c r="BL383" i="3"/>
  <c r="AZ383" i="3" s="1"/>
  <c r="G384" i="3"/>
  <c r="AZ311" i="3"/>
  <c r="AZ331" i="3"/>
  <c r="AZ347" i="3"/>
  <c r="F37" i="46"/>
  <c r="AB16" i="35"/>
  <c r="AB15" i="37"/>
  <c r="AA43" i="21"/>
  <c r="U43" i="21"/>
  <c r="AA13" i="40"/>
  <c r="F77" i="40"/>
  <c r="G77" i="40" s="1"/>
  <c r="H77" i="40" s="1"/>
  <c r="I77" i="40" s="1"/>
  <c r="J77" i="40" s="1"/>
  <c r="K77" i="40" s="1"/>
  <c r="L77" i="40" s="1"/>
  <c r="M77" i="40" s="1"/>
  <c r="R16" i="4"/>
  <c r="D3" i="35"/>
  <c r="G4" i="4"/>
  <c r="J16" i="35"/>
  <c r="W16" i="35"/>
  <c r="U42" i="21"/>
  <c r="AC26" i="36"/>
  <c r="W25" i="35"/>
  <c r="AZ300" i="3"/>
  <c r="AZ354" i="3"/>
  <c r="AZ322" i="3"/>
  <c r="AA36" i="35"/>
  <c r="H11" i="37"/>
  <c r="AB11" i="37"/>
  <c r="W37" i="37"/>
  <c r="AA30" i="33"/>
  <c r="AA36" i="37"/>
  <c r="S42" i="33"/>
  <c r="U32" i="33"/>
  <c r="AB17" i="37"/>
  <c r="AC29" i="33"/>
  <c r="AA45" i="33"/>
  <c r="AC11" i="36"/>
  <c r="AC14" i="37"/>
  <c r="AB35" i="35"/>
  <c r="S25" i="35"/>
  <c r="W44" i="33"/>
  <c r="AC30" i="33"/>
  <c r="W30" i="33"/>
  <c r="AC29" i="37"/>
  <c r="W32" i="36"/>
  <c r="AC32" i="36"/>
  <c r="U28" i="33"/>
  <c r="AB28" i="33"/>
  <c r="J33" i="34"/>
  <c r="AC33" i="34" s="1"/>
  <c r="J40" i="34"/>
  <c r="W40" i="34" s="1"/>
  <c r="F16" i="35"/>
  <c r="AA16" i="35"/>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s="1"/>
  <c r="F35" i="33"/>
  <c r="AA35" i="33" s="1"/>
  <c r="E80" i="34"/>
  <c r="F80" i="34" s="1"/>
  <c r="G80" i="34" s="1"/>
  <c r="S12" i="35"/>
  <c r="AB28" i="35"/>
  <c r="U28" i="35"/>
  <c r="J13" i="33"/>
  <c r="W13" i="33"/>
  <c r="H13" i="33"/>
  <c r="U13" i="33"/>
  <c r="H29" i="33"/>
  <c r="AB29" i="33"/>
  <c r="F29" i="33"/>
  <c r="AA29" i="33"/>
  <c r="J12" i="34"/>
  <c r="AC12" i="34"/>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11" i="35"/>
  <c r="J11" i="35"/>
  <c r="AC11" i="35"/>
  <c r="F96" i="37"/>
  <c r="H32" i="37"/>
  <c r="AB32" i="37" s="1"/>
  <c r="F43" i="39"/>
  <c r="AA43" i="39" s="1"/>
  <c r="H43" i="39"/>
  <c r="U43" i="39" s="1"/>
  <c r="J43" i="39"/>
  <c r="W43" i="39" s="1"/>
  <c r="F99" i="37"/>
  <c r="AC27" i="37"/>
  <c r="U25" i="35"/>
  <c r="U31" i="34"/>
  <c r="AC40" i="37"/>
  <c r="W40" i="37"/>
  <c r="W27" i="33"/>
  <c r="AC45" i="21"/>
  <c r="S28" i="33"/>
  <c r="S14" i="21"/>
  <c r="AB29" i="35"/>
  <c r="U29" i="35"/>
  <c r="AC19" i="33"/>
  <c r="W19" i="33"/>
  <c r="AC34" i="37"/>
  <c r="S35" i="37"/>
  <c r="AA35" i="37"/>
  <c r="AA32" i="21"/>
  <c r="S32" i="21"/>
  <c r="U38" i="21"/>
  <c r="AB34" i="21"/>
  <c r="BL571" i="3"/>
  <c r="BA571" i="3"/>
  <c r="BL570" i="3"/>
  <c r="F42" i="21"/>
  <c r="AA42" i="21"/>
  <c r="AB40" i="33"/>
  <c r="U40" i="33"/>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F114" i="34"/>
  <c r="G114" i="34" s="1"/>
  <c r="H114" i="34" s="1"/>
  <c r="I114" i="34" s="1"/>
  <c r="J114" i="34" s="1"/>
  <c r="K114" i="34" s="1"/>
  <c r="L114" i="34" s="1"/>
  <c r="M114" i="34" s="1"/>
  <c r="H38" i="34"/>
  <c r="U38" i="34" s="1"/>
  <c r="H30" i="40"/>
  <c r="AB30" i="40" s="1"/>
  <c r="G99" i="40"/>
  <c r="J30" i="40"/>
  <c r="AC30" i="40"/>
  <c r="F38" i="40"/>
  <c r="AA38" i="40"/>
  <c r="AC12" i="21"/>
  <c r="W12" i="21"/>
  <c r="AB33" i="21"/>
  <c r="S35" i="21"/>
  <c r="AB10" i="21"/>
  <c r="U8" i="21"/>
  <c r="AB8" i="21"/>
  <c r="S34" i="21"/>
  <c r="AC36" i="21"/>
  <c r="AB8" i="33"/>
  <c r="U8" i="33"/>
  <c r="E106" i="33"/>
  <c r="H34" i="33"/>
  <c r="U34" i="33"/>
  <c r="F34" i="33"/>
  <c r="S34" i="33"/>
  <c r="E121" i="33"/>
  <c r="F41" i="33"/>
  <c r="S41" i="33" s="1"/>
  <c r="E78" i="34"/>
  <c r="AC28" i="35"/>
  <c r="W28" i="35"/>
  <c r="J20" i="35"/>
  <c r="AC20" i="35" s="1"/>
  <c r="E72" i="35"/>
  <c r="F72" i="35" s="1"/>
  <c r="G72" i="35"/>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H27" i="39"/>
  <c r="AB27" i="39" s="1"/>
  <c r="J27" i="39"/>
  <c r="AC27" i="39" s="1"/>
  <c r="F15" i="40"/>
  <c r="AA15" i="40" s="1"/>
  <c r="J15" i="40"/>
  <c r="H15" i="40"/>
  <c r="AB15" i="40" s="1"/>
  <c r="E91" i="40"/>
  <c r="F91" i="40" s="1"/>
  <c r="H23" i="40"/>
  <c r="U23" i="40" s="1"/>
  <c r="H41" i="40"/>
  <c r="AB41" i="40" s="1"/>
  <c r="F41" i="40"/>
  <c r="AA41" i="40" s="1"/>
  <c r="J41" i="40"/>
  <c r="H36" i="33"/>
  <c r="AB36" i="33"/>
  <c r="F15" i="39"/>
  <c r="AA15" i="39"/>
  <c r="H15" i="39"/>
  <c r="U15" i="39"/>
  <c r="J15" i="39"/>
  <c r="AC15" i="39"/>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F61" i="46"/>
  <c r="H61" i="46" s="1"/>
  <c r="AZ231" i="3"/>
  <c r="AZ236" i="3"/>
  <c r="AZ239" i="3"/>
  <c r="AZ244" i="3"/>
  <c r="AZ247" i="3"/>
  <c r="AZ252" i="3"/>
  <c r="AZ255" i="3"/>
  <c r="AZ260" i="3"/>
  <c r="AZ263" i="3"/>
  <c r="AZ268" i="3"/>
  <c r="AZ273" i="3"/>
  <c r="AZ276" i="3"/>
  <c r="AZ281" i="3"/>
  <c r="AZ284" i="3"/>
  <c r="AZ289" i="3"/>
  <c r="AZ292" i="3"/>
  <c r="AZ121" i="3"/>
  <c r="AZ124" i="3"/>
  <c r="AZ137" i="3"/>
  <c r="F72" i="46"/>
  <c r="H74" i="46" s="1"/>
  <c r="AZ167" i="3"/>
  <c r="AZ32" i="3"/>
  <c r="AZ48" i="3"/>
  <c r="AZ63" i="3"/>
  <c r="AZ71" i="3"/>
  <c r="AZ79" i="3"/>
  <c r="AZ99" i="3"/>
  <c r="J13" i="40"/>
  <c r="W13" i="40" s="1"/>
  <c r="AB14" i="40"/>
  <c r="AC14" i="40"/>
  <c r="S33" i="40"/>
  <c r="S47" i="39"/>
  <c r="AC41" i="40"/>
  <c r="W41" i="40"/>
  <c r="U41" i="40"/>
  <c r="J23" i="40"/>
  <c r="AC23" i="40" s="1"/>
  <c r="G91" i="40"/>
  <c r="F23" i="40"/>
  <c r="S23" i="40" s="1"/>
  <c r="AC15" i="40"/>
  <c r="W15" i="40"/>
  <c r="AB16" i="39"/>
  <c r="W14" i="39"/>
  <c r="U23" i="35"/>
  <c r="AB23" i="35"/>
  <c r="H20" i="35"/>
  <c r="F20" i="35"/>
  <c r="S20" i="35"/>
  <c r="F78" i="34"/>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30" i="3"/>
  <c r="AZ547" i="3"/>
  <c r="AZ549" i="3"/>
  <c r="AB37" i="39"/>
  <c r="AA29" i="35"/>
  <c r="U39" i="39"/>
  <c r="J29" i="39"/>
  <c r="AC29" i="39" s="1"/>
  <c r="AB33" i="36"/>
  <c r="AA11" i="36"/>
  <c r="AA14" i="35"/>
  <c r="S14" i="35"/>
  <c r="G99" i="37"/>
  <c r="F33" i="37"/>
  <c r="AC30" i="34"/>
  <c r="AA14" i="34"/>
  <c r="W12" i="34"/>
  <c r="U29" i="33"/>
  <c r="AC13" i="33"/>
  <c r="W32" i="33"/>
  <c r="H15" i="33"/>
  <c r="U15" i="33"/>
  <c r="AA11" i="33"/>
  <c r="AA40" i="21"/>
  <c r="U17" i="21"/>
  <c r="U16" i="40"/>
  <c r="W34" i="40"/>
  <c r="AB34" i="40"/>
  <c r="U42" i="40"/>
  <c r="AC16" i="40"/>
  <c r="W32" i="40"/>
  <c r="H25" i="40"/>
  <c r="AB25" i="40" s="1"/>
  <c r="F93" i="40"/>
  <c r="G93" i="40" s="1"/>
  <c r="U47" i="39"/>
  <c r="W15" i="39"/>
  <c r="J36" i="33"/>
  <c r="W36" i="33" s="1"/>
  <c r="S41" i="40"/>
  <c r="AB23" i="40"/>
  <c r="H23" i="39"/>
  <c r="AB23" i="39" s="1"/>
  <c r="J23" i="39"/>
  <c r="AC23" i="39" s="1"/>
  <c r="F96" i="39"/>
  <c r="G96" i="39" s="1"/>
  <c r="S16" i="39"/>
  <c r="AA41" i="33"/>
  <c r="AA34" i="33"/>
  <c r="F106" i="33"/>
  <c r="G106" i="33"/>
  <c r="H106" i="33" s="1"/>
  <c r="I106" i="33" s="1"/>
  <c r="J106" i="33" s="1"/>
  <c r="K106" i="33" s="1"/>
  <c r="L106" i="33" s="1"/>
  <c r="M106" i="33" s="1"/>
  <c r="J34" i="33"/>
  <c r="AC34" i="33"/>
  <c r="U30" i="40"/>
  <c r="AA37" i="39"/>
  <c r="W29" i="35"/>
  <c r="AC39" i="39"/>
  <c r="W39" i="39"/>
  <c r="AA39" i="39"/>
  <c r="S39" i="39"/>
  <c r="U34" i="39"/>
  <c r="AB46" i="39"/>
  <c r="AC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U32" i="34"/>
  <c r="U14" i="34"/>
  <c r="AC14" i="34"/>
  <c r="U12" i="34"/>
  <c r="AB13" i="33"/>
  <c r="F17" i="34"/>
  <c r="S17" i="34" s="1"/>
  <c r="J17" i="34"/>
  <c r="W17" i="34" s="1"/>
  <c r="J35" i="33"/>
  <c r="W35" i="33" s="1"/>
  <c r="S32" i="33"/>
  <c r="AC15" i="33"/>
  <c r="H11" i="33"/>
  <c r="U11" i="33" s="1"/>
  <c r="H10" i="33"/>
  <c r="U10" i="33" s="1"/>
  <c r="J10" i="33"/>
  <c r="W10" i="33" s="1"/>
  <c r="U40" i="21"/>
  <c r="U11" i="37"/>
  <c r="AC16" i="35"/>
  <c r="AC13" i="40"/>
  <c r="AC36" i="33"/>
  <c r="F25" i="40"/>
  <c r="AA25" i="40" s="1"/>
  <c r="J11" i="33"/>
  <c r="W11" i="33" s="1"/>
  <c r="H33" i="37"/>
  <c r="AB33" i="37" s="1"/>
  <c r="U20" i="35"/>
  <c r="AB20" i="35"/>
  <c r="W23" i="40"/>
  <c r="B11" i="1"/>
  <c r="E11" i="1" s="1"/>
  <c r="K11" i="1"/>
  <c r="M11" i="1" s="1"/>
  <c r="B9" i="1"/>
  <c r="E9" i="1" s="1"/>
  <c r="K9" i="1"/>
  <c r="M9" i="1" s="1"/>
  <c r="B7" i="1"/>
  <c r="E7" i="1" s="1"/>
  <c r="K7" i="1"/>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U30" i="34"/>
  <c r="S32" i="34"/>
  <c r="AB33" i="34"/>
  <c r="AA12" i="34"/>
  <c r="AA30" i="34"/>
  <c r="AC32" i="34"/>
  <c r="U28" i="34"/>
  <c r="W29" i="34"/>
  <c r="W21" i="34"/>
  <c r="AB21" i="34"/>
  <c r="U27" i="34"/>
  <c r="S13" i="34"/>
  <c r="U39" i="33"/>
  <c r="U37" i="33"/>
  <c r="S35" i="33"/>
  <c r="W34"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S14" i="39"/>
  <c r="AB15" i="39"/>
  <c r="U11" i="39"/>
  <c r="AB38" i="39"/>
  <c r="U31" i="39"/>
  <c r="AB31" i="39"/>
  <c r="S38" i="39"/>
  <c r="S22" i="31"/>
  <c r="A18" i="64"/>
  <c r="B74" i="63" s="1"/>
  <c r="C53" i="10"/>
  <c r="A25" i="64" s="1"/>
  <c r="A18" i="51"/>
  <c r="B14" i="63" s="1"/>
  <c r="BA16" i="3"/>
  <c r="F3" i="35"/>
  <c r="K1" i="43"/>
  <c r="K1" i="12"/>
  <c r="G1" i="44"/>
  <c r="I4" i="6"/>
  <c r="BK5" i="3"/>
  <c r="BL18" i="3"/>
  <c r="BS5" i="3"/>
  <c r="BL16" i="3"/>
  <c r="G28" i="12"/>
  <c r="D24" i="44"/>
  <c r="D26" i="44"/>
  <c r="F50" i="46"/>
  <c r="H52" i="46" s="1"/>
  <c r="C6" i="46"/>
  <c r="I5" i="48"/>
  <c r="K21" i="46"/>
  <c r="F42" i="46"/>
  <c r="D74" i="46"/>
  <c r="D87" i="46"/>
  <c r="D72" i="46"/>
  <c r="AA12" i="36"/>
  <c r="U12" i="35"/>
  <c r="AB12" i="35"/>
  <c r="W11" i="35"/>
  <c r="AA11" i="35"/>
  <c r="S14" i="37"/>
  <c r="U13" i="37"/>
  <c r="S13" i="21"/>
  <c r="C24" i="9"/>
  <c r="C25" i="9"/>
  <c r="L5" i="54"/>
  <c r="B39" i="63" s="1"/>
  <c r="K5" i="54"/>
  <c r="B38" i="63" s="1"/>
  <c r="B46" i="50"/>
  <c r="B4" i="63" s="1"/>
  <c r="H85" i="46"/>
  <c r="H90" i="46"/>
  <c r="K10" i="1"/>
  <c r="M10" i="1" s="1"/>
  <c r="S13" i="1"/>
  <c r="R13" i="1"/>
  <c r="B6" i="1"/>
  <c r="E6" i="1" s="1"/>
  <c r="B10" i="1"/>
  <c r="E10" i="1" s="1"/>
  <c r="B8" i="1"/>
  <c r="E8" i="1" s="1"/>
  <c r="B12" i="1"/>
  <c r="E12"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AB29" i="34"/>
  <c r="AB13" i="34"/>
  <c r="AC13" i="34"/>
  <c r="S47" i="34"/>
  <c r="AA2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B33" i="39"/>
  <c r="AC46" i="39"/>
  <c r="S34" i="39"/>
  <c r="W42" i="39"/>
  <c r="W36" i="39"/>
  <c r="AC37" i="39"/>
  <c r="U14" i="39"/>
  <c r="W16" i="39"/>
  <c r="S15" i="39"/>
  <c r="W45" i="39"/>
  <c r="AA44" i="39"/>
  <c r="AA46" i="39"/>
  <c r="W34" i="39"/>
  <c r="W10" i="39"/>
  <c r="W11" i="39"/>
  <c r="U42" i="39"/>
  <c r="S32" i="40"/>
  <c r="C27" i="39"/>
  <c r="C17" i="40"/>
  <c r="C19" i="40"/>
  <c r="C17" i="39"/>
  <c r="C19" i="39"/>
  <c r="C21" i="39"/>
  <c r="C23" i="40"/>
  <c r="B51" i="46"/>
  <c r="B54" i="46"/>
  <c r="B58" i="46"/>
  <c r="B62" i="46"/>
  <c r="B65" i="46"/>
  <c r="B69" i="46"/>
  <c r="B56" i="46"/>
  <c r="B67" i="46"/>
  <c r="S14" i="36"/>
  <c r="AB20" i="36"/>
  <c r="AA20" i="36"/>
  <c r="AC14" i="36"/>
  <c r="W14" i="36"/>
  <c r="U14" i="36"/>
  <c r="AB14" i="36"/>
  <c r="U18" i="36"/>
  <c r="AB18"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J18" i="36"/>
  <c r="W18" i="36" s="1"/>
  <c r="L20" i="6"/>
  <c r="C45" i="9"/>
  <c r="B7" i="66" s="1"/>
  <c r="N76" i="9"/>
  <c r="C46" i="9"/>
  <c r="O41" i="9" s="1"/>
  <c r="R8" i="54" s="1"/>
  <c r="B54" i="63" s="1"/>
  <c r="K33" i="9"/>
  <c r="B8" i="6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D22" i="59"/>
  <c r="F37" i="15"/>
  <c r="M24" i="44"/>
  <c r="E9" i="67"/>
  <c r="B10" i="67"/>
  <c r="B12" i="67"/>
  <c r="F38" i="44"/>
  <c r="M22" i="15"/>
  <c r="F8" i="15"/>
  <c r="N6" i="65"/>
  <c r="E14" i="67"/>
  <c r="I5" i="65"/>
  <c r="M26" i="44"/>
  <c r="I3" i="65"/>
  <c r="F12" i="67"/>
  <c r="B13" i="67"/>
  <c r="M25" i="44"/>
  <c r="N7" i="65"/>
  <c r="E12" i="67"/>
  <c r="F40" i="15"/>
  <c r="N3" i="65"/>
  <c r="J15" i="15"/>
  <c r="L47" i="15"/>
  <c r="N4" i="65"/>
  <c r="F45" i="44"/>
  <c r="F16" i="15"/>
  <c r="F6" i="15"/>
  <c r="F36" i="15"/>
  <c r="F14" i="67"/>
  <c r="F26" i="15"/>
  <c r="L48" i="44"/>
  <c r="M8" i="44"/>
  <c r="F42" i="15"/>
  <c r="M23" i="15"/>
  <c r="J5" i="65"/>
  <c r="I7" i="65"/>
  <c r="F28" i="44"/>
  <c r="M24" i="15"/>
  <c r="F40" i="44"/>
  <c r="M6" i="15"/>
  <c r="F10" i="67"/>
  <c r="F9" i="67"/>
  <c r="B11" i="67"/>
  <c r="F43" i="44"/>
  <c r="M10" i="44"/>
  <c r="M11" i="44"/>
  <c r="F8" i="44"/>
  <c r="F39" i="44"/>
  <c r="I6" i="65"/>
  <c r="E11" i="67"/>
  <c r="F11" i="67"/>
  <c r="M9" i="15"/>
  <c r="E10" i="67"/>
  <c r="M8" i="15"/>
  <c r="F15" i="44"/>
  <c r="M28" i="44"/>
  <c r="F10" i="44"/>
  <c r="J36" i="15"/>
  <c r="E13" i="67"/>
  <c r="M26" i="15"/>
  <c r="B9" i="67"/>
  <c r="M30" i="44"/>
  <c r="F38" i="15"/>
  <c r="N5" i="65"/>
  <c r="F13" i="15"/>
  <c r="F9" i="15"/>
  <c r="B14" i="67"/>
  <c r="J3" i="65"/>
  <c r="F11" i="44"/>
  <c r="M28" i="15"/>
  <c r="J17" i="44"/>
  <c r="F18" i="44"/>
  <c r="F13" i="67"/>
  <c r="E32" i="6" l="1"/>
  <c r="N27" i="68"/>
  <c r="R27" i="68" s="1"/>
  <c r="A30" i="51"/>
  <c r="B22" i="63" s="1"/>
  <c r="BA22" i="3"/>
  <c r="BA25" i="3"/>
  <c r="BL25" i="3"/>
  <c r="BA27" i="3"/>
  <c r="BL27" i="3"/>
  <c r="BA28" i="3"/>
  <c r="AZ28" i="3" s="1"/>
  <c r="G19" i="3"/>
  <c r="BL21" i="3"/>
  <c r="G22" i="3"/>
  <c r="AZ21" i="3"/>
  <c r="T41" i="4"/>
  <c r="A17" i="64" s="1"/>
  <c r="A2" i="55"/>
  <c r="B55" i="63" s="1"/>
  <c r="C20" i="59"/>
  <c r="T21" i="59"/>
  <c r="D21" i="59"/>
  <c r="F20" i="59"/>
  <c r="F19" i="59" s="1"/>
  <c r="F18" i="59" s="1"/>
  <c r="F17" i="59" s="1"/>
  <c r="V21" i="59"/>
  <c r="G78" i="34"/>
  <c r="F15" i="34"/>
  <c r="AA15" i="34" s="1"/>
  <c r="W40" i="40"/>
  <c r="AC18" i="36"/>
  <c r="S21" i="59"/>
  <c r="AZ486" i="3"/>
  <c r="AZ489" i="3"/>
  <c r="AZ500" i="3"/>
  <c r="AZ513" i="3"/>
  <c r="AZ518" i="3"/>
  <c r="AZ529" i="3"/>
  <c r="H29" i="39"/>
  <c r="U29" i="39" s="1"/>
  <c r="F29" i="39"/>
  <c r="AA29" i="39" s="1"/>
  <c r="AZ571" i="3"/>
  <c r="AZ362" i="3"/>
  <c r="AZ352" i="3"/>
  <c r="AZ344" i="3"/>
  <c r="AZ304" i="3"/>
  <c r="AZ359" i="3"/>
  <c r="AZ323" i="3"/>
  <c r="AZ343" i="3"/>
  <c r="AZ327" i="3"/>
  <c r="U31" i="37"/>
  <c r="AZ516" i="3"/>
  <c r="AZ526" i="3"/>
  <c r="AZ534" i="3"/>
  <c r="AZ562" i="3"/>
  <c r="AZ542" i="3"/>
  <c r="AZ502" i="3"/>
  <c r="AZ550" i="3"/>
  <c r="AZ556" i="3"/>
  <c r="AZ551" i="3"/>
  <c r="AZ557" i="3"/>
  <c r="AB44" i="21"/>
  <c r="AB14" i="21"/>
  <c r="U46" i="21"/>
  <c r="AB28" i="36"/>
  <c r="W35" i="35"/>
  <c r="S22" i="35"/>
  <c r="BA572" i="3"/>
  <c r="AZ572" i="3" s="1"/>
  <c r="BA570" i="3"/>
  <c r="AZ570" i="3" s="1"/>
  <c r="B50" i="72"/>
  <c r="B50" i="46"/>
  <c r="B73" i="72"/>
  <c r="B51" i="72"/>
  <c r="B62" i="72"/>
  <c r="B73" i="46"/>
  <c r="B94" i="72"/>
  <c r="B84" i="72"/>
  <c r="B94" i="46"/>
  <c r="B84" i="46"/>
  <c r="AB8" i="34"/>
  <c r="U8" i="34"/>
  <c r="J12" i="35"/>
  <c r="J12" i="33"/>
  <c r="H12" i="33"/>
  <c r="F12" i="33"/>
  <c r="J34" i="35"/>
  <c r="H34" i="35"/>
  <c r="F34" i="35"/>
  <c r="AZ510" i="3"/>
  <c r="H17" i="34"/>
  <c r="AB17" i="34" s="1"/>
  <c r="AZ514" i="3"/>
  <c r="E5" i="6"/>
  <c r="D12" i="11" s="1"/>
  <c r="C12" i="11" s="1"/>
  <c r="BO5" i="3"/>
  <c r="B72" i="72"/>
  <c r="B72" i="46"/>
  <c r="B61" i="72"/>
  <c r="B61" i="46"/>
  <c r="J9" i="33"/>
  <c r="H9" i="33"/>
  <c r="F9" i="33"/>
  <c r="B58" i="72"/>
  <c r="B101" i="72"/>
  <c r="B79" i="72"/>
  <c r="B69" i="72"/>
  <c r="B79" i="46"/>
  <c r="B101" i="46"/>
  <c r="B67" i="72"/>
  <c r="B56" i="72"/>
  <c r="B99" i="72"/>
  <c r="B76" i="72"/>
  <c r="B99" i="46"/>
  <c r="B75" i="72"/>
  <c r="B65" i="72"/>
  <c r="B54" i="72"/>
  <c r="F26" i="37"/>
  <c r="BA20" i="3"/>
  <c r="G18" i="3"/>
  <c r="BC5" i="3"/>
  <c r="AZ398" i="3"/>
  <c r="AZ414" i="3"/>
  <c r="AZ418" i="3"/>
  <c r="AZ428" i="3"/>
  <c r="AZ434" i="3"/>
  <c r="AZ438" i="3"/>
  <c r="AZ444" i="3"/>
  <c r="AZ452" i="3"/>
  <c r="AZ458" i="3"/>
  <c r="AZ466" i="3"/>
  <c r="AZ474" i="3"/>
  <c r="AZ309" i="3"/>
  <c r="AZ313" i="3"/>
  <c r="AZ317" i="3"/>
  <c r="AZ333" i="3"/>
  <c r="AZ349" i="3"/>
  <c r="AZ357" i="3"/>
  <c r="AZ364" i="3"/>
  <c r="AZ369" i="3"/>
  <c r="AZ375" i="3"/>
  <c r="AZ385" i="3"/>
  <c r="AZ205" i="3"/>
  <c r="BL233" i="3"/>
  <c r="AZ233" i="3" s="1"/>
  <c r="BA234" i="3"/>
  <c r="AZ234" i="3" s="1"/>
  <c r="BL235" i="3"/>
  <c r="F34" i="15"/>
  <c r="F61" i="15" s="1"/>
  <c r="F34" i="74"/>
  <c r="F61" i="74" s="1"/>
  <c r="M20" i="74"/>
  <c r="F34" i="73"/>
  <c r="F61" i="73" s="1"/>
  <c r="M20" i="73"/>
  <c r="BH5" i="3"/>
  <c r="BA14" i="3"/>
  <c r="BA17" i="3"/>
  <c r="BQ5" i="3"/>
  <c r="F28" i="6" s="1"/>
  <c r="BN5" i="3"/>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131" i="3"/>
  <c r="AZ131" i="3" s="1"/>
  <c r="BL132" i="3"/>
  <c r="BA133" i="3"/>
  <c r="AZ133"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22" i="3"/>
  <c r="BL24" i="3"/>
  <c r="AZ24" i="3" s="1"/>
  <c r="AZ25" i="3"/>
  <c r="BL26" i="3"/>
  <c r="BA31" i="3"/>
  <c r="AZ31" i="3" s="1"/>
  <c r="BL36" i="3"/>
  <c r="BA37" i="3"/>
  <c r="AZ37" i="3" s="1"/>
  <c r="BL38" i="3"/>
  <c r="BL40" i="3"/>
  <c r="AZ40" i="3" s="1"/>
  <c r="BA41" i="3"/>
  <c r="AZ41" i="3" s="1"/>
  <c r="BL42" i="3"/>
  <c r="AZ53" i="3"/>
  <c r="BL54" i="3"/>
  <c r="BL56" i="3"/>
  <c r="AZ56" i="3" s="1"/>
  <c r="BL59" i="3"/>
  <c r="AZ59" i="3" s="1"/>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AZ132" i="3"/>
  <c r="AZ148" i="3"/>
  <c r="AZ159" i="3"/>
  <c r="AZ171" i="3"/>
  <c r="BA185" i="3"/>
  <c r="AZ185" i="3" s="1"/>
  <c r="BL186" i="3"/>
  <c r="BA189" i="3"/>
  <c r="AZ189" i="3" s="1"/>
  <c r="BL190" i="3"/>
  <c r="BA193" i="3"/>
  <c r="AZ193" i="3" s="1"/>
  <c r="BL194" i="3"/>
  <c r="BA197" i="3"/>
  <c r="AZ197" i="3" s="1"/>
  <c r="BL198" i="3"/>
  <c r="BA201" i="3"/>
  <c r="AZ201" i="3" s="1"/>
  <c r="BA202" i="3"/>
  <c r="AZ202" i="3" s="1"/>
  <c r="AZ22" i="3"/>
  <c r="BL23" i="3"/>
  <c r="AZ23" i="3" s="1"/>
  <c r="AZ26" i="3"/>
  <c r="AZ36" i="3"/>
  <c r="AZ38" i="3"/>
  <c r="AZ42" i="3"/>
  <c r="AZ46" i="3"/>
  <c r="BL49" i="3"/>
  <c r="AZ49" i="3" s="1"/>
  <c r="BA50" i="3"/>
  <c r="AZ50" i="3" s="1"/>
  <c r="BL61" i="3"/>
  <c r="AZ61" i="3" s="1"/>
  <c r="BA62" i="3"/>
  <c r="AZ62" i="3" s="1"/>
  <c r="BL70" i="3"/>
  <c r="AZ70" i="3" s="1"/>
  <c r="BA72" i="3"/>
  <c r="AZ72" i="3" s="1"/>
  <c r="BL73" i="3"/>
  <c r="AZ73" i="3" s="1"/>
  <c r="BA78" i="3"/>
  <c r="AZ78" i="3" s="1"/>
  <c r="BA82" i="3"/>
  <c r="AZ82" i="3" s="1"/>
  <c r="BL83" i="3"/>
  <c r="BA86" i="3"/>
  <c r="AZ86" i="3" s="1"/>
  <c r="BL87" i="3"/>
  <c r="BA88" i="3"/>
  <c r="AZ88" i="3" s="1"/>
  <c r="BL89" i="3"/>
  <c r="BL91" i="3"/>
  <c r="AZ91" i="3" s="1"/>
  <c r="BA92" i="3"/>
  <c r="AZ92" i="3" s="1"/>
  <c r="BL93" i="3"/>
  <c r="BA98" i="3"/>
  <c r="AZ98" i="3" s="1"/>
  <c r="BA102" i="3"/>
  <c r="AZ102" i="3" s="1"/>
  <c r="BL103" i="3"/>
  <c r="BA104" i="3"/>
  <c r="AZ104" i="3" s="1"/>
  <c r="BL105" i="3"/>
  <c r="BL107" i="3"/>
  <c r="AZ107" i="3" s="1"/>
  <c r="BA108" i="3"/>
  <c r="AZ108" i="3" s="1"/>
  <c r="BL109" i="3"/>
  <c r="BA112" i="3"/>
  <c r="AZ112" i="3" s="1"/>
  <c r="B77" i="46"/>
  <c r="C31" i="39"/>
  <c r="S21" i="21"/>
  <c r="S18" i="35"/>
  <c r="B88" i="46"/>
  <c r="Y29" i="59"/>
  <c r="Z29" i="59" s="1"/>
  <c r="Y28" i="59"/>
  <c r="Z28" i="59" s="1"/>
  <c r="Y27" i="59"/>
  <c r="Z27" i="59" s="1"/>
  <c r="AA28" i="59"/>
  <c r="AA26" i="59"/>
  <c r="X29" i="59"/>
  <c r="X26" i="59"/>
  <c r="X30" i="59"/>
  <c r="B31" i="59"/>
  <c r="B32" i="59" s="1"/>
  <c r="B33" i="59" s="1"/>
  <c r="S33" i="59" s="1"/>
  <c r="X3" i="59"/>
  <c r="X27" i="59"/>
  <c r="AB34" i="59"/>
  <c r="F35" i="59"/>
  <c r="F36" i="59" s="1"/>
  <c r="F37" i="59" s="1"/>
  <c r="V37" i="59" s="1"/>
  <c r="Y35" i="59"/>
  <c r="Z35" i="59" s="1"/>
  <c r="Y36" i="59"/>
  <c r="Z36" i="59" s="1"/>
  <c r="Y37" i="59"/>
  <c r="Z37" i="59" s="1"/>
  <c r="X38" i="59"/>
  <c r="B39" i="59"/>
  <c r="B40" i="59" s="1"/>
  <c r="B41" i="59" s="1"/>
  <c r="S41" i="59" s="1"/>
  <c r="Y6" i="59"/>
  <c r="Z6" i="59" s="1"/>
  <c r="Y7" i="59"/>
  <c r="Z7" i="59" s="1"/>
  <c r="Y5" i="59"/>
  <c r="Z5" i="59" s="1"/>
  <c r="Y8" i="59"/>
  <c r="Z8" i="59" s="1"/>
  <c r="Y10" i="59"/>
  <c r="Z10" i="59" s="1"/>
  <c r="Y11" i="59"/>
  <c r="Z11" i="59" s="1"/>
  <c r="Y40" i="59"/>
  <c r="Z40" i="59" s="1"/>
  <c r="F68" i="59"/>
  <c r="AZ83" i="3"/>
  <c r="AZ87" i="3"/>
  <c r="AZ89" i="3"/>
  <c r="AZ93" i="3"/>
  <c r="AZ103" i="3"/>
  <c r="AZ105" i="3"/>
  <c r="AZ109" i="3"/>
  <c r="G1" i="74"/>
  <c r="G1" i="73"/>
  <c r="B100" i="72"/>
  <c r="B77" i="72"/>
  <c r="B57" i="72"/>
  <c r="B68" i="72"/>
  <c r="B100" i="46"/>
  <c r="Y30" i="59"/>
  <c r="Z30" i="59" s="1"/>
  <c r="C31" i="59"/>
  <c r="AA34" i="59"/>
  <c r="E35" i="59"/>
  <c r="E36" i="59" s="1"/>
  <c r="E37" i="59" s="1"/>
  <c r="U37" i="59" s="1"/>
  <c r="Y38" i="59"/>
  <c r="Z38" i="59" s="1"/>
  <c r="C39" i="59"/>
  <c r="N69" i="59"/>
  <c r="B68" i="59"/>
  <c r="AA30" i="59"/>
  <c r="AB30" i="59"/>
  <c r="Y31" i="59"/>
  <c r="Z31" i="59" s="1"/>
  <c r="AB31" i="59"/>
  <c r="Y32" i="59"/>
  <c r="Z32" i="59" s="1"/>
  <c r="AB32" i="59"/>
  <c r="Y33" i="59"/>
  <c r="Z33" i="59" s="1"/>
  <c r="AB33" i="59"/>
  <c r="X34" i="59"/>
  <c r="Y34" i="59"/>
  <c r="Z34" i="59" s="1"/>
  <c r="X35" i="59"/>
  <c r="AA35" i="59"/>
  <c r="X36" i="59"/>
  <c r="AA36" i="59"/>
  <c r="X37" i="59"/>
  <c r="AA37" i="59"/>
  <c r="AA38" i="59"/>
  <c r="Y39" i="59"/>
  <c r="Z39" i="59" s="1"/>
  <c r="X5" i="59"/>
  <c r="X7" i="59"/>
  <c r="X6" i="59"/>
  <c r="X8" i="59"/>
  <c r="X10" i="59"/>
  <c r="X11" i="59"/>
  <c r="AA5" i="59"/>
  <c r="AA7" i="59"/>
  <c r="AA6" i="59"/>
  <c r="AA8" i="59"/>
  <c r="AA10" i="59"/>
  <c r="AA11" i="59"/>
  <c r="AB6" i="59"/>
  <c r="AB5" i="59"/>
  <c r="AB7" i="59"/>
  <c r="AB8" i="59"/>
  <c r="AB10" i="59"/>
  <c r="AB11" i="59"/>
  <c r="Y25" i="59"/>
  <c r="Z25" i="59" s="1"/>
  <c r="AB25" i="59"/>
  <c r="X25" i="59"/>
  <c r="AB24" i="59"/>
  <c r="AA24" i="59"/>
  <c r="X19" i="59"/>
  <c r="AA19" i="59"/>
  <c r="Y19" i="59"/>
  <c r="Z19" i="59" s="1"/>
  <c r="AB19" i="59"/>
  <c r="X15" i="59"/>
  <c r="S29" i="59"/>
  <c r="B28" i="59"/>
  <c r="B27" i="59" s="1"/>
  <c r="U29" i="59"/>
  <c r="E28" i="59"/>
  <c r="E27" i="59" s="1"/>
  <c r="Y24" i="59"/>
  <c r="Z24" i="59" s="1"/>
  <c r="X22" i="59"/>
  <c r="AA22" i="59"/>
  <c r="X18" i="59"/>
  <c r="Y18" i="59"/>
  <c r="Z18" i="59" s="1"/>
  <c r="AA18" i="59"/>
  <c r="AB18" i="59"/>
  <c r="Y12" i="59"/>
  <c r="Z12" i="59" s="1"/>
  <c r="AB15" i="59"/>
  <c r="F29" i="59"/>
  <c r="P62" i="15"/>
  <c r="X24" i="59"/>
  <c r="AA16" i="59"/>
  <c r="X17" i="59"/>
  <c r="AB12" i="59"/>
  <c r="Y14" i="59"/>
  <c r="Z14" i="59" s="1"/>
  <c r="Y15" i="59"/>
  <c r="Z15" i="59" s="1"/>
  <c r="AA14" i="59"/>
  <c r="AA13" i="59"/>
  <c r="X12" i="59"/>
  <c r="X14" i="59"/>
  <c r="C29" i="59"/>
  <c r="AB16" i="59"/>
  <c r="AB14" i="59"/>
  <c r="AB13" i="59"/>
  <c r="Y13" i="59"/>
  <c r="Z13" i="59" s="1"/>
  <c r="AA12" i="59"/>
  <c r="AA15" i="59"/>
  <c r="X13" i="59"/>
  <c r="A30" i="64"/>
  <c r="AA33" i="34"/>
  <c r="U23" i="39"/>
  <c r="S29" i="39"/>
  <c r="S27" i="39"/>
  <c r="AB43" i="39"/>
  <c r="S43" i="39"/>
  <c r="AB29" i="39"/>
  <c r="U27" i="39"/>
  <c r="F98" i="39"/>
  <c r="G98" i="39" s="1"/>
  <c r="H25" i="39"/>
  <c r="U25" i="39" s="1"/>
  <c r="F25" i="39"/>
  <c r="AA25" i="39" s="1"/>
  <c r="J25" i="39"/>
  <c r="AC25" i="39" s="1"/>
  <c r="G94" i="39"/>
  <c r="F21" i="39"/>
  <c r="J21" i="39"/>
  <c r="W21" i="39" s="1"/>
  <c r="H21" i="39"/>
  <c r="G92" i="39"/>
  <c r="F19" i="39"/>
  <c r="J19" i="39"/>
  <c r="H19" i="39"/>
  <c r="AB19" i="39" s="1"/>
  <c r="S41" i="39"/>
  <c r="AC44" i="39"/>
  <c r="AB44" i="39"/>
  <c r="AC43" i="39"/>
  <c r="U41" i="39"/>
  <c r="W41" i="39"/>
  <c r="W40" i="39"/>
  <c r="AC38" i="39"/>
  <c r="S31" i="39"/>
  <c r="W29" i="39"/>
  <c r="W27" i="39"/>
  <c r="W23" i="39"/>
  <c r="S23" i="39"/>
  <c r="AC17" i="39"/>
  <c r="AB17" i="39"/>
  <c r="F86" i="34"/>
  <c r="G86" i="34" s="1"/>
  <c r="J23" i="34"/>
  <c r="W23" i="34" s="1"/>
  <c r="H23" i="34"/>
  <c r="U23" i="34" s="1"/>
  <c r="E39" i="9"/>
  <c r="G15" i="3"/>
  <c r="W27" i="34"/>
  <c r="AC27" i="34"/>
  <c r="AA28" i="34"/>
  <c r="AA27" i="34"/>
  <c r="U46" i="34"/>
  <c r="AB46" i="34"/>
  <c r="AB47" i="34"/>
  <c r="W47" i="34"/>
  <c r="J46" i="34"/>
  <c r="F46" i="34"/>
  <c r="AC45" i="34"/>
  <c r="S45" i="34"/>
  <c r="AB45" i="34"/>
  <c r="W31" i="34"/>
  <c r="BR5" i="3"/>
  <c r="BP5" i="3"/>
  <c r="G29" i="6" s="1"/>
  <c r="M7" i="1"/>
  <c r="O7" i="1" s="1"/>
  <c r="P7" i="1" s="1"/>
  <c r="M8" i="1"/>
  <c r="O8" i="1" s="1"/>
  <c r="P8" i="1" s="1"/>
  <c r="F8" i="1"/>
  <c r="F6" i="1"/>
  <c r="I24" i="46"/>
  <c r="C24" i="46" s="1"/>
  <c r="C42" i="1"/>
  <c r="G23" i="72"/>
  <c r="J51" i="73"/>
  <c r="J51" i="74"/>
  <c r="J51" i="15"/>
  <c r="F11" i="1"/>
  <c r="AP11" i="1" s="1"/>
  <c r="G44" i="46"/>
  <c r="G44" i="72"/>
  <c r="C44" i="72" s="1"/>
  <c r="J43" i="34"/>
  <c r="AC43" i="34" s="1"/>
  <c r="F43" i="34"/>
  <c r="AA43" i="34" s="1"/>
  <c r="G124" i="34"/>
  <c r="H124" i="34" s="1"/>
  <c r="I124" i="34" s="1"/>
  <c r="J124" i="34" s="1"/>
  <c r="K124" i="34" s="1"/>
  <c r="L124" i="34" s="1"/>
  <c r="M124" i="34" s="1"/>
  <c r="H43" i="34"/>
  <c r="J37" i="34"/>
  <c r="AC37" i="34" s="1"/>
  <c r="H37" i="34"/>
  <c r="U37" i="34" s="1"/>
  <c r="H112" i="34"/>
  <c r="I112" i="34" s="1"/>
  <c r="J112" i="34" s="1"/>
  <c r="K112" i="34" s="1"/>
  <c r="L112" i="34" s="1"/>
  <c r="M112" i="34" s="1"/>
  <c r="F37" i="34"/>
  <c r="AB41" i="34"/>
  <c r="AA39" i="34"/>
  <c r="J25" i="34"/>
  <c r="W25" i="34" s="1"/>
  <c r="H25" i="34"/>
  <c r="AB25" i="34" s="1"/>
  <c r="F25" i="34"/>
  <c r="AA25" i="34" s="1"/>
  <c r="G88" i="34"/>
  <c r="H88" i="34" s="1"/>
  <c r="I88" i="34" s="1"/>
  <c r="J88" i="34" s="1"/>
  <c r="K88" i="34" s="1"/>
  <c r="L88" i="34" s="1"/>
  <c r="M88" i="34" s="1"/>
  <c r="F23" i="34"/>
  <c r="S23" i="34" s="1"/>
  <c r="E82" i="34"/>
  <c r="AA17" i="34"/>
  <c r="H15" i="34"/>
  <c r="AB15" i="34" s="1"/>
  <c r="J15" i="34"/>
  <c r="F70" i="34"/>
  <c r="G70" i="34" s="1"/>
  <c r="H70" i="34" s="1"/>
  <c r="I70" i="34" s="1"/>
  <c r="J70" i="34" s="1"/>
  <c r="K70" i="34" s="1"/>
  <c r="L70" i="34" s="1"/>
  <c r="M70" i="34" s="1"/>
  <c r="J11" i="34"/>
  <c r="W11" i="34" s="1"/>
  <c r="F11" i="34"/>
  <c r="H11" i="34"/>
  <c r="AB11" i="34" s="1"/>
  <c r="W9" i="34"/>
  <c r="U9" i="34"/>
  <c r="AA9" i="34"/>
  <c r="AC25" i="34"/>
  <c r="AB23" i="34"/>
  <c r="AC23" i="34"/>
  <c r="AA21" i="34"/>
  <c r="S15" i="34"/>
  <c r="U17" i="34"/>
  <c r="AC17" i="34"/>
  <c r="AA41" i="34"/>
  <c r="W37" i="34"/>
  <c r="W38" i="34"/>
  <c r="U39" i="34"/>
  <c r="W39" i="34"/>
  <c r="W33" i="34"/>
  <c r="AC36" i="34"/>
  <c r="AC41" i="34"/>
  <c r="AC44" i="34"/>
  <c r="AA40" i="34"/>
  <c r="AA35" i="34"/>
  <c r="AA36" i="34"/>
  <c r="AB37" i="34"/>
  <c r="AB36" i="34"/>
  <c r="U44" i="34"/>
  <c r="W43" i="34"/>
  <c r="AC40" i="34"/>
  <c r="AB38" i="34"/>
  <c r="AC35" i="34"/>
  <c r="S25" i="34"/>
  <c r="C18" i="9"/>
  <c r="M43" i="9" s="1"/>
  <c r="H72" i="46"/>
  <c r="H86" i="46"/>
  <c r="H89" i="46"/>
  <c r="H87" i="46"/>
  <c r="H88" i="46"/>
  <c r="H83" i="46"/>
  <c r="D96" i="9"/>
  <c r="B41" i="1"/>
  <c r="D24" i="15"/>
  <c r="K6" i="1"/>
  <c r="AZ17" i="3"/>
  <c r="AZ16" i="3"/>
  <c r="BL19" i="3"/>
  <c r="G16" i="3"/>
  <c r="BL14" i="3"/>
  <c r="G20" i="3"/>
  <c r="BB5" i="3"/>
  <c r="E8" i="6" s="1"/>
  <c r="E53" i="40" s="1"/>
  <c r="BA19" i="3"/>
  <c r="BA18" i="3"/>
  <c r="AZ18" i="3" s="1"/>
  <c r="BA15" i="3"/>
  <c r="AZ15" i="3" s="1"/>
  <c r="H5" i="3"/>
  <c r="BM5" i="3"/>
  <c r="F29" i="6" s="1"/>
  <c r="BF5" i="3"/>
  <c r="BD5" i="3"/>
  <c r="BE5" i="3"/>
  <c r="P16" i="4"/>
  <c r="G12" i="1"/>
  <c r="C51" i="10"/>
  <c r="A9" i="64" s="1"/>
  <c r="A4" i="51"/>
  <c r="B6" i="63" s="1"/>
  <c r="A4" i="64"/>
  <c r="K34" i="9"/>
  <c r="O40" i="9"/>
  <c r="K31" i="9" s="1"/>
  <c r="K32" i="9" s="1"/>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C18" i="11"/>
  <c r="K77" i="9"/>
  <c r="K79" i="9" s="1"/>
  <c r="K81" i="9" s="1"/>
  <c r="E12" i="52"/>
  <c r="E17" i="59"/>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7" i="46"/>
  <c r="P25" i="46"/>
  <c r="Q73" i="44"/>
  <c r="F65" i="15"/>
  <c r="C29" i="44"/>
  <c r="J1" i="65"/>
  <c r="F67" i="15"/>
  <c r="F50" i="15"/>
  <c r="C27" i="15"/>
  <c r="F64" i="15"/>
  <c r="L59" i="15"/>
  <c r="L60" i="44"/>
  <c r="Q72" i="15"/>
  <c r="F63" i="15"/>
  <c r="C4" i="65"/>
  <c r="B39" i="1" s="1"/>
  <c r="L49" i="44"/>
  <c r="J7" i="65"/>
  <c r="E3" i="65"/>
  <c r="M31" i="44"/>
  <c r="I4" i="65"/>
  <c r="E2" i="65"/>
  <c r="F43" i="15"/>
  <c r="F9" i="44"/>
  <c r="J4" i="65"/>
  <c r="F7" i="15"/>
  <c r="J6" i="65"/>
  <c r="M29" i="15"/>
  <c r="L48" i="15"/>
  <c r="L48" i="74"/>
  <c r="I24" i="72" l="1"/>
  <c r="C24" i="72" s="1"/>
  <c r="C36" i="68"/>
  <c r="F36" i="68" s="1"/>
  <c r="D6" i="68"/>
  <c r="R5" i="68"/>
  <c r="U5" i="68" s="1"/>
  <c r="L59" i="44"/>
  <c r="Q62" i="44" s="1"/>
  <c r="J54" i="44"/>
  <c r="Q54" i="44" s="1"/>
  <c r="J58" i="44"/>
  <c r="J56" i="44" s="1"/>
  <c r="J59" i="44" s="1"/>
  <c r="Q52" i="44" s="1"/>
  <c r="I55" i="44"/>
  <c r="L57" i="44"/>
  <c r="G8" i="1"/>
  <c r="C8" i="44"/>
  <c r="M9" i="44"/>
  <c r="J8" i="44" s="1"/>
  <c r="H16" i="1"/>
  <c r="AZ13" i="3"/>
  <c r="D21" i="12"/>
  <c r="C21" i="12" s="1"/>
  <c r="F30" i="6"/>
  <c r="AZ27" i="3"/>
  <c r="AZ19" i="3"/>
  <c r="AZ14" i="3"/>
  <c r="A17" i="51"/>
  <c r="B13" i="63" s="1"/>
  <c r="B16" i="59"/>
  <c r="B15" i="59" s="1"/>
  <c r="B14" i="59" s="1"/>
  <c r="B13" i="59" s="1"/>
  <c r="S17" i="59"/>
  <c r="K17" i="4"/>
  <c r="A22" i="51" s="1"/>
  <c r="B16" i="63" s="1"/>
  <c r="F70" i="9"/>
  <c r="F32" i="74"/>
  <c r="F59" i="74" s="1"/>
  <c r="F28" i="74"/>
  <c r="M18" i="73"/>
  <c r="M18" i="74"/>
  <c r="F32" i="73"/>
  <c r="F59" i="73" s="1"/>
  <c r="F28" i="73"/>
  <c r="D18" i="9"/>
  <c r="M44" i="9" s="1"/>
  <c r="AC21" i="39"/>
  <c r="AA26" i="37"/>
  <c r="S26" i="37"/>
  <c r="U9" i="33"/>
  <c r="AB9" i="33"/>
  <c r="AA34" i="35"/>
  <c r="S34" i="35"/>
  <c r="AC34" i="35"/>
  <c r="W34" i="35"/>
  <c r="U12" i="33"/>
  <c r="AB12" i="33"/>
  <c r="W12" i="35"/>
  <c r="AC12" i="35"/>
  <c r="F16" i="59"/>
  <c r="F15" i="59" s="1"/>
  <c r="F14" i="59" s="1"/>
  <c r="F13" i="59" s="1"/>
  <c r="V17" i="59"/>
  <c r="E16" i="59"/>
  <c r="E15" i="59" s="1"/>
  <c r="E14" i="59" s="1"/>
  <c r="E13" i="59" s="1"/>
  <c r="U17" i="59"/>
  <c r="BL5" i="3"/>
  <c r="E29" i="6"/>
  <c r="K15" i="1" s="1"/>
  <c r="D29" i="59"/>
  <c r="T29" i="59"/>
  <c r="C28" i="59"/>
  <c r="F28" i="59"/>
  <c r="F27" i="59" s="1"/>
  <c r="V29" i="59"/>
  <c r="N68" i="59"/>
  <c r="B67" i="59"/>
  <c r="C40" i="59"/>
  <c r="D39" i="59"/>
  <c r="C32" i="59"/>
  <c r="D31" i="59"/>
  <c r="F67" i="59"/>
  <c r="Q68" i="59"/>
  <c r="AA9" i="33"/>
  <c r="S9" i="33"/>
  <c r="AC9" i="33"/>
  <c r="W9" i="33"/>
  <c r="AB34" i="35"/>
  <c r="U34" i="35"/>
  <c r="AA12" i="33"/>
  <c r="S12" i="33"/>
  <c r="W12" i="33"/>
  <c r="AC12" i="33"/>
  <c r="C19" i="59"/>
  <c r="D20" i="59"/>
  <c r="W25" i="39"/>
  <c r="AB25" i="39"/>
  <c r="U19" i="39"/>
  <c r="S25" i="39"/>
  <c r="AB21" i="39"/>
  <c r="U21" i="39"/>
  <c r="S21" i="39"/>
  <c r="AA21" i="39"/>
  <c r="S19" i="39"/>
  <c r="AA19" i="39"/>
  <c r="W19" i="39"/>
  <c r="AC19" i="39"/>
  <c r="U15" i="34"/>
  <c r="G35" i="9"/>
  <c r="D1" i="46"/>
  <c r="H40" i="46"/>
  <c r="AA23" i="34"/>
  <c r="S46" i="34"/>
  <c r="AA46" i="34"/>
  <c r="AC46" i="34"/>
  <c r="W46" i="34"/>
  <c r="A1" i="70"/>
  <c r="G30" i="6"/>
  <c r="G31" i="6" s="1"/>
  <c r="F70" i="15"/>
  <c r="M7" i="15"/>
  <c r="M17" i="15" s="1"/>
  <c r="C6" i="15"/>
  <c r="F49" i="15"/>
  <c r="C48" i="15" s="1"/>
  <c r="M6" i="1"/>
  <c r="AC11" i="34"/>
  <c r="J53" i="15"/>
  <c r="Q53" i="15" s="1"/>
  <c r="I54" i="15"/>
  <c r="L58" i="15"/>
  <c r="Q74" i="15" s="1"/>
  <c r="J57" i="15"/>
  <c r="J55" i="15" s="1"/>
  <c r="J58" i="15" s="1"/>
  <c r="Q51" i="15" s="1"/>
  <c r="L56" i="15"/>
  <c r="L60" i="74"/>
  <c r="L57" i="74"/>
  <c r="J53" i="74"/>
  <c r="L56" i="74"/>
  <c r="P29" i="46"/>
  <c r="B72" i="39" s="1"/>
  <c r="P28" i="46"/>
  <c r="B67" i="40" s="1"/>
  <c r="G11" i="1"/>
  <c r="G16" i="1" s="1"/>
  <c r="J12" i="40" s="1"/>
  <c r="O23" i="46"/>
  <c r="C28" i="73"/>
  <c r="C28" i="74"/>
  <c r="AP6" i="1"/>
  <c r="J57" i="74"/>
  <c r="J55" i="74" s="1"/>
  <c r="J58" i="74" s="1"/>
  <c r="Q51" i="74" s="1"/>
  <c r="J59" i="74"/>
  <c r="I54" i="74"/>
  <c r="J60" i="74"/>
  <c r="Q49" i="74" s="1"/>
  <c r="P27" i="72"/>
  <c r="P28" i="72"/>
  <c r="P25" i="72"/>
  <c r="O23" i="72"/>
  <c r="C23" i="72"/>
  <c r="P29" i="72"/>
  <c r="P26" i="72"/>
  <c r="AP8" i="1"/>
  <c r="R7" i="54"/>
  <c r="B52" i="63" s="1"/>
  <c r="U43" i="34"/>
  <c r="AB43" i="34"/>
  <c r="S43" i="34"/>
  <c r="S37" i="34"/>
  <c r="AA37" i="34"/>
  <c r="U25" i="34"/>
  <c r="J19" i="34"/>
  <c r="F82" i="34"/>
  <c r="G82" i="34" s="1"/>
  <c r="F19" i="34"/>
  <c r="H19" i="34"/>
  <c r="W15" i="34"/>
  <c r="AC15" i="34"/>
  <c r="S11" i="34"/>
  <c r="AA11" i="34"/>
  <c r="U11" i="34"/>
  <c r="M11" i="74"/>
  <c r="J10" i="74" s="1"/>
  <c r="F11" i="74"/>
  <c r="M11" i="73"/>
  <c r="J10" i="73" s="1"/>
  <c r="F11" i="73"/>
  <c r="D86" i="9"/>
  <c r="M18" i="15"/>
  <c r="F72" i="9"/>
  <c r="M20" i="44"/>
  <c r="J20" i="44" s="1"/>
  <c r="F71" i="9"/>
  <c r="F30" i="44"/>
  <c r="C30" i="44" s="1"/>
  <c r="F24" i="43"/>
  <c r="C24" i="43" s="1"/>
  <c r="F32" i="15"/>
  <c r="F59" i="15" s="1"/>
  <c r="F28" i="15"/>
  <c r="C28" i="15" s="1"/>
  <c r="F34" i="44"/>
  <c r="Q16" i="1"/>
  <c r="F21" i="43" s="1"/>
  <c r="E15" i="6"/>
  <c r="E66" i="39" s="1"/>
  <c r="J7" i="33"/>
  <c r="AC7" i="33" s="1"/>
  <c r="V48" i="33" s="1"/>
  <c r="I48" i="33" s="1"/>
  <c r="E83" i="46"/>
  <c r="B81" i="46" s="1"/>
  <c r="BA5" i="3"/>
  <c r="E12" i="6"/>
  <c r="E63" i="39"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K14" i="1"/>
  <c r="H7" i="34"/>
  <c r="U7" i="34" s="1"/>
  <c r="F7" i="34"/>
  <c r="AA7" i="34" s="1"/>
  <c r="J7" i="34"/>
  <c r="W7" i="34" s="1"/>
  <c r="F7" i="21"/>
  <c r="AA7" i="21" s="1"/>
  <c r="R48" i="21" s="1"/>
  <c r="H7" i="21"/>
  <c r="AB7" i="21" s="1"/>
  <c r="T48" i="21" s="1"/>
  <c r="G48" i="21" s="1"/>
  <c r="B12" i="59"/>
  <c r="S13" i="59"/>
  <c r="E12" i="59"/>
  <c r="U13" i="59"/>
  <c r="F58" i="15"/>
  <c r="H7" i="35"/>
  <c r="U7" i="35" s="1"/>
  <c r="B40" i="1"/>
  <c r="E64" i="40"/>
  <c r="D66" i="40"/>
  <c r="W7" i="33"/>
  <c r="J7" i="37"/>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M32" i="46"/>
  <c r="P32" i="46"/>
  <c r="O32" i="46"/>
  <c r="N32" i="46"/>
  <c r="Q63" i="44"/>
  <c r="Q76" i="44"/>
  <c r="AE12" i="1"/>
  <c r="AE9" i="1"/>
  <c r="AE10" i="1"/>
  <c r="AE11" i="1"/>
  <c r="M9" i="74"/>
  <c r="F6" i="73"/>
  <c r="M22" i="73"/>
  <c r="J36" i="73"/>
  <c r="M22" i="74"/>
  <c r="M24" i="74"/>
  <c r="M26" i="74"/>
  <c r="M28" i="73"/>
  <c r="F42" i="73"/>
  <c r="F13" i="73"/>
  <c r="F7" i="73"/>
  <c r="M28" i="74"/>
  <c r="F36" i="74"/>
  <c r="F13" i="74"/>
  <c r="M8" i="73"/>
  <c r="F26" i="73"/>
  <c r="F8" i="74"/>
  <c r="M23" i="74"/>
  <c r="M9" i="73"/>
  <c r="M29" i="73"/>
  <c r="M29" i="74"/>
  <c r="F43" i="73"/>
  <c r="F9" i="74"/>
  <c r="F9" i="73"/>
  <c r="F36" i="73"/>
  <c r="F7" i="74"/>
  <c r="J15" i="74"/>
  <c r="F16" i="74"/>
  <c r="L47" i="73"/>
  <c r="M26" i="73"/>
  <c r="F26" i="74"/>
  <c r="F43" i="74"/>
  <c r="M23" i="73"/>
  <c r="F40" i="73"/>
  <c r="F38" i="74"/>
  <c r="F8" i="73"/>
  <c r="M6" i="73"/>
  <c r="F6" i="74"/>
  <c r="M8" i="74"/>
  <c r="C18" i="44"/>
  <c r="J15" i="73"/>
  <c r="F38" i="73"/>
  <c r="L48" i="73"/>
  <c r="F40" i="74"/>
  <c r="J36" i="74"/>
  <c r="F37" i="74"/>
  <c r="M24" i="73"/>
  <c r="F16" i="73"/>
  <c r="F37" i="73"/>
  <c r="L47" i="74"/>
  <c r="F42" i="74"/>
  <c r="M6" i="74"/>
  <c r="C16" i="15"/>
  <c r="C43" i="9" l="1"/>
  <c r="K47" i="9" s="1"/>
  <c r="A14" i="55" s="1"/>
  <c r="B65" i="63" s="1"/>
  <c r="D18" i="68"/>
  <c r="D17" i="68"/>
  <c r="D16" i="68"/>
  <c r="D10" i="68"/>
  <c r="C23" i="68"/>
  <c r="D15" i="68"/>
  <c r="D9" i="68"/>
  <c r="Q75" i="44"/>
  <c r="F1" i="44"/>
  <c r="C34" i="44"/>
  <c r="J7" i="44"/>
  <c r="J26" i="44" s="1"/>
  <c r="F1" i="15"/>
  <c r="J60" i="44"/>
  <c r="J61" i="44" s="1"/>
  <c r="Q50" i="44" s="1"/>
  <c r="AP16" i="1"/>
  <c r="F22" i="11" s="1"/>
  <c r="C7" i="44"/>
  <c r="C40" i="44" s="1"/>
  <c r="J6" i="15"/>
  <c r="J18" i="15" s="1"/>
  <c r="F70" i="74"/>
  <c r="F48" i="74"/>
  <c r="F63" i="74"/>
  <c r="C27" i="74"/>
  <c r="C6" i="74"/>
  <c r="L58" i="74"/>
  <c r="Q61" i="74" s="1"/>
  <c r="L59" i="74"/>
  <c r="Q62" i="74" s="1"/>
  <c r="F50" i="74"/>
  <c r="M7" i="73"/>
  <c r="J6" i="73" s="1"/>
  <c r="J5" i="73" s="1"/>
  <c r="F49" i="73"/>
  <c r="F70" i="73"/>
  <c r="F64" i="73"/>
  <c r="F48" i="73"/>
  <c r="C27" i="73"/>
  <c r="F50" i="73"/>
  <c r="L58" i="73"/>
  <c r="L59" i="73"/>
  <c r="Q75" i="73" s="1"/>
  <c r="F64" i="74"/>
  <c r="Q72" i="74"/>
  <c r="F65" i="74"/>
  <c r="F67" i="74"/>
  <c r="M7" i="74"/>
  <c r="J6" i="74" s="1"/>
  <c r="F49" i="74"/>
  <c r="J60" i="73"/>
  <c r="Q49" i="73" s="1"/>
  <c r="I54" i="73"/>
  <c r="J53" i="73"/>
  <c r="Q53" i="73" s="1"/>
  <c r="L56" i="73"/>
  <c r="J57" i="73"/>
  <c r="J55" i="73" s="1"/>
  <c r="J58" i="73" s="1"/>
  <c r="Q51" i="73" s="1"/>
  <c r="J59" i="73"/>
  <c r="L57" i="73"/>
  <c r="L60" i="73"/>
  <c r="Q67" i="73" s="1"/>
  <c r="Q72" i="73"/>
  <c r="F67" i="73"/>
  <c r="F65" i="73"/>
  <c r="F63" i="73"/>
  <c r="C6" i="73"/>
  <c r="C10" i="73" s="1"/>
  <c r="C5" i="73" s="1"/>
  <c r="C33" i="59"/>
  <c r="D32" i="59"/>
  <c r="C41" i="59"/>
  <c r="D40" i="59"/>
  <c r="C18" i="59"/>
  <c r="D19" i="59"/>
  <c r="Q67" i="59"/>
  <c r="Q66" i="59"/>
  <c r="N66" i="59"/>
  <c r="N67" i="59"/>
  <c r="D28" i="59"/>
  <c r="C27" i="59"/>
  <c r="D27" i="59" s="1"/>
  <c r="V13" i="59"/>
  <c r="F12" i="59"/>
  <c r="F11" i="59" s="1"/>
  <c r="D16" i="43"/>
  <c r="C16" i="43" s="1"/>
  <c r="C34" i="34"/>
  <c r="B3" i="3"/>
  <c r="E278" i="3" s="1"/>
  <c r="AV13" i="3"/>
  <c r="O6" i="1"/>
  <c r="P6" i="1" s="1"/>
  <c r="C15" i="12" s="1"/>
  <c r="Q61" i="15"/>
  <c r="T15" i="72"/>
  <c r="V15" i="72" s="1"/>
  <c r="T9" i="72"/>
  <c r="V9" i="72" s="1"/>
  <c r="T6" i="72"/>
  <c r="V6" i="72" s="1"/>
  <c r="T7" i="72"/>
  <c r="V7" i="72" s="1"/>
  <c r="T14" i="72"/>
  <c r="V14" i="72" s="1"/>
  <c r="T8" i="72"/>
  <c r="V8" i="72" s="1"/>
  <c r="T4" i="72"/>
  <c r="V4" i="72" s="1"/>
  <c r="T16" i="72"/>
  <c r="V16" i="72" s="1"/>
  <c r="C39" i="72"/>
  <c r="C42" i="72"/>
  <c r="C37" i="72"/>
  <c r="T13" i="72"/>
  <c r="V13" i="72" s="1"/>
  <c r="T5" i="72"/>
  <c r="V5" i="72" s="1"/>
  <c r="T11" i="72"/>
  <c r="V11" i="72" s="1"/>
  <c r="T2" i="72"/>
  <c r="V2" i="72" s="1"/>
  <c r="T12" i="72"/>
  <c r="V12" i="72" s="1"/>
  <c r="T3" i="72"/>
  <c r="V3" i="72" s="1"/>
  <c r="T10" i="72"/>
  <c r="V10" i="72" s="1"/>
  <c r="C41" i="72"/>
  <c r="C40" i="72"/>
  <c r="C38" i="72"/>
  <c r="Q67" i="74"/>
  <c r="Q58" i="74"/>
  <c r="Q53" i="74"/>
  <c r="F1" i="74"/>
  <c r="AB19" i="34"/>
  <c r="U19" i="34"/>
  <c r="S19" i="34"/>
  <c r="AA19" i="34"/>
  <c r="AC19" i="34"/>
  <c r="W19" i="34"/>
  <c r="F24" i="73"/>
  <c r="C24" i="73" s="1"/>
  <c r="F24" i="74"/>
  <c r="C52" i="74"/>
  <c r="C10" i="74"/>
  <c r="C52" i="73"/>
  <c r="AB7" i="34"/>
  <c r="L36" i="46"/>
  <c r="M36" i="46" s="1"/>
  <c r="L36" i="72"/>
  <c r="C32" i="15"/>
  <c r="F33" i="12"/>
  <c r="C34" i="12" s="1"/>
  <c r="D33" i="12" s="1"/>
  <c r="E61" i="40"/>
  <c r="E58" i="40"/>
  <c r="S7" i="34"/>
  <c r="D46" i="9"/>
  <c r="C21" i="4"/>
  <c r="O5" i="54" s="1"/>
  <c r="B45" i="63" s="1"/>
  <c r="E6" i="6"/>
  <c r="D13" i="11" s="1"/>
  <c r="C13" i="11" s="1"/>
  <c r="AC7" i="34"/>
  <c r="J10" i="15"/>
  <c r="AG8" i="1"/>
  <c r="AG9" i="1"/>
  <c r="AG11" i="1"/>
  <c r="AG12" i="1"/>
  <c r="AG10" i="1"/>
  <c r="AG7" i="1"/>
  <c r="AG6" i="1"/>
  <c r="D5" i="46"/>
  <c r="C5" i="46"/>
  <c r="D16" i="12"/>
  <c r="D19" i="12" s="1"/>
  <c r="C19" i="12" s="1"/>
  <c r="L38" i="9"/>
  <c r="D45" i="9"/>
  <c r="E27" i="6"/>
  <c r="K19" i="6" s="1"/>
  <c r="E57" i="40"/>
  <c r="E60" i="40"/>
  <c r="E16" i="6"/>
  <c r="E30" i="6"/>
  <c r="E64" i="39"/>
  <c r="E539" i="3"/>
  <c r="E95" i="3"/>
  <c r="E14" i="3"/>
  <c r="E364" i="3"/>
  <c r="E522" i="3"/>
  <c r="E516" i="3"/>
  <c r="E488" i="3"/>
  <c r="E240" i="3"/>
  <c r="E326" i="3"/>
  <c r="E253" i="3"/>
  <c r="E213" i="3"/>
  <c r="E47" i="3"/>
  <c r="E473" i="3"/>
  <c r="E189" i="3"/>
  <c r="E275" i="3"/>
  <c r="E67" i="3"/>
  <c r="E486" i="3"/>
  <c r="E264" i="3"/>
  <c r="V6" i="3"/>
  <c r="E65" i="3"/>
  <c r="E513" i="3"/>
  <c r="E198" i="3"/>
  <c r="E345" i="3"/>
  <c r="E72" i="3"/>
  <c r="E290" i="3"/>
  <c r="E440" i="3"/>
  <c r="E331" i="3"/>
  <c r="E40" i="3"/>
  <c r="E128" i="3"/>
  <c r="E559" i="3"/>
  <c r="E176" i="3"/>
  <c r="E150" i="3"/>
  <c r="E554" i="3"/>
  <c r="E314" i="3"/>
  <c r="E324" i="3"/>
  <c r="E502" i="3"/>
  <c r="E334" i="3"/>
  <c r="K6" i="3"/>
  <c r="E353" i="3"/>
  <c r="E569" i="3"/>
  <c r="E50" i="3"/>
  <c r="E546" i="3"/>
  <c r="E474" i="3"/>
  <c r="E171" i="3"/>
  <c r="E354" i="3"/>
  <c r="E531" i="3"/>
  <c r="E122" i="3"/>
  <c r="E344" i="3"/>
  <c r="E485" i="3"/>
  <c r="E335" i="3"/>
  <c r="E532" i="3"/>
  <c r="E330" i="3"/>
  <c r="E350" i="3"/>
  <c r="E496" i="3"/>
  <c r="E352" i="3"/>
  <c r="E461" i="3"/>
  <c r="E519" i="3"/>
  <c r="E155" i="3"/>
  <c r="E252" i="3"/>
  <c r="E541" i="3"/>
  <c r="E523" i="3"/>
  <c r="E86" i="3"/>
  <c r="E68" i="3"/>
  <c r="E135" i="3"/>
  <c r="E114" i="3"/>
  <c r="E22" i="3"/>
  <c r="E93" i="3"/>
  <c r="E439" i="3"/>
  <c r="E459" i="3"/>
  <c r="E55" i="3"/>
  <c r="E117" i="3"/>
  <c r="E231" i="3"/>
  <c r="E570" i="3"/>
  <c r="E528"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L21" i="1" s="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2" i="33"/>
  <c r="J52" i="33" s="1"/>
  <c r="E66" i="40"/>
  <c r="F64" i="40"/>
  <c r="C52" i="15"/>
  <c r="C47" i="15" s="1"/>
  <c r="C10" i="15"/>
  <c r="C5" i="15" s="1"/>
  <c r="C38" i="15" s="1"/>
  <c r="C20" i="11"/>
  <c r="C21" i="11" s="1"/>
  <c r="C22" i="11" s="1"/>
  <c r="C23" i="11" s="1"/>
  <c r="B2" i="11" s="1"/>
  <c r="AE8" i="1"/>
  <c r="C16" i="73"/>
  <c r="M27" i="74"/>
  <c r="F41" i="15"/>
  <c r="M27" i="15"/>
  <c r="M29" i="44"/>
  <c r="C16" i="74"/>
  <c r="M27" i="73"/>
  <c r="E61" i="3" l="1"/>
  <c r="E147" i="3"/>
  <c r="E476" i="3"/>
  <c r="E544" i="3"/>
  <c r="E138" i="3"/>
  <c r="E521" i="3"/>
  <c r="E366" i="3"/>
  <c r="E495" i="3"/>
  <c r="E251" i="3"/>
  <c r="E236" i="3"/>
  <c r="E489" i="3"/>
  <c r="E525" i="3"/>
  <c r="E228" i="3"/>
  <c r="E362" i="3"/>
  <c r="AF6" i="3"/>
  <c r="E281" i="3"/>
  <c r="E51" i="3"/>
  <c r="E369" i="3"/>
  <c r="E214" i="3"/>
  <c r="E507" i="3"/>
  <c r="E184" i="3"/>
  <c r="E54" i="3"/>
  <c r="E382" i="3"/>
  <c r="E227" i="3"/>
  <c r="E342" i="3"/>
  <c r="E339" i="3"/>
  <c r="E203" i="3"/>
  <c r="E466" i="3"/>
  <c r="E543" i="3"/>
  <c r="E467" i="3"/>
  <c r="E232" i="3"/>
  <c r="E397" i="3"/>
  <c r="E481" i="3"/>
  <c r="E71" i="3"/>
  <c r="E572" i="3"/>
  <c r="E378" i="3"/>
  <c r="E538" i="3"/>
  <c r="E64" i="3"/>
  <c r="E118" i="3"/>
  <c r="E16" i="3"/>
  <c r="E211" i="3"/>
  <c r="E158" i="3"/>
  <c r="E356" i="3"/>
  <c r="E484" i="3"/>
  <c r="E301" i="3"/>
  <c r="E137" i="3"/>
  <c r="E244" i="3"/>
  <c r="E406" i="3"/>
  <c r="E504" i="3"/>
  <c r="E510" i="3"/>
  <c r="E368" i="3"/>
  <c r="AL6" i="3"/>
  <c r="E351" i="3"/>
  <c r="E163" i="3"/>
  <c r="E226" i="3"/>
  <c r="E169" i="3"/>
  <c r="E106" i="3"/>
  <c r="E498" i="3"/>
  <c r="E385" i="3"/>
  <c r="E246" i="3"/>
  <c r="E379" i="3"/>
  <c r="E400" i="3"/>
  <c r="E218" i="3"/>
  <c r="U6" i="3"/>
  <c r="E148" i="3"/>
  <c r="E375" i="3"/>
  <c r="E282" i="3"/>
  <c r="E394" i="3"/>
  <c r="E348" i="3"/>
  <c r="E192" i="3"/>
  <c r="E557" i="3"/>
  <c r="E346" i="3"/>
  <c r="E328" i="3"/>
  <c r="E130" i="3"/>
  <c r="E340" i="3"/>
  <c r="E483" i="3"/>
  <c r="E208" i="3"/>
  <c r="E56" i="3"/>
  <c r="E15" i="3"/>
  <c r="AJ6" i="3"/>
  <c r="E456" i="3"/>
  <c r="E319" i="3"/>
  <c r="E491" i="3"/>
  <c r="E256" i="3"/>
  <c r="E29" i="3"/>
  <c r="E458" i="3"/>
  <c r="E87" i="3"/>
  <c r="E133" i="3"/>
  <c r="E242" i="3"/>
  <c r="E160" i="3"/>
  <c r="E96" i="3"/>
  <c r="E416" i="3"/>
  <c r="E243" i="3"/>
  <c r="E465" i="3"/>
  <c r="E116" i="3"/>
  <c r="L6" i="3"/>
  <c r="E37" i="3"/>
  <c r="N6" i="3"/>
  <c r="E545" i="3"/>
  <c r="E536" i="3"/>
  <c r="E537" i="3"/>
  <c r="E337" i="3"/>
  <c r="E20" i="3"/>
  <c r="E358" i="3"/>
  <c r="E377" i="3"/>
  <c r="E511" i="3"/>
  <c r="S6" i="3"/>
  <c r="AB6" i="3"/>
  <c r="E487" i="3"/>
  <c r="E310" i="3"/>
  <c r="E384" i="3"/>
  <c r="E501" i="3"/>
  <c r="E159" i="3"/>
  <c r="E323" i="3"/>
  <c r="E315" i="3"/>
  <c r="E361" i="3"/>
  <c r="E298" i="3"/>
  <c r="E19" i="3"/>
  <c r="E277" i="3"/>
  <c r="E403" i="3"/>
  <c r="E529" i="3"/>
  <c r="E417" i="3"/>
  <c r="E390" i="3"/>
  <c r="E52" i="3"/>
  <c r="E410" i="3"/>
  <c r="E234" i="3"/>
  <c r="E239" i="3"/>
  <c r="AI6" i="3"/>
  <c r="E134" i="3"/>
  <c r="E540" i="3"/>
  <c r="E477" i="3"/>
  <c r="E309" i="3"/>
  <c r="E154" i="3"/>
  <c r="E372" i="3"/>
  <c r="E429" i="3"/>
  <c r="E303" i="3"/>
  <c r="E533" i="3"/>
  <c r="E482" i="3"/>
  <c r="E462" i="3"/>
  <c r="E452" i="3"/>
  <c r="E472" i="3"/>
  <c r="E564" i="3"/>
  <c r="E509" i="3"/>
  <c r="E18" i="3"/>
  <c r="E17" i="3"/>
  <c r="E322" i="3"/>
  <c r="E26" i="3"/>
  <c r="E329" i="3"/>
  <c r="E567" i="3"/>
  <c r="E371" i="3"/>
  <c r="E512" i="3"/>
  <c r="E514" i="3"/>
  <c r="E312" i="3"/>
  <c r="E267" i="3"/>
  <c r="E182" i="3"/>
  <c r="E35" i="3"/>
  <c r="E212" i="3"/>
  <c r="E524" i="3"/>
  <c r="E81" i="3"/>
  <c r="E530" i="3"/>
  <c r="E197" i="3"/>
  <c r="E398" i="3"/>
  <c r="E73" i="3"/>
  <c r="E247" i="3"/>
  <c r="E427" i="3"/>
  <c r="D23" i="68"/>
  <c r="C29" i="68"/>
  <c r="Q62" i="73"/>
  <c r="E210" i="3"/>
  <c r="E153" i="3"/>
  <c r="E90" i="3"/>
  <c r="E432" i="3"/>
  <c r="E307" i="3"/>
  <c r="E260" i="3"/>
  <c r="E177" i="3"/>
  <c r="E436" i="3"/>
  <c r="E217" i="3"/>
  <c r="E173" i="3"/>
  <c r="E558" i="3"/>
  <c r="E499" i="3"/>
  <c r="E355" i="3"/>
  <c r="E300" i="3"/>
  <c r="E433" i="3"/>
  <c r="E285" i="3"/>
  <c r="E58" i="3"/>
  <c r="E279" i="3"/>
  <c r="E172" i="3"/>
  <c r="E420" i="3"/>
  <c r="E174" i="3"/>
  <c r="E199" i="3"/>
  <c r="Y6" i="3"/>
  <c r="E126" i="3"/>
  <c r="E305" i="3"/>
  <c r="E451" i="3"/>
  <c r="E245" i="3"/>
  <c r="E568" i="3"/>
  <c r="E412" i="3"/>
  <c r="E109" i="3"/>
  <c r="E343" i="3"/>
  <c r="E294" i="3"/>
  <c r="E94" i="3"/>
  <c r="E555" i="3"/>
  <c r="E191" i="3"/>
  <c r="E120" i="3"/>
  <c r="E229" i="3"/>
  <c r="E235" i="3"/>
  <c r="E162" i="3"/>
  <c r="AQ6" i="3"/>
  <c r="E453" i="3"/>
  <c r="E347" i="3"/>
  <c r="E145" i="3"/>
  <c r="E255" i="3"/>
  <c r="E402" i="3"/>
  <c r="E233" i="3"/>
  <c r="E190" i="3"/>
  <c r="E98" i="3"/>
  <c r="E110" i="3"/>
  <c r="E435" i="3"/>
  <c r="E187" i="3"/>
  <c r="AR6" i="3"/>
  <c r="E336" i="3"/>
  <c r="E248" i="3"/>
  <c r="E365" i="3"/>
  <c r="E527" i="3"/>
  <c r="E291" i="3"/>
  <c r="E556" i="3"/>
  <c r="E445" i="3"/>
  <c r="E139" i="3"/>
  <c r="E332" i="3"/>
  <c r="E85" i="3"/>
  <c r="E136" i="3"/>
  <c r="E469" i="3"/>
  <c r="E27" i="3"/>
  <c r="E185" i="3"/>
  <c r="E468" i="3"/>
  <c r="E142" i="3"/>
  <c r="E140" i="3"/>
  <c r="E21" i="3"/>
  <c r="E376" i="3"/>
  <c r="AT6"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J5" i="15"/>
  <c r="J24" i="15" s="1"/>
  <c r="C5" i="74"/>
  <c r="C38" i="74" s="1"/>
  <c r="Q75" i="74"/>
  <c r="Q74" i="74"/>
  <c r="Q58" i="73"/>
  <c r="F1" i="73"/>
  <c r="J24" i="73"/>
  <c r="J26" i="73"/>
  <c r="J18" i="74"/>
  <c r="J19" i="74"/>
  <c r="J5" i="74"/>
  <c r="C17" i="59"/>
  <c r="D18" i="59"/>
  <c r="M23" i="72"/>
  <c r="T41" i="59"/>
  <c r="D41" i="59"/>
  <c r="M23" i="46" s="1"/>
  <c r="T33" i="59"/>
  <c r="D33" i="59"/>
  <c r="Q74" i="73"/>
  <c r="Q61" i="73"/>
  <c r="J18" i="73"/>
  <c r="J19" i="73"/>
  <c r="C33" i="74"/>
  <c r="C32" i="74"/>
  <c r="C48" i="74"/>
  <c r="C60" i="74" s="1"/>
  <c r="C33" i="73"/>
  <c r="C32" i="73"/>
  <c r="C48" i="73"/>
  <c r="C60" i="73" s="1"/>
  <c r="J34" i="34"/>
  <c r="F34" i="34"/>
  <c r="H34" i="34"/>
  <c r="B14" i="66"/>
  <c r="B1" i="66" s="1"/>
  <c r="F68" i="15"/>
  <c r="G40" i="72"/>
  <c r="I40" i="72" s="1"/>
  <c r="E40" i="72"/>
  <c r="E42" i="72"/>
  <c r="G42" i="72"/>
  <c r="I42" i="72" s="1"/>
  <c r="G38" i="72"/>
  <c r="I38" i="72" s="1"/>
  <c r="E38" i="72"/>
  <c r="E41" i="72"/>
  <c r="G41" i="72"/>
  <c r="I41" i="72" s="1"/>
  <c r="G37" i="72"/>
  <c r="I37" i="72" s="1"/>
  <c r="E37" i="72"/>
  <c r="G39" i="72"/>
  <c r="I39" i="72" s="1"/>
  <c r="E39" i="72"/>
  <c r="C24" i="74"/>
  <c r="C38" i="73"/>
  <c r="O36" i="46"/>
  <c r="Q36" i="46"/>
  <c r="N36" i="46"/>
  <c r="L37" i="46"/>
  <c r="O37" i="46" s="1"/>
  <c r="P36" i="46"/>
  <c r="L37" i="72"/>
  <c r="P36" i="72"/>
  <c r="Q36" i="72"/>
  <c r="O36" i="72"/>
  <c r="N36" i="72"/>
  <c r="M36" i="72"/>
  <c r="D22" i="12"/>
  <c r="C22" i="12" s="1"/>
  <c r="C20"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E10" i="59"/>
  <c r="F66" i="40"/>
  <c r="G64" i="40"/>
  <c r="G69" i="39"/>
  <c r="F71" i="39"/>
  <c r="R49" i="33"/>
  <c r="E48" i="33"/>
  <c r="E53" i="21"/>
  <c r="F53" i="21" s="1"/>
  <c r="E52" i="21"/>
  <c r="F52" i="21" s="1"/>
  <c r="I53" i="21"/>
  <c r="J53" i="21" s="1"/>
  <c r="L46" i="36"/>
  <c r="R39" i="35"/>
  <c r="E38" i="35"/>
  <c r="I43" i="35" s="1"/>
  <c r="J43" i="35" s="1"/>
  <c r="R43" i="37"/>
  <c r="E42" i="37"/>
  <c r="I47" i="37" s="1"/>
  <c r="J47" i="37" s="1"/>
  <c r="C48" i="21"/>
  <c r="C49" i="21"/>
  <c r="B3" i="21" s="1"/>
  <c r="B2" i="21" s="1"/>
  <c r="I46" i="37"/>
  <c r="J46" i="37" s="1"/>
  <c r="G52" i="33"/>
  <c r="H52" i="33" s="1"/>
  <c r="G53" i="33"/>
  <c r="H53" i="33" s="1"/>
  <c r="I42" i="35"/>
  <c r="J42" i="35" s="1"/>
  <c r="G46" i="37"/>
  <c r="H46" i="37" s="1"/>
  <c r="G47" i="37"/>
  <c r="H47" i="37" s="1"/>
  <c r="B3" i="11"/>
  <c r="AE6" i="1"/>
  <c r="C17" i="15"/>
  <c r="AE7" i="1"/>
  <c r="F41" i="73"/>
  <c r="F41" i="74"/>
  <c r="H6" i="3" l="1"/>
  <c r="AC6" i="3"/>
  <c r="D26" i="68"/>
  <c r="E23" i="68"/>
  <c r="D29" i="68"/>
  <c r="C47" i="74"/>
  <c r="C47" i="73"/>
  <c r="C16" i="59"/>
  <c r="T17" i="59"/>
  <c r="D17" i="59"/>
  <c r="J26" i="74"/>
  <c r="J29" i="74" s="1"/>
  <c r="J24" i="74"/>
  <c r="N16" i="1"/>
  <c r="F22" i="43" s="1"/>
  <c r="F68" i="73"/>
  <c r="J29" i="73"/>
  <c r="C7" i="66"/>
  <c r="C8" i="66"/>
  <c r="U34" i="34"/>
  <c r="AB34" i="34"/>
  <c r="T49" i="34" s="1"/>
  <c r="G49" i="34" s="1"/>
  <c r="G53" i="34" s="1"/>
  <c r="H53" i="34" s="1"/>
  <c r="W34" i="34"/>
  <c r="AC34" i="34"/>
  <c r="V49" i="34" s="1"/>
  <c r="I49" i="34" s="1"/>
  <c r="I53" i="34" s="1"/>
  <c r="J53" i="34" s="1"/>
  <c r="AA34" i="34"/>
  <c r="R49" i="34" s="1"/>
  <c r="E49" i="34" s="1"/>
  <c r="S34" i="34"/>
  <c r="F68" i="74"/>
  <c r="M37" i="46"/>
  <c r="N37" i="46"/>
  <c r="Q37" i="46"/>
  <c r="P37" i="46"/>
  <c r="P37" i="72"/>
  <c r="O37" i="72"/>
  <c r="N37" i="72"/>
  <c r="M37" i="72"/>
  <c r="Q37" i="72"/>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C17" i="73"/>
  <c r="C17" i="74"/>
  <c r="C19" i="44"/>
  <c r="F46" i="44"/>
  <c r="E6" i="3" l="1"/>
  <c r="E26" i="68"/>
  <c r="E29" i="68"/>
  <c r="D32" i="68"/>
  <c r="D38" i="68" s="1"/>
  <c r="D39" i="68" s="1"/>
  <c r="C65" i="74"/>
  <c r="C59" i="74"/>
  <c r="C65" i="73"/>
  <c r="C59" i="73"/>
  <c r="D16" i="59"/>
  <c r="C15" i="59"/>
  <c r="G54" i="34"/>
  <c r="H54" i="34" s="1"/>
  <c r="R50" i="34"/>
  <c r="C50" i="34" s="1"/>
  <c r="I54" i="34"/>
  <c r="J54" i="34" s="1"/>
  <c r="H21" i="6"/>
  <c r="R21" i="6" s="1"/>
  <c r="R8" i="1" s="1"/>
  <c r="H22" i="6"/>
  <c r="R22" i="6" s="1"/>
  <c r="R9" i="1" s="1"/>
  <c r="C14" i="66"/>
  <c r="B2" i="66" s="1"/>
  <c r="E54" i="34"/>
  <c r="F54" i="34" s="1"/>
  <c r="E53" i="34"/>
  <c r="F53" i="34" s="1"/>
  <c r="M27" i="6"/>
  <c r="H23" i="6"/>
  <c r="R23" i="6" s="1"/>
  <c r="R10" i="1" s="1"/>
  <c r="D30" i="6"/>
  <c r="S16" i="1"/>
  <c r="T13" i="1" s="1"/>
  <c r="H24" i="6"/>
  <c r="R24" i="6" s="1"/>
  <c r="R11" i="1" s="1"/>
  <c r="H25" i="6"/>
  <c r="R25" i="6" s="1"/>
  <c r="R12" i="1" s="1"/>
  <c r="I27" i="6"/>
  <c r="S19" i="6"/>
  <c r="S27" i="6" s="1"/>
  <c r="H19" i="6"/>
  <c r="R19" i="6" s="1"/>
  <c r="R26" i="6"/>
  <c r="F7" i="59"/>
  <c r="B8" i="59"/>
  <c r="E8" i="59"/>
  <c r="D27" i="6"/>
  <c r="A20" i="64"/>
  <c r="A6" i="64"/>
  <c r="A20" i="51"/>
  <c r="B15" i="63" s="1"/>
  <c r="N5" i="54"/>
  <c r="B43" i="63" s="1"/>
  <c r="A6" i="51"/>
  <c r="B7" i="63" s="1"/>
  <c r="D16" i="6"/>
  <c r="R20" i="6"/>
  <c r="C17" i="43"/>
  <c r="C14" i="43"/>
  <c r="C14" i="12"/>
  <c r="C17" i="12"/>
  <c r="I64" i="40"/>
  <c r="H66" i="40"/>
  <c r="H71" i="39"/>
  <c r="I69" i="39"/>
  <c r="N46" i="36"/>
  <c r="T10" i="1" l="1"/>
  <c r="E32" i="68"/>
  <c r="E38" i="68" s="1"/>
  <c r="E39" i="68" s="1"/>
  <c r="D15" i="59"/>
  <c r="C14" i="59"/>
  <c r="C49" i="34"/>
  <c r="D7" i="66"/>
  <c r="D8" i="66"/>
  <c r="B3" i="34"/>
  <c r="B2" i="34" s="1"/>
  <c r="R7" i="1"/>
  <c r="F1" i="72"/>
  <c r="R6" i="1"/>
  <c r="F1" i="46"/>
  <c r="T12" i="1"/>
  <c r="D31" i="6"/>
  <c r="I5" i="6" s="1"/>
  <c r="T8" i="1"/>
  <c r="T9" i="1"/>
  <c r="T6" i="1"/>
  <c r="T11" i="1"/>
  <c r="T7" i="1"/>
  <c r="R27" i="6"/>
  <c r="H27" i="6"/>
  <c r="E7" i="59"/>
  <c r="B7" i="59"/>
  <c r="F6" i="59"/>
  <c r="C18" i="43"/>
  <c r="C18" i="12"/>
  <c r="C23" i="12" s="1"/>
  <c r="O46" i="36"/>
  <c r="J7" i="36" s="1"/>
  <c r="F7" i="36"/>
  <c r="H7" i="36"/>
  <c r="J64" i="40"/>
  <c r="I66" i="40"/>
  <c r="J69" i="39"/>
  <c r="I71" i="39"/>
  <c r="M21" i="74"/>
  <c r="C14" i="74"/>
  <c r="M21" i="73"/>
  <c r="C16" i="44"/>
  <c r="F35" i="15"/>
  <c r="F37" i="44"/>
  <c r="M21" i="15"/>
  <c r="C14" i="73"/>
  <c r="F35" i="73"/>
  <c r="F35" i="74"/>
  <c r="C14" i="15"/>
  <c r="M23" i="44"/>
  <c r="I6" i="6" l="1"/>
  <c r="C13" i="39" s="1"/>
  <c r="C34" i="74"/>
  <c r="C31" i="74" s="1"/>
  <c r="F62" i="74"/>
  <c r="C61" i="74" s="1"/>
  <c r="C58" i="74" s="1"/>
  <c r="J20" i="74"/>
  <c r="J17" i="74" s="1"/>
  <c r="H13" i="39"/>
  <c r="J13" i="39"/>
  <c r="F13" i="39"/>
  <c r="J22" i="44"/>
  <c r="C36" i="44"/>
  <c r="R16" i="1"/>
  <c r="C13" i="59"/>
  <c r="D14" i="59"/>
  <c r="C18" i="73"/>
  <c r="C15" i="73"/>
  <c r="C15" i="15"/>
  <c r="C18" i="15"/>
  <c r="C18" i="74"/>
  <c r="C15" i="74"/>
  <c r="J20" i="73"/>
  <c r="J17" i="73" s="1"/>
  <c r="C34" i="73"/>
  <c r="C31" i="73" s="1"/>
  <c r="F62" i="73"/>
  <c r="C61" i="73" s="1"/>
  <c r="C58" i="73" s="1"/>
  <c r="C34" i="15"/>
  <c r="F62" i="15"/>
  <c r="C61" i="15" s="1"/>
  <c r="J20" i="15"/>
  <c r="G3" i="72"/>
  <c r="G3" i="46"/>
  <c r="C17" i="44"/>
  <c r="C20" i="44"/>
  <c r="T16" i="1"/>
  <c r="F5" i="59"/>
  <c r="V5" i="59" s="1"/>
  <c r="B6" i="59"/>
  <c r="E6" i="59"/>
  <c r="C19" i="43"/>
  <c r="K69" i="39"/>
  <c r="J71" i="39"/>
  <c r="U7" i="36"/>
  <c r="AB7" i="36"/>
  <c r="T36" i="36" s="1"/>
  <c r="G36" i="36" s="1"/>
  <c r="AC7" i="36"/>
  <c r="V36" i="36" s="1"/>
  <c r="I36" i="36" s="1"/>
  <c r="W7" i="36"/>
  <c r="J66" i="40"/>
  <c r="K64" i="40"/>
  <c r="S7" i="36"/>
  <c r="AA7" i="36"/>
  <c r="R36" i="36" s="1"/>
  <c r="AA13" i="39" l="1"/>
  <c r="S13" i="39"/>
  <c r="AB13" i="39"/>
  <c r="U13" i="39"/>
  <c r="AC13" i="39"/>
  <c r="W13" i="39"/>
  <c r="T13" i="59"/>
  <c r="C12" i="59"/>
  <c r="D13" i="59"/>
  <c r="C19" i="15"/>
  <c r="C20" i="15" s="1"/>
  <c r="C26" i="15" s="1"/>
  <c r="C19" i="73"/>
  <c r="C20" i="73" s="1"/>
  <c r="C26" i="73" s="1"/>
  <c r="C19" i="74"/>
  <c r="C20" i="74" s="1"/>
  <c r="C26" i="74" s="1"/>
  <c r="Z7" i="46"/>
  <c r="E26" i="46"/>
  <c r="G26" i="46"/>
  <c r="F26" i="46"/>
  <c r="B117" i="46"/>
  <c r="H26" i="46"/>
  <c r="J26" i="46"/>
  <c r="B117" i="72"/>
  <c r="J26" i="72"/>
  <c r="H26" i="72"/>
  <c r="G26" i="72"/>
  <c r="Z7" i="72"/>
  <c r="E26" i="72"/>
  <c r="F26" i="72"/>
  <c r="C21" i="44"/>
  <c r="C22" i="44" s="1"/>
  <c r="C28" i="44" s="1"/>
  <c r="E5" i="59"/>
  <c r="U5" i="59" s="1"/>
  <c r="B5" i="59"/>
  <c r="C21" i="43"/>
  <c r="R37" i="36"/>
  <c r="E36" i="36"/>
  <c r="I41" i="36" s="1"/>
  <c r="J41" i="36" s="1"/>
  <c r="K66" i="40"/>
  <c r="L64" i="40"/>
  <c r="G41" i="36"/>
  <c r="H41" i="36" s="1"/>
  <c r="G40" i="36"/>
  <c r="H40" i="36" s="1"/>
  <c r="I40" i="36"/>
  <c r="J40" i="36" s="1"/>
  <c r="L69" i="39"/>
  <c r="K71" i="39"/>
  <c r="C11" i="59" l="1"/>
  <c r="D12" i="59"/>
  <c r="C23" i="73"/>
  <c r="C29" i="73" s="1"/>
  <c r="C23" i="74"/>
  <c r="C29" i="74" s="1"/>
  <c r="B123" i="72"/>
  <c r="C123" i="72" s="1"/>
  <c r="B119" i="72"/>
  <c r="C119" i="72" s="1"/>
  <c r="I122" i="72"/>
  <c r="J122" i="72" s="1"/>
  <c r="K122" i="72" s="1"/>
  <c r="L122" i="72" s="1"/>
  <c r="M122" i="72" s="1"/>
  <c r="G122" i="72"/>
  <c r="H122" i="72" s="1"/>
  <c r="D119" i="72"/>
  <c r="E119" i="72" s="1"/>
  <c r="F119" i="72" s="1"/>
  <c r="G119" i="72" s="1"/>
  <c r="H119" i="72" s="1"/>
  <c r="I120" i="72"/>
  <c r="J120" i="72" s="1"/>
  <c r="K120" i="72" s="1"/>
  <c r="L120" i="72" s="1"/>
  <c r="M120" i="72" s="1"/>
  <c r="I119" i="72"/>
  <c r="J119" i="72" s="1"/>
  <c r="K119" i="72" s="1"/>
  <c r="L119" i="72" s="1"/>
  <c r="M119" i="72" s="1"/>
  <c r="D120" i="72"/>
  <c r="E120" i="72" s="1"/>
  <c r="F120" i="72" s="1"/>
  <c r="G120" i="72" s="1"/>
  <c r="H120" i="72" s="1"/>
  <c r="B121" i="72"/>
  <c r="C121" i="72" s="1"/>
  <c r="I121" i="72"/>
  <c r="J121" i="72" s="1"/>
  <c r="K121" i="72" s="1"/>
  <c r="L121" i="72" s="1"/>
  <c r="M121" i="72" s="1"/>
  <c r="D117" i="72"/>
  <c r="D121" i="72"/>
  <c r="E121" i="72" s="1"/>
  <c r="F121" i="72" s="1"/>
  <c r="G121" i="72" s="1"/>
  <c r="H121" i="72" s="1"/>
  <c r="D122" i="72"/>
  <c r="E122" i="72" s="1"/>
  <c r="F122" i="72" s="1"/>
  <c r="B120" i="72"/>
  <c r="C120" i="72" s="1"/>
  <c r="D123" i="72"/>
  <c r="E123" i="72" s="1"/>
  <c r="F123" i="72" s="1"/>
  <c r="G123" i="72" s="1"/>
  <c r="H123" i="72" s="1"/>
  <c r="I123" i="72"/>
  <c r="J123" i="72" s="1"/>
  <c r="K123" i="72" s="1"/>
  <c r="L123" i="72" s="1"/>
  <c r="M123" i="72" s="1"/>
  <c r="B122" i="72"/>
  <c r="C122" i="72" s="1"/>
  <c r="D26" i="46"/>
  <c r="C25" i="46" s="1"/>
  <c r="D26" i="72"/>
  <c r="C25" i="72"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S5" i="59"/>
  <c r="L71" i="39"/>
  <c r="M69" i="39"/>
  <c r="M64" i="40"/>
  <c r="L66" i="40"/>
  <c r="E40" i="36"/>
  <c r="F40" i="36" s="1"/>
  <c r="E41" i="36"/>
  <c r="F41" i="36" s="1"/>
  <c r="C37" i="36"/>
  <c r="B3" i="36" s="1"/>
  <c r="B2" i="36" s="1"/>
  <c r="C36" i="36"/>
  <c r="C10" i="59" l="1"/>
  <c r="D11" i="59"/>
  <c r="C56" i="73"/>
  <c r="C63" i="73" s="1"/>
  <c r="C13" i="73"/>
  <c r="D13" i="68" s="1"/>
  <c r="D12" i="68" s="1"/>
  <c r="D11" i="68" s="1"/>
  <c r="Q50" i="73"/>
  <c r="C36" i="73"/>
  <c r="J14" i="73"/>
  <c r="C36" i="74"/>
  <c r="Q50" i="74"/>
  <c r="C13" i="74"/>
  <c r="C56" i="74"/>
  <c r="C63" i="74" s="1"/>
  <c r="J14" i="74"/>
  <c r="C33" i="72"/>
  <c r="C34" i="72" s="1"/>
  <c r="E34" i="72" s="1"/>
  <c r="C31" i="72" s="1"/>
  <c r="C33" i="46"/>
  <c r="C34" i="46" s="1"/>
  <c r="E34" i="46" s="1"/>
  <c r="C31" i="46" s="1"/>
  <c r="N64" i="40"/>
  <c r="N66" i="40" s="1"/>
  <c r="M66" i="40"/>
  <c r="N69" i="39"/>
  <c r="N71" i="39" s="1"/>
  <c r="M71" i="39"/>
  <c r="E11" i="68" l="1"/>
  <c r="E7" i="68" s="1"/>
  <c r="C27" i="68" s="1"/>
  <c r="D7" i="68"/>
  <c r="C26" i="68" s="1"/>
  <c r="C32" i="68" s="1"/>
  <c r="C38" i="68" s="1"/>
  <c r="C39" i="68" s="1"/>
  <c r="C40" i="68" s="1"/>
  <c r="C9" i="59"/>
  <c r="D10" i="59"/>
  <c r="J22" i="73"/>
  <c r="J13" i="73"/>
  <c r="J23" i="73" s="1"/>
  <c r="J13" i="74"/>
  <c r="J23" i="74" s="1"/>
  <c r="J22" i="74"/>
  <c r="C37" i="74"/>
  <c r="C30" i="74" s="1"/>
  <c r="C39" i="74" s="1"/>
  <c r="Q71" i="74"/>
  <c r="J35" i="74"/>
  <c r="C55" i="74"/>
  <c r="C64" i="74" s="1"/>
  <c r="C57" i="74" s="1"/>
  <c r="C66" i="74" s="1"/>
  <c r="C67" i="74" s="1"/>
  <c r="C37" i="73"/>
  <c r="C30" i="73" s="1"/>
  <c r="C39" i="73" s="1"/>
  <c r="Q71" i="73"/>
  <c r="C55" i="73"/>
  <c r="C64" i="73" s="1"/>
  <c r="C57" i="73" s="1"/>
  <c r="C66" i="73" s="1"/>
  <c r="C67" i="73" s="1"/>
  <c r="J35" i="73"/>
  <c r="E33" i="46"/>
  <c r="C30" i="46" s="1"/>
  <c r="E33" i="72"/>
  <c r="J9" i="40"/>
  <c r="H9" i="40"/>
  <c r="F9" i="40"/>
  <c r="J9" i="39"/>
  <c r="H9" i="39"/>
  <c r="F9" i="39"/>
  <c r="F8" i="67"/>
  <c r="E7" i="67"/>
  <c r="L51" i="74"/>
  <c r="F7" i="67"/>
  <c r="L51" i="73"/>
  <c r="B2" i="68" l="1"/>
  <c r="B3" i="68" s="1"/>
  <c r="C41" i="68"/>
  <c r="C8" i="59"/>
  <c r="T9" i="59"/>
  <c r="D9" i="59"/>
  <c r="J39" i="74"/>
  <c r="J40" i="74" s="1"/>
  <c r="Q68" i="73"/>
  <c r="Q68" i="74"/>
  <c r="C70" i="73"/>
  <c r="Q70" i="73"/>
  <c r="Q69" i="73" s="1"/>
  <c r="C40" i="73"/>
  <c r="C40" i="74"/>
  <c r="Q70" i="74"/>
  <c r="Q69" i="74" s="1"/>
  <c r="C70" i="74"/>
  <c r="J39" i="73"/>
  <c r="J40" i="73" s="1"/>
  <c r="J16" i="74"/>
  <c r="J25" i="74" s="1"/>
  <c r="J16" i="73"/>
  <c r="J25" i="73" s="1"/>
  <c r="E4" i="67"/>
  <c r="C30" i="72"/>
  <c r="B2"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E8" i="67"/>
  <c r="B7" i="67"/>
  <c r="D8" i="59" l="1"/>
  <c r="C7" i="59"/>
  <c r="G40" i="74"/>
  <c r="Q57" i="74"/>
  <c r="Q63" i="74" s="1"/>
  <c r="Q48" i="74"/>
  <c r="Q54" i="74" s="1"/>
  <c r="Q66" i="74"/>
  <c r="Q76" i="74" s="1"/>
  <c r="C43" i="74"/>
  <c r="B2" i="74"/>
  <c r="J42" i="74"/>
  <c r="J43" i="74" s="1"/>
  <c r="C46" i="74"/>
  <c r="Q48" i="73"/>
  <c r="Q54" i="73" s="1"/>
  <c r="Q66" i="73"/>
  <c r="Q76" i="73" s="1"/>
  <c r="Q57" i="73"/>
  <c r="Q63" i="73" s="1"/>
  <c r="C43" i="73"/>
  <c r="B2" i="73"/>
  <c r="J42" i="73"/>
  <c r="J43" i="73" s="1"/>
  <c r="C46" i="73"/>
  <c r="E3" i="67"/>
  <c r="B2" i="72"/>
  <c r="B3" i="72" s="1"/>
  <c r="D4" i="46"/>
  <c r="B4" i="46"/>
  <c r="B3" i="46"/>
  <c r="R45" i="40"/>
  <c r="E44" i="40"/>
  <c r="G53" i="39"/>
  <c r="H53" i="39" s="1"/>
  <c r="G54" i="39"/>
  <c r="H54" i="39" s="1"/>
  <c r="G48" i="40"/>
  <c r="H48" i="40" s="1"/>
  <c r="G49" i="40"/>
  <c r="H49" i="40" s="1"/>
  <c r="I53" i="39"/>
  <c r="J53" i="39" s="1"/>
  <c r="R50" i="39"/>
  <c r="E49" i="39"/>
  <c r="I54" i="39" s="1"/>
  <c r="J54" i="39" s="1"/>
  <c r="B8" i="67"/>
  <c r="B3" i="74" l="1"/>
  <c r="B3" i="73"/>
  <c r="C8" i="12" s="1"/>
  <c r="C10" i="12"/>
  <c r="C6" i="59"/>
  <c r="D7" i="59"/>
  <c r="B2" i="67"/>
  <c r="B3" i="67" s="1"/>
  <c r="B4" i="72"/>
  <c r="D4" i="72"/>
  <c r="E54" i="39"/>
  <c r="F54" i="39" s="1"/>
  <c r="E53" i="39"/>
  <c r="F53" i="39" s="1"/>
  <c r="I49" i="40"/>
  <c r="J49" i="40" s="1"/>
  <c r="E49" i="40"/>
  <c r="F49" i="40" s="1"/>
  <c r="E48" i="40"/>
  <c r="F48" i="40" s="1"/>
  <c r="C49" i="39"/>
  <c r="C50" i="39"/>
  <c r="C44" i="40"/>
  <c r="C45" i="40"/>
  <c r="C5" i="59" l="1"/>
  <c r="D6" i="59"/>
  <c r="B4" i="67"/>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5" i="59" l="1"/>
  <c r="D5" i="59"/>
  <c r="M24" i="72"/>
  <c r="M24" i="46"/>
  <c r="F67" i="39"/>
  <c r="B2" i="39" s="1"/>
  <c r="B5" i="40"/>
  <c r="B4" i="40"/>
  <c r="B3" i="40"/>
  <c r="B5" i="39" l="1"/>
  <c r="B4" i="39"/>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6" i="12" s="1"/>
  <c r="Q58" i="15"/>
  <c r="Q63" i="15" s="1"/>
  <c r="Q69" i="44"/>
  <c r="Q59" i="44"/>
  <c r="Q64" i="44" s="1"/>
  <c r="Q68" i="44"/>
  <c r="Q77" i="44" s="1"/>
  <c r="C24" i="12" l="1"/>
  <c r="C29" i="12"/>
  <c r="C35" i="12" l="1"/>
  <c r="C33" i="12" s="1"/>
  <c r="C28" i="12"/>
  <c r="C26" i="12" s="1"/>
  <c r="C31" i="12" s="1"/>
  <c r="C30" i="12" s="1"/>
  <c r="C36" i="12" l="1"/>
  <c r="B2" i="12" s="1"/>
  <c r="D19" i="9"/>
  <c r="C19" i="9"/>
  <c r="C21" i="9"/>
  <c r="L44" i="9" l="1"/>
  <c r="B4" i="12"/>
  <c r="G19" i="9"/>
  <c r="K19" i="9" s="1"/>
  <c r="D22" i="9"/>
  <c r="L43" i="9"/>
  <c r="B5" i="12"/>
  <c r="B3" i="12"/>
  <c r="D20" i="9"/>
  <c r="C20" i="9"/>
  <c r="D21" i="9"/>
  <c r="G21" i="9" l="1"/>
  <c r="G22" i="9"/>
  <c r="N43" i="9"/>
  <c r="G20" i="9"/>
  <c r="C32" i="9"/>
  <c r="C35" i="9" s="1"/>
  <c r="F42" i="9" s="1"/>
  <c r="O38" i="9" l="1"/>
  <c r="C33" i="9"/>
  <c r="D42" i="9" s="1"/>
  <c r="Q5" i="54" s="1"/>
  <c r="B47" i="63" s="1"/>
  <c r="C42" i="9"/>
  <c r="N68" i="9" s="1"/>
  <c r="C34" i="9"/>
  <c r="M38" i="9" s="1"/>
  <c r="K27" i="9" s="1"/>
  <c r="O43" i="9"/>
  <c r="N38" i="9" l="1"/>
  <c r="K28" i="9" s="1"/>
  <c r="K26" i="9"/>
  <c r="D14" i="66"/>
  <c r="R5" i="54"/>
  <c r="B48" i="63" s="1"/>
  <c r="C44" i="9"/>
  <c r="O39" i="9" s="1"/>
  <c r="G14" i="66" s="1"/>
  <c r="D63" i="9"/>
  <c r="C82" i="9" s="1"/>
  <c r="C81" i="9" s="1"/>
  <c r="C85" i="9" s="1"/>
  <c r="C86" i="9" s="1"/>
  <c r="D72" i="9" s="1"/>
  <c r="K25" i="9"/>
  <c r="E42" i="9"/>
  <c r="P5" i="54" s="1"/>
  <c r="B46" i="63" s="1"/>
  <c r="B6" i="66" l="1"/>
  <c r="C6" i="66" s="1"/>
  <c r="N69" i="9"/>
  <c r="M86" i="9" s="1"/>
  <c r="N86" i="9" s="1"/>
  <c r="B5" i="66"/>
  <c r="E14" i="66"/>
  <c r="F14" i="66"/>
  <c r="E44" i="9"/>
  <c r="F44" i="9"/>
  <c r="C90" i="9"/>
  <c r="D73" i="9"/>
  <c r="N73" i="9" s="1"/>
  <c r="C103" i="9"/>
  <c r="C96" i="9"/>
  <c r="C91" i="9" s="1"/>
  <c r="D71" i="9"/>
  <c r="D66" i="9" s="1"/>
  <c r="N72" i="9" s="1"/>
  <c r="D70" i="9"/>
  <c r="C111" i="9"/>
  <c r="C104" i="9" s="1"/>
  <c r="D44" i="9"/>
  <c r="K29" i="9"/>
  <c r="K30" i="9" s="1"/>
  <c r="R6" i="54"/>
  <c r="B50" i="63" s="1"/>
  <c r="M88" i="9"/>
  <c r="N88" i="9" s="1"/>
  <c r="D6" i="66" l="1"/>
  <c r="M85" i="9"/>
  <c r="N85" i="9" s="1"/>
  <c r="M83" i="9"/>
  <c r="N83" i="9" s="1"/>
  <c r="M84" i="9"/>
  <c r="N84" i="9" s="1"/>
  <c r="M87" i="9"/>
  <c r="N87" i="9" s="1"/>
  <c r="C5" i="66"/>
  <c r="D5" i="66"/>
  <c r="C113" i="9"/>
  <c r="C114" i="9" s="1"/>
  <c r="E114" i="9" s="1"/>
  <c r="E115" i="9" s="1"/>
  <c r="C97" i="9"/>
  <c r="C98" i="9" s="1"/>
  <c r="E98" i="9" s="1"/>
  <c r="E99" i="9" s="1"/>
  <c r="N89" i="9" l="1"/>
  <c r="O89" i="9" s="1"/>
  <c r="C115" i="9"/>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<sst xmlns="http://schemas.openxmlformats.org/spreadsheetml/2006/main" count="9196" uniqueCount="3629">
  <si>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</si>
  <si>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</si>
  <si>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</si>
  <si>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</si>
  <si>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</si>
  <si>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</si>
  <si>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</si>
  <si>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</si>
  <si>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</si>
  <si>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</si>
  <si>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</si>
  <si>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</si>
  <si>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</si>
  <si>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</si>
  <si>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</si>
  <si>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</si>
  <si>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</si>
  <si>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</si>
  <si>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</si>
  <si>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</si>
  <si>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</si>
  <si>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</si>
  <si>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</si>
  <si>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</si>
  <si>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</si>
  <si>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</si>
  <si>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</si>
  <si>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</si>
  <si>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</si>
  <si>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</si>
  <si>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</si>
  <si>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</si>
  <si>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</si>
  <si>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</si>
  <si>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</si>
  <si>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</si>
  <si>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</si>
  <si>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</si>
  <si>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</si>
  <si>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</si>
  <si>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</si>
  <si>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</si>
  <si>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</si>
  <si>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</si>
  <si>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</si>
  <si>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</si>
  <si>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</si>
  <si>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</si>
  <si>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</si>
  <si>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</si>
  <si>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</si>
  <si>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</si>
  <si>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</si>
  <si>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</si>
  <si>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</si>
  <si>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</si>
  <si>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</si>
  <si>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</si>
  <si>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</si>
  <si>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</si>
  <si>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</si>
  <si>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</si>
  <si>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</si>
  <si>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</si>
  <si>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</si>
  <si>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</si>
  <si>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</si>
  <si>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</si>
  <si>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</si>
  <si>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</si>
  <si>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</si>
  <si>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</si>
  <si>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</si>
  <si>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</si>
  <si>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</si>
  <si>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</si>
  <si>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</si>
  <si>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</si>
  <si>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</si>
  <si>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</si>
  <si>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</si>
  <si>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</si>
  <si>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</si>
  <si>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</si>
  <si>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</si>
  <si>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</si>
  <si>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</si>
  <si>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</si>
  <si>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</si>
  <si>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</si>
  <si>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</si>
  <si>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</si>
  <si>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</si>
  <si>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</si>
  <si>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</si>
  <si>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</si>
  <si>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</si>
  <si>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</si>
  <si>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</si>
  <si>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</si>
  <si>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</si>
  <si>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</si>
  <si>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</si>
  <si>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</si>
  <si>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</si>
  <si>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</si>
  <si>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</si>
  <si>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</si>
  <si>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</si>
  <si>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</si>
  <si>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</si>
  <si>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</si>
  <si>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</si>
  <si>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</si>
  <si>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</si>
  <si>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</si>
  <si>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</si>
  <si>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</si>
  <si>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</si>
  <si>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</si>
  <si>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</si>
  <si>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</si>
  <si>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</si>
  <si>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</si>
  <si>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</si>
  <si>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</si>
  <si>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</si>
  <si>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</si>
  <si>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</si>
  <si>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</si>
  <si>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</si>
  <si>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</si>
  <si>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</si>
  <si>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</si>
  <si>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</si>
  <si>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</si>
  <si>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</si>
  <si>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</si>
  <si>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</si>
  <si>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</si>
  <si>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</si>
  <si>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</si>
  <si>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</si>
  <si>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</si>
  <si>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</si>
  <si>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</si>
  <si>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</si>
  <si>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</si>
  <si>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</si>
  <si>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</si>
  <si>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</si>
  <si>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</si>
  <si>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</si>
  <si>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</si>
  <si>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</si>
  <si>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</si>
  <si>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</si>
  <si>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</si>
  <si>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</si>
  <si>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</si>
  <si>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</si>
  <si>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</si>
  <si>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</si>
  <si>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</si>
  <si>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</si>
  <si>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</si>
  <si>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</si>
  <si>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</si>
  <si>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</si>
  <si>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</si>
  <si>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</si>
  <si>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</si>
  <si>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</si>
  <si>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</si>
  <si>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</si>
  <si>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</si>
  <si>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</si>
  <si>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</si>
  <si>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</si>
  <si>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</si>
  <si>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</si>
  <si>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</si>
  <si>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</si>
  <si>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</si>
  <si>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</si>
  <si>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</si>
  <si>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</si>
  <si>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</si>
  <si>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</si>
  <si>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</si>
  <si>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</si>
  <si>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</si>
  <si>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</si>
  <si>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</si>
  <si>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</si>
  <si>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</si>
  <si>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</si>
  <si>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</si>
  <si>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</si>
  <si>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</si>
  <si>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</si>
  <si>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</si>
  <si>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</si>
  <si>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</si>
  <si>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</si>
  <si>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</si>
  <si>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</si>
  <si>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</si>
  <si>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</si>
  <si>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</si>
  <si>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</si>
  <si>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</si>
  <si>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</si>
  <si>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</si>
  <si>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</si>
  <si>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</si>
  <si>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</si>
  <si>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</si>
  <si>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</si>
  <si>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</si>
  <si>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</si>
  <si>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</si>
  <si>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</si>
  <si>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</si>
  <si>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</si>
  <si>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</si>
  <si>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</si>
  <si>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</si>
  <si>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</si>
  <si>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</si>
  <si>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</si>
  <si>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</si>
  <si>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</si>
  <si>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</si>
  <si>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</si>
  <si>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</si>
  <si>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</si>
  <si>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</si>
  <si>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</si>
  <si>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</si>
  <si>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</si>
  <si>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</si>
  <si>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</si>
  <si>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</si>
  <si>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</si>
  <si>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</si>
  <si>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</si>
  <si>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</si>
  <si>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</si>
  <si>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</si>
  <si>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</si>
  <si>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</si>
  <si>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</si>
  <si>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</si>
  <si>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</si>
  <si>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</si>
  <si>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</si>
  <si>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</si>
  <si>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</si>
  <si>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</si>
  <si>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</si>
  <si>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</si>
  <si>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</si>
  <si>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</si>
  <si>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</si>
  <si>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</si>
  <si>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</si>
  <si>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</si>
  <si>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</si>
  <si>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</si>
  <si>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</si>
  <si>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</si>
  <si>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</si>
  <si>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</si>
  <si>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</si>
  <si>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</si>
  <si>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</si>
  <si>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</si>
  <si>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</si>
  <si>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</si>
  <si>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</si>
  <si>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</si>
  <si>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</si>
  <si>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</si>
  <si>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</si>
  <si>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</si>
  <si>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</si>
  <si>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</si>
  <si>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</si>
  <si>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</si>
  <si>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</si>
  <si>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</si>
  <si>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</si>
  <si>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</si>
  <si>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</si>
  <si>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</si>
  <si>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</si>
  <si>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</si>
  <si>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</si>
  <si>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</si>
  <si>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</si>
  <si>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</si>
  <si>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</si>
  <si>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</si>
  <si>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</si>
  <si>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</si>
  <si>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</si>
  <si>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</si>
  <si>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</si>
  <si>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</si>
  <si>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</si>
  <si>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</si>
  <si>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</si>
  <si>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</si>
  <si>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</si>
  <si>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</si>
  <si>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</si>
  <si>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</si>
  <si>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</si>
  <si>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</si>
  <si>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</si>
  <si>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</si>
  <si>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</si>
  <si>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</si>
  <si>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</si>
  <si>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</si>
  <si>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</si>
  <si>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</si>
  <si>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</si>
  <si>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</si>
  <si>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</si>
  <si>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</si>
  <si>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</si>
  <si>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</si>
  <si>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</si>
  <si>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</si>
  <si>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</si>
  <si>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</si>
  <si>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</si>
  <si>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</si>
  <si>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</si>
  <si>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</si>
  <si>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</si>
  <si>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</si>
  <si>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</si>
  <si>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</si>
  <si>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</si>
  <si>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</si>
  <si>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</si>
  <si>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</si>
  <si>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</si>
  <si>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</si>
  <si>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</si>
  <si>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</si>
  <si>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</si>
  <si>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</si>
  <si>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</si>
  <si>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</si>
  <si>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</si>
  <si>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</si>
  <si>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</si>
  <si>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</si>
  <si>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</si>
  <si>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</si>
  <si>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</si>
  <si>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</si>
  <si>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</si>
  <si>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</si>
  <si>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</si>
  <si>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</si>
  <si>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</si>
  <si>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</si>
  <si>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</si>
  <si>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</si>
  <si>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</si>
  <si>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</si>
  <si>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</si>
  <si>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</si>
  <si>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</si>
  <si>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</si>
  <si>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</si>
  <si>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</si>
  <si>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</si>
  <si>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</si>
  <si>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</si>
  <si>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</si>
  <si>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</si>
  <si>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</si>
  <si>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</si>
  <si>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</si>
  <si>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</si>
  <si>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</si>
  <si>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</si>
  <si>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</si>
  <si>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</si>
  <si>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</si>
  <si>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</si>
  <si>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</si>
  <si>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</si>
  <si>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</si>
  <si>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</si>
  <si>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</si>
  <si>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</si>
  <si>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</si>
  <si>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</si>
  <si>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</si>
  <si>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</si>
  <si>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</si>
  <si>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</si>
  <si>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</si>
  <si>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</si>
  <si>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</si>
  <si>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</si>
  <si>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</si>
  <si>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</si>
  <si>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</si>
  <si>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</si>
  <si>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</si>
  <si>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</si>
  <si>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</si>
  <si>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</si>
  <si>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</si>
  <si>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</si>
  <si>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</si>
  <si>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</si>
  <si>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</si>
  <si>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</si>
  <si>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</si>
  <si>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</si>
  <si>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</si>
  <si>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</si>
  <si>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</si>
  <si>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</si>
  <si>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</si>
  <si>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</si>
  <si>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</si>
  <si>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</si>
  <si>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</si>
  <si>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</si>
  <si>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</si>
  <si>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</si>
  <si>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</si>
  <si>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</si>
  <si>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</si>
  <si>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</si>
  <si>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</si>
  <si>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</si>
  <si>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</si>
  <si>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</si>
  <si>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</si>
  <si>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</si>
  <si>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</si>
  <si>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</si>
  <si>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</si>
  <si>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</si>
  <si>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</si>
  <si>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</si>
  <si>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</si>
  <si>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</si>
  <si>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</si>
  <si>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</si>
  <si>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</si>
  <si>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</si>
  <si>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</si>
  <si>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</si>
  <si>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</si>
  <si>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</si>
  <si>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</si>
  <si>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</si>
  <si>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</si>
  <si>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</si>
  <si>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</si>
  <si>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</si>
  <si>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</si>
  <si>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</si>
  <si>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</si>
  <si>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</si>
  <si>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</si>
  <si>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</si>
  <si>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</si>
  <si>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</si>
  <si>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</si>
  <si>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</si>
  <si>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</si>
  <si>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</si>
  <si>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</si>
  <si>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</si>
  <si>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</si>
  <si>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</si>
  <si>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</si>
  <si>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</si>
  <si>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</si>
  <si>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</si>
  <si>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</si>
  <si>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</si>
  <si>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</si>
  <si>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</si>
  <si>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</si>
  <si>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</si>
  <si>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</si>
  <si>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</si>
  <si>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</si>
  <si>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</si>
  <si>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</si>
  <si>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</si>
  <si>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</si>
  <si>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</si>
  <si>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</si>
  <si>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</si>
  <si>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</si>
  <si>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</si>
  <si>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</si>
  <si>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</si>
  <si>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</si>
  <si>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</si>
  <si>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</si>
  <si>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</si>
  <si>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</si>
  <si>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</si>
  <si>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</si>
  <si>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</si>
  <si>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</si>
  <si>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</si>
  <si>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</si>
  <si>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</si>
  <si>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</si>
  <si>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</si>
  <si>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</si>
  <si>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</si>
  <si>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</si>
  <si>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</si>
  <si>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</si>
  <si>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</si>
  <si>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</si>
  <si>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</si>
  <si>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</si>
  <si>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</si>
  <si>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</si>
  <si>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</si>
  <si>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</si>
  <si>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</si>
  <si>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</si>
  <si>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</si>
  <si>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</si>
  <si>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</si>
  <si>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</si>
  <si>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</si>
  <si>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</si>
  <si>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</si>
  <si>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</si>
  <si>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</si>
  <si>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</si>
  <si>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</si>
  <si>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</si>
  <si>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</si>
  <si>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</si>
  <si>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</si>
  <si>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</si>
  <si>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</si>
  <si>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</si>
  <si>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</si>
  <si>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</si>
  <si>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</si>
  <si>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</si>
  <si>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</si>
  <si>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</si>
  <si>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</si>
  <si>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</si>
  <si>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</si>
  <si>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</si>
  <si>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</si>
  <si>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</si>
  <si>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</si>
  <si>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</si>
  <si>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</si>
  <si>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</si>
  <si>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</si>
  <si>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</si>
  <si>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</si>
  <si>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</si>
  <si>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</si>
  <si>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</si>
  <si>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</si>
  <si>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</si>
  <si>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</si>
  <si>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</si>
  <si>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</si>
  <si>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</si>
  <si>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</si>
  <si>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</si>
  <si>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</si>
  <si>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</si>
  <si>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</si>
  <si>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</si>
  <si>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</si>
  <si>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</si>
  <si>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</si>
  <si>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</si>
  <si>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</si>
  <si>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</si>
  <si>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</si>
  <si>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</si>
  <si>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</si>
  <si>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</si>
  <si>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</si>
  <si>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</si>
  <si>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</si>
  <si>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</si>
  <si>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</si>
  <si>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</si>
  <si>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</si>
  <si>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</si>
  <si>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</si>
  <si>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</si>
  <si>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</si>
  <si>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</si>
  <si>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</si>
  <si>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</si>
  <si>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</si>
  <si>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</si>
  <si>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</si>
  <si>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</si>
  <si>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</si>
  <si>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</si>
  <si>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</si>
  <si>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</si>
  <si>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</si>
  <si>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</si>
  <si>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</si>
  <si>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</si>
  <si>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</si>
  <si>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</si>
  <si>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</si>
  <si>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</si>
  <si>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</si>
  <si>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</si>
  <si>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</si>
  <si>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</si>
  <si>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</si>
  <si>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</si>
  <si>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</si>
  <si>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</si>
  <si>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</si>
  <si>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</si>
  <si>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</si>
  <si>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</si>
  <si>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</si>
  <si>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</si>
  <si>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</si>
  <si>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</si>
  <si>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</si>
  <si>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</si>
  <si>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</si>
  <si>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</si>
  <si>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</si>
  <si>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</si>
  <si>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</si>
  <si>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</si>
  <si>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</si>
  <si>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</si>
  <si>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</si>
  <si>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</si>
  <si>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</si>
  <si>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</si>
  <si>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</si>
  <si>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</si>
  <si>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</si>
  <si>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</si>
  <si>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</si>
  <si>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</si>
  <si>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</si>
  <si>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</si>
  <si>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</si>
  <si>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</si>
  <si>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</si>
  <si>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</si>
  <si>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</si>
  <si>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</si>
  <si>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</si>
  <si>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</si>
  <si>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</si>
  <si>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</si>
  <si>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</si>
  <si>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</si>
  <si>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</si>
  <si>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</si>
  <si>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</si>
  <si>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</si>
  <si>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</si>
  <si>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</si>
  <si>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</si>
  <si>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</si>
  <si>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</si>
  <si>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</si>
  <si>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</si>
  <si>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</si>
  <si>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</si>
  <si>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</si>
  <si>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</si>
  <si>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</si>
  <si>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</si>
  <si>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</si>
  <si>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</si>
  <si>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</si>
  <si>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</si>
  <si>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</si>
  <si>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</si>
  <si>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</si>
  <si>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</si>
  <si>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</si>
  <si>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</si>
  <si>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</si>
  <si>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</si>
  <si>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</si>
  <si>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</si>
  <si>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</si>
  <si>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</si>
  <si>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</si>
  <si>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</si>
  <si>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</si>
  <si>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</si>
  <si>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</si>
  <si>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</si>
  <si>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</si>
  <si>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</si>
  <si>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</si>
  <si>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</si>
  <si>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</si>
  <si>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</si>
  <si>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</si>
  <si>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</si>
  <si>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</si>
  <si>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</si>
  <si>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</si>
  <si>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</si>
  <si>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</si>
  <si>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</si>
  <si>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</si>
  <si>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</si>
  <si>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</si>
  <si>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</si>
  <si>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</si>
  <si>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</si>
  <si>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</si>
  <si>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</si>
  <si>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</si>
  <si>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</si>
  <si>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</si>
  <si>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</si>
  <si>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</si>
  <si>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</si>
  <si>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</si>
  <si>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</si>
  <si>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</si>
  <si>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</si>
  <si>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</si>
  <si>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</si>
  <si>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</si>
  <si>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</si>
  <si>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</si>
  <si>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</si>
  <si>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</si>
  <si>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</si>
  <si>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</si>
  <si>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</si>
  <si>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</si>
  <si>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</si>
  <si>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</si>
  <si>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</si>
  <si>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</si>
  <si>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</si>
  <si>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</si>
  <si>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</si>
  <si>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</si>
  <si>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</si>
  <si>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</si>
  <si>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</si>
  <si>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</si>
  <si>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</si>
  <si>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</si>
  <si>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</si>
  <si>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</si>
  <si>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</si>
  <si>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</si>
  <si>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</si>
  <si>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</si>
  <si>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</si>
  <si>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</si>
  <si>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</si>
  <si>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</si>
  <si>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</si>
  <si>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</si>
  <si>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</si>
  <si>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</si>
  <si>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</si>
  <si>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</si>
  <si>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</si>
  <si>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</si>
  <si>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</si>
  <si>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</si>
  <si>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</si>
  <si>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</si>
  <si>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</si>
  <si>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</si>
  <si>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</si>
  <si>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</si>
  <si>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</si>
  <si>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</si>
  <si>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</si>
  <si>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</si>
  <si>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</si>
  <si>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</si>
  <si>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</si>
  <si>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</si>
  <si>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</si>
  <si>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</si>
  <si>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</si>
  <si>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</si>
  <si>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</si>
  <si>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</si>
  <si>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</si>
  <si>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</si>
  <si>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</si>
  <si>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</si>
  <si>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</si>
  <si>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</si>
  <si>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</si>
  <si>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</si>
  <si>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</si>
  <si>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</si>
  <si>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</si>
  <si>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</si>
  <si>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</si>
  <si>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</si>
  <si>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</si>
  <si>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</si>
  <si>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</si>
  <si>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</si>
  <si>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</si>
  <si>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</si>
  <si>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</si>
  <si>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</si>
  <si>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</si>
  <si>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</si>
  <si>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</si>
  <si>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</si>
  <si>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</si>
  <si>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</si>
  <si>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</si>
  <si>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</si>
  <si>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</si>
  <si>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</si>
  <si>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</si>
  <si>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</si>
  <si>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</si>
  <si>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</si>
  <si>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</si>
  <si>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</si>
  <si>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</si>
  <si>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</si>
  <si>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</si>
  <si>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</si>
  <si>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</si>
  <si>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</si>
  <si>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</si>
  <si>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</si>
  <si>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</si>
  <si>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</si>
  <si>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</si>
  <si>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</si>
  <si>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</si>
  <si>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</si>
  <si>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</si>
  <si>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</si>
  <si>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</si>
  <si>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</si>
  <si>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</si>
  <si>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</si>
  <si>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</si>
  <si>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</si>
  <si>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</si>
  <si>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</si>
  <si>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</si>
  <si>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</si>
  <si>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</si>
  <si>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</si>
  <si>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</si>
  <si>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</si>
  <si>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</si>
  <si>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</si>
  <si>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</si>
  <si>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</si>
  <si>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</si>
  <si>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</si>
  <si>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</si>
  <si>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</si>
  <si>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</si>
  <si>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</si>
  <si>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</si>
  <si>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</si>
  <si>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</si>
  <si>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</si>
  <si>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</si>
  <si>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</si>
  <si>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</si>
  <si>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</si>
  <si>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</si>
  <si>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</si>
  <si>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</si>
  <si>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</si>
  <si>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</si>
  <si>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</si>
  <si>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</si>
  <si>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</si>
  <si>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</si>
  <si>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</si>
  <si>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</si>
  <si>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</si>
  <si>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</si>
  <si>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</si>
  <si>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</si>
  <si>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</si>
  <si>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</si>
  <si>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</si>
  <si>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</si>
  <si>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</si>
  <si>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</si>
  <si>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</si>
  <si>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</si>
  <si>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</si>
  <si>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</si>
  <si>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</si>
  <si>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</si>
  <si>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</si>
  <si>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</si>
  <si>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</si>
  <si>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</si>
  <si>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</si>
  <si>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</si>
  <si>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</si>
  <si>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</si>
  <si>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</si>
  <si>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</si>
  <si>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</si>
  <si>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</si>
  <si>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</si>
  <si>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</si>
  <si>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</si>
  <si>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</si>
  <si>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</si>
  <si>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</si>
  <si>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</si>
  <si>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</si>
  <si>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</si>
  <si>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</si>
  <si>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</si>
  <si>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</si>
  <si>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</si>
  <si>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</si>
  <si>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</si>
  <si>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</si>
  <si>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</si>
  <si>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</si>
  <si>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</si>
  <si>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</si>
  <si>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</si>
  <si>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</si>
  <si>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</si>
  <si>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</si>
  <si>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</si>
  <si>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</si>
  <si>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</si>
  <si>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</si>
  <si>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</si>
  <si>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</si>
  <si>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</si>
  <si>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</si>
  <si>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</si>
  <si>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</si>
  <si>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</si>
  <si>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</si>
  <si>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</si>
  <si>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</si>
  <si>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</si>
  <si>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</si>
  <si>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</si>
  <si>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</si>
  <si>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</si>
  <si>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</si>
  <si>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</si>
  <si>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</si>
  <si>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</si>
  <si>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</si>
  <si>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</si>
  <si>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</si>
  <si>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</si>
  <si>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</si>
  <si>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</si>
  <si>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</si>
  <si>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</si>
  <si>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</si>
  <si>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</si>
  <si>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</si>
  <si>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</si>
  <si>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</si>
  <si>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</si>
  <si>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</si>
  <si>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</si>
  <si>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</si>
  <si>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</si>
  <si>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</si>
  <si>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</si>
  <si>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</si>
  <si>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</si>
  <si>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</si>
  <si>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</si>
  <si>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</si>
  <si>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</si>
  <si>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</si>
  <si>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</si>
  <si>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</si>
  <si>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</si>
  <si>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</si>
  <si>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</si>
  <si>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</si>
  <si>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</si>
  <si>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</si>
  <si>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</si>
  <si>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</si>
  <si>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</si>
  <si>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</si>
  <si>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</si>
  <si>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</si>
  <si>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</si>
  <si>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</si>
  <si>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</si>
  <si>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</si>
  <si>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</si>
  <si>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</si>
  <si>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</si>
  <si>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</si>
  <si>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</si>
  <si>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</si>
  <si>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</si>
  <si>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</si>
  <si>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</si>
  <si>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</si>
  <si>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</si>
  <si>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</si>
  <si>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</si>
  <si>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</si>
  <si>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</si>
  <si>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</si>
  <si>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</si>
  <si>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</si>
  <si>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</si>
  <si>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</si>
  <si>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</si>
  <si>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</si>
  <si>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</si>
  <si>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</si>
  <si>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</si>
  <si>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</si>
  <si>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</si>
  <si>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</si>
  <si>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</si>
  <si>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</si>
  <si>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</si>
  <si>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</si>
  <si>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</si>
  <si>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</si>
  <si>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</si>
  <si>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</si>
  <si>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</si>
  <si>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</si>
  <si>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</si>
  <si>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</si>
  <si>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</si>
  <si>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</si>
  <si>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</si>
  <si>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</si>
  <si>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</si>
  <si>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</si>
  <si>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</si>
  <si>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</si>
  <si>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</si>
  <si>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</si>
  <si>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</si>
  <si>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</si>
  <si>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</si>
  <si>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</si>
  <si>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</si>
  <si>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</si>
  <si>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</si>
  <si>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</si>
  <si>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</si>
  <si>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</si>
  <si>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</si>
  <si>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</si>
  <si>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</si>
  <si>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</si>
  <si>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</si>
  <si>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</si>
  <si>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</si>
  <si>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</si>
  <si>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</si>
  <si>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</si>
  <si>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</si>
  <si>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</si>
  <si>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</si>
  <si>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</si>
  <si>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</si>
  <si>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</si>
  <si>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</si>
  <si>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</si>
  <si>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</si>
  <si>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</si>
  <si>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</si>
  <si>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</si>
  <si>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</si>
  <si>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</si>
  <si>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</si>
  <si>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</si>
  <si>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</si>
  <si>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</si>
  <si>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</si>
  <si>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</si>
  <si>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</si>
  <si>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</si>
  <si>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</si>
  <si>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</si>
  <si>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</si>
  <si>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</si>
  <si>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</si>
  <si>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</si>
  <si>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</si>
  <si>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</si>
  <si>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</si>
  <si>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</si>
  <si>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</si>
  <si>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</si>
  <si>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</si>
  <si>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</si>
  <si>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</si>
  <si>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</si>
  <si>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</si>
  <si>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</si>
  <si>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</si>
  <si>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</si>
  <si>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</si>
  <si>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</si>
  <si>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</si>
  <si>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</si>
  <si>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</si>
  <si>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</si>
  <si>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</si>
  <si>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</si>
  <si>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</si>
  <si>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</si>
  <si>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</si>
  <si>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</si>
  <si>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</si>
  <si>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</si>
  <si>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</si>
  <si>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</si>
  <si>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</si>
  <si>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</si>
  <si>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</si>
  <si>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</si>
  <si>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</si>
  <si>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</si>
  <si>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</si>
  <si>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</si>
  <si>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</si>
  <si>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</si>
  <si>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</si>
  <si>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</si>
  <si>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</si>
  <si>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</si>
  <si>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</si>
  <si>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</si>
  <si>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</si>
  <si>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</si>
  <si>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</si>
  <si>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</si>
  <si>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</si>
  <si>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</si>
  <si>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</si>
  <si>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</si>
  <si>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</si>
  <si>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</si>
  <si>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</si>
  <si>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</si>
  <si>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</si>
  <si>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</si>
  <si>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</si>
  <si>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</si>
  <si>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</si>
  <si>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</si>
  <si>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</si>
  <si>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</si>
  <si>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</si>
  <si>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</si>
  <si>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</si>
  <si>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</si>
  <si>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</si>
  <si>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</si>
  <si>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</si>
  <si>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</si>
  <si>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</si>
  <si>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</si>
  <si>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</si>
  <si>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</si>
  <si>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</si>
  <si>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</si>
  <si>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</si>
  <si>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</si>
  <si>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</si>
  <si>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</si>
  <si>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</si>
  <si>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</si>
  <si>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</si>
  <si>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</si>
  <si>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</si>
  <si>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</si>
  <si>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</si>
  <si>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</si>
  <si>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</si>
  <si>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</si>
  <si>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</si>
  <si>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</si>
  <si>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</si>
  <si>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</si>
  <si>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</si>
  <si>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</si>
  <si>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</si>
  <si>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</si>
  <si>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</si>
  <si>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</si>
  <si>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</si>
  <si>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</si>
  <si>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</si>
  <si>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</si>
  <si>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</si>
  <si>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</si>
  <si>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</si>
  <si>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</si>
  <si>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</si>
  <si>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</si>
  <si>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</si>
  <si>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</si>
  <si>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</si>
  <si>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</si>
  <si>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</si>
  <si>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</si>
  <si>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</si>
  <si>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</si>
  <si>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</si>
  <si>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</si>
  <si>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</si>
  <si>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</si>
  <si>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</si>
  <si>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</si>
  <si>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</si>
  <si>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</si>
  <si>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</si>
  <si>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</si>
  <si>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</si>
  <si>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</si>
  <si>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</si>
  <si>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</si>
  <si>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</si>
  <si>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</si>
  <si>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</si>
  <si>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</si>
  <si>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</si>
  <si>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</si>
  <si>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</si>
  <si>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</si>
  <si>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</si>
  <si>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</si>
  <si>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</si>
  <si>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</si>
  <si>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</si>
  <si>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</si>
  <si>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</si>
  <si>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</si>
  <si>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</si>
  <si>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</si>
  <si>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</si>
  <si>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</si>
  <si>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</si>
  <si>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</si>
  <si>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</si>
  <si>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</si>
  <si>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</si>
  <si>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</si>
  <si>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</si>
  <si>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</si>
  <si>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</si>
  <si>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</si>
  <si>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</si>
  <si>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</si>
  <si>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</si>
  <si>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</si>
  <si>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</si>
  <si>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</si>
  <si>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</si>
  <si>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</si>
  <si>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</si>
  <si>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</si>
  <si>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</si>
  <si>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</si>
  <si>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</si>
  <si>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</si>
  <si>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</si>
  <si>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</si>
  <si>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</si>
  <si>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</si>
  <si>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</si>
  <si>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</si>
  <si>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</si>
  <si>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</si>
  <si>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</si>
  <si>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</si>
  <si>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</si>
  <si>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</si>
  <si>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</si>
  <si>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</si>
  <si>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</si>
  <si>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</si>
  <si>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</si>
  <si>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</si>
  <si>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</si>
  <si>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</si>
  <si>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</si>
  <si>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</si>
  <si>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</si>
  <si>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</si>
  <si>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</si>
  <si>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</si>
  <si>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</si>
  <si>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</si>
  <si>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</si>
  <si>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</si>
  <si>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</si>
  <si>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</si>
  <si>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</si>
  <si>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</si>
  <si>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</si>
  <si>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</si>
  <si>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</si>
  <si>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</si>
  <si>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</si>
  <si>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</si>
  <si>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</si>
  <si>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</si>
  <si>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</si>
  <si>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</si>
  <si>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</si>
  <si>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</si>
  <si>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</si>
  <si>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</si>
  <si>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</si>
  <si>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</si>
  <si>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</si>
  <si>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</si>
  <si>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</si>
  <si>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</si>
  <si>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</si>
  <si>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</si>
  <si>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</si>
  <si>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</si>
  <si>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</si>
  <si>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</si>
  <si>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</si>
  <si>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</si>
  <si>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</si>
  <si>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</si>
  <si>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</si>
  <si>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</si>
  <si>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</si>
  <si>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</si>
  <si>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</si>
  <si>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</si>
  <si>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</si>
  <si>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</si>
  <si>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</si>
  <si>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</si>
  <si>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</si>
  <si>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</si>
  <si>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</si>
  <si>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</si>
  <si>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</si>
  <si>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</si>
  <si>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</si>
  <si>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</si>
  <si>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</si>
  <si>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</si>
  <si>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</si>
  <si>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</si>
  <si>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</si>
  <si>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</si>
  <si>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</si>
  <si>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</si>
  <si>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</si>
  <si>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</si>
  <si>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</si>
  <si>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</si>
  <si>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</si>
  <si>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</si>
  <si>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</si>
  <si>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</si>
  <si>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</si>
  <si>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</si>
  <si>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</si>
  <si>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</si>
  <si>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</si>
  <si>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</si>
  <si>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</si>
  <si>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</si>
  <si>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</si>
  <si>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</si>
  <si>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</si>
  <si>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</si>
  <si>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</si>
  <si>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</si>
  <si>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</si>
  <si>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</si>
  <si>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</si>
  <si>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</si>
  <si>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</si>
  <si>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</si>
  <si>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</si>
  <si>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</si>
  <si>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</si>
  <si>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</si>
  <si>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</si>
  <si>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</si>
  <si>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</si>
  <si>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</si>
  <si>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</si>
  <si>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</si>
  <si>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</si>
  <si>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</si>
  <si>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</si>
  <si>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</si>
  <si>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</si>
  <si>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</si>
  <si>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</si>
  <si>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</si>
  <si>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</si>
  <si>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</si>
  <si>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</si>
  <si>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</si>
  <si>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</si>
  <si>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</si>
  <si>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</si>
  <si>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</si>
  <si>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</si>
  <si>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</si>
  <si>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</si>
  <si>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</si>
  <si>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</si>
  <si>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</si>
  <si>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</si>
  <si>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</si>
  <si>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</si>
  <si>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</si>
  <si>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</si>
  <si>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</si>
  <si>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</si>
  <si>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</si>
  <si>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</si>
  <si>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</si>
  <si>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</si>
  <si>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</si>
  <si>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</si>
  <si>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</si>
  <si>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</si>
  <si>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</si>
  <si>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</si>
  <si>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</si>
  <si>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</si>
  <si>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</si>
  <si>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</si>
  <si>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</si>
  <si>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</si>
  <si>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</si>
  <si>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</si>
  <si>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</si>
  <si>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</si>
  <si>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</si>
  <si>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</si>
  <si>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</si>
  <si>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</si>
  <si>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</si>
  <si>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</si>
  <si>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</si>
  <si>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</si>
  <si>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</si>
  <si>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</si>
  <si>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</si>
  <si>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</si>
  <si>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</si>
  <si>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</si>
  <si>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</si>
  <si>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</si>
  <si>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</si>
  <si>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</si>
  <si>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</si>
  <si>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</si>
  <si>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</si>
  <si>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</si>
  <si>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</si>
  <si>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</si>
  <si>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</si>
  <si>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</si>
  <si>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</si>
  <si>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</si>
  <si>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</si>
  <si>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</si>
  <si>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</si>
  <si>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</si>
  <si>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</si>
  <si>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</si>
  <si>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</si>
  <si>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</si>
  <si>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</si>
  <si>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</si>
  <si>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</si>
  <si>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</si>
  <si>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</si>
  <si>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</si>
  <si>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</si>
  <si>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</si>
  <si>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</si>
  <si>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</si>
  <si>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</si>
  <si>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</si>
  <si>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</si>
  <si>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</si>
  <si>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</si>
  <si>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</si>
  <si>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</si>
  <si>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</si>
  <si>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</si>
  <si>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</si>
  <si>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</si>
  <si>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</si>
  <si>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</si>
  <si>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</si>
  <si>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</si>
  <si>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</si>
  <si>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</si>
  <si>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</si>
  <si>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</si>
  <si>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</si>
  <si>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</si>
  <si>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</si>
  <si>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</si>
  <si>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</si>
  <si>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</si>
  <si>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</si>
  <si>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</si>
  <si>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</si>
  <si>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</si>
  <si>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</si>
  <si>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</si>
  <si>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</si>
  <si>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</si>
  <si>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</si>
  <si>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</si>
  <si>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</si>
  <si>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</si>
  <si>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</si>
  <si>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</si>
  <si>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</si>
  <si>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</si>
  <si>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</si>
  <si>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</si>
  <si>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</si>
  <si>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</si>
  <si>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</si>
  <si>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</si>
  <si>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</si>
  <si>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</si>
  <si>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</si>
  <si>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</si>
  <si>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</si>
  <si>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</si>
  <si>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</si>
  <si>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</si>
  <si>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</si>
  <si>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</si>
  <si>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</si>
  <si>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</si>
  <si>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</si>
  <si>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</si>
  <si>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</si>
  <si>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</si>
  <si>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</si>
  <si>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</si>
  <si>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</si>
  <si>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</si>
  <si>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</si>
  <si>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</si>
  <si>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</si>
  <si>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</si>
  <si>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</si>
  <si>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</si>
  <si>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</si>
  <si>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</si>
  <si>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</si>
  <si>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</si>
  <si>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</si>
  <si>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</si>
  <si>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</si>
  <si>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</si>
  <si>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</si>
  <si>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</si>
  <si>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</si>
  <si>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</si>
  <si>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</si>
  <si>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</si>
  <si>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</si>
  <si>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</si>
  <si>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</si>
  <si>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</si>
  <si>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</si>
  <si>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</si>
  <si>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</si>
  <si>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</si>
  <si>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</si>
  <si>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</si>
  <si>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</si>
  <si>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</si>
  <si>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</si>
  <si>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</si>
  <si>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</si>
  <si>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</si>
  <si>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</si>
  <si>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</si>
  <si>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</si>
  <si>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</si>
  <si>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</si>
  <si>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</si>
  <si>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</si>
  <si>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</si>
  <si>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</si>
  <si>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</si>
  <si>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</si>
  <si>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</si>
  <si>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</si>
  <si>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</si>
  <si>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</si>
  <si>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</si>
  <si>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</si>
  <si>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</si>
  <si>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</si>
  <si>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</si>
  <si>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</si>
  <si>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</si>
  <si>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</si>
  <si>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</si>
  <si>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</si>
  <si>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</si>
  <si>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</si>
  <si>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</si>
  <si>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</si>
  <si>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</si>
  <si>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</si>
  <si>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</si>
  <si>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</si>
  <si>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</si>
  <si>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</si>
  <si>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</si>
  <si>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</si>
  <si>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</si>
  <si>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</si>
  <si>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</si>
  <si>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</si>
  <si>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</si>
  <si>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</si>
  <si>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</si>
  <si>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</si>
  <si>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</si>
  <si>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</si>
  <si>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</si>
  <si>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</si>
  <si>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</si>
  <si>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</si>
  <si>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</si>
  <si>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</si>
  <si>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</si>
  <si>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</si>
  <si>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</si>
  <si>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</si>
  <si>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</si>
  <si>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</si>
  <si>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</si>
  <si>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</si>
  <si>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</si>
  <si>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</si>
  <si>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</si>
  <si>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</si>
  <si>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</si>
  <si>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</si>
  <si>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</si>
  <si>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</si>
  <si>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</si>
  <si>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</si>
  <si>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</si>
  <si>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</si>
  <si>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</si>
  <si>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</si>
  <si>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</si>
  <si>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</si>
  <si>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</si>
  <si>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</si>
  <si>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</si>
  <si>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</si>
  <si>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</si>
  <si>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</si>
  <si>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</si>
  <si>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</si>
  <si>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</si>
  <si>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</si>
  <si>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</si>
  <si>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</si>
  <si>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</si>
  <si>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</si>
  <si>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</si>
  <si>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</si>
  <si>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</si>
  <si>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</si>
  <si>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</si>
  <si>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</si>
  <si>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</si>
  <si>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</si>
  <si>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</si>
  <si>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</si>
  <si>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</si>
  <si>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</si>
  <si>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</si>
  <si>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</si>
  <si>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</si>
  <si>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</si>
  <si>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</si>
  <si>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</si>
  <si>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</si>
  <si>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</si>
  <si>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</si>
  <si>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</si>
  <si>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</si>
  <si>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</si>
  <si>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</si>
  <si>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</si>
  <si>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</si>
  <si>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</si>
  <si>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</si>
  <si>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</si>
  <si>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</si>
  <si>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</si>
  <si>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</si>
  <si>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</si>
  <si>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</si>
  <si>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</si>
  <si>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</si>
  <si>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</si>
  <si>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</si>
  <si>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</si>
  <si>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</si>
  <si>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</si>
  <si>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</si>
  <si>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</si>
  <si>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</si>
  <si>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</si>
  <si>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</si>
  <si>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</si>
  <si>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</si>
  <si>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</si>
  <si>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</si>
  <si>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</si>
  <si>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</si>
  <si>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</si>
  <si>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</si>
  <si>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</si>
  <si>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</si>
  <si>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</si>
  <si>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</si>
  <si>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</si>
  <si>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</si>
  <si>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</si>
  <si>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</si>
  <si>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</si>
  <si>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</si>
  <si>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</si>
  <si>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</si>
  <si>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</si>
  <si>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</si>
  <si>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</si>
  <si>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</si>
  <si>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</si>
  <si>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</si>
  <si>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</si>
  <si>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</si>
  <si>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</si>
  <si>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</si>
  <si>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</si>
  <si>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</si>
  <si>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</si>
  <si>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</si>
  <si>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</si>
  <si>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</si>
  <si>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</si>
  <si>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</si>
  <si>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</si>
  <si>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</si>
  <si>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</si>
  <si>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</si>
  <si>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</si>
  <si>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</si>
  <si>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</si>
  <si>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</si>
  <si>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</si>
  <si>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</si>
  <si>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</si>
  <si>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</si>
  <si>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</si>
  <si>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</si>
  <si>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</si>
  <si>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</si>
  <si>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</si>
  <si>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</si>
  <si>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</si>
  <si>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</si>
  <si>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</si>
  <si>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</si>
  <si>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</si>
  <si>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</si>
  <si>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</si>
  <si>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</si>
  <si>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</si>
  <si>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</si>
  <si>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</si>
  <si>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</si>
  <si>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</si>
  <si>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</si>
  <si>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</si>
  <si>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</si>
  <si>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</si>
  <si>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</si>
  <si>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</si>
  <si>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</si>
  <si>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</si>
  <si>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</si>
  <si>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</si>
  <si>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</si>
  <si>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</si>
  <si>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</si>
  <si>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</si>
  <si>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</si>
  <si>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</si>
  <si>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</si>
  <si>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</si>
  <si>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</si>
  <si>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</si>
  <si>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</si>
  <si>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</si>
  <si>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</si>
  <si>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</si>
  <si>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</si>
  <si>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</si>
  <si>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</si>
  <si>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</si>
  <si>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</si>
  <si>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</si>
  <si>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</si>
  <si>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</si>
  <si>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</si>
  <si>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</si>
  <si>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</si>
  <si>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</si>
  <si>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</si>
  <si>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</si>
  <si>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</si>
  <si>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</si>
  <si>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</si>
  <si>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</si>
  <si>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</si>
  <si>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</si>
  <si>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</si>
  <si>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</si>
  <si>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</si>
  <si>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</si>
  <si>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</si>
  <si>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</si>
  <si>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</si>
  <si>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</si>
  <si>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</si>
  <si>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</si>
  <si>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</si>
  <si>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</si>
  <si>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</si>
  <si>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</si>
  <si>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</si>
  <si>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</si>
  <si>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</si>
  <si>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</si>
  <si>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</si>
  <si>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</si>
  <si>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</si>
  <si>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</si>
  <si>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</si>
  <si>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</si>
  <si>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</si>
  <si>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</si>
  <si>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</si>
  <si>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</si>
  <si>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</si>
  <si>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</si>
  <si>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</si>
  <si>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</si>
  <si>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</si>
  <si>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</si>
  <si>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</si>
  <si>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</si>
  <si>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</si>
  <si>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</si>
  <si>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</si>
  <si>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</si>
  <si>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</si>
  <si>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</si>
  <si>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</si>
  <si>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</si>
  <si>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</si>
  <si>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</si>
  <si>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</si>
  <si>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</si>
  <si>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</si>
  <si>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</si>
  <si>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</si>
  <si>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</si>
  <si>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</si>
  <si>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</si>
  <si>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</si>
  <si>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</si>
  <si>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</si>
  <si>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</si>
  <si>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</si>
  <si>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</si>
  <si>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</si>
  <si>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</si>
  <si>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</si>
  <si>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</si>
  <si>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</si>
  <si>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</si>
  <si>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</si>
  <si>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</si>
  <si>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</si>
  <si>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</si>
  <si>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</si>
  <si>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</si>
  <si>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</si>
  <si>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</si>
  <si>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</si>
  <si>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</si>
  <si>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</si>
  <si>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</si>
  <si>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</si>
  <si>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</si>
  <si>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</si>
  <si>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</si>
  <si>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</si>
  <si>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</si>
  <si>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</si>
  <si>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</si>
  <si>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</si>
  <si>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</si>
  <si>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</si>
  <si>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</si>
  <si>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</si>
  <si>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</si>
  <si>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</si>
  <si>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</si>
  <si>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</si>
  <si>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</si>
  <si>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</si>
  <si>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</si>
  <si>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</si>
  <si>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</si>
  <si>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</si>
  <si>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</si>
  <si>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</si>
  <si>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</si>
  <si>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</si>
  <si>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</si>
  <si>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</si>
  <si>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</si>
  <si>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</si>
  <si>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</si>
  <si>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</si>
  <si>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</si>
  <si>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</si>
  <si>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</si>
  <si>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</si>
  <si>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</si>
  <si>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</si>
  <si>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</si>
  <si>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</si>
  <si>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</si>
  <si>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</si>
  <si>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</si>
  <si>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</si>
  <si>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</si>
  <si>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</si>
  <si>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</si>
  <si>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</si>
  <si>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</si>
  <si>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</si>
  <si>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</si>
  <si>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</si>
  <si>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</si>
  <si>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</si>
  <si>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</si>
  <si>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</si>
  <si>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</si>
  <si>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</si>
  <si>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</si>
  <si>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</si>
  <si>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</si>
  <si>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</si>
  <si>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</si>
  <si>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</si>
  <si>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</si>
  <si>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</si>
  <si>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</si>
  <si>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</si>
  <si>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</si>
  <si>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</si>
  <si>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</si>
  <si>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</si>
  <si>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</si>
  <si>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</si>
  <si>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</si>
  <si>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</si>
  <si>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</si>
  <si>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</si>
  <si>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</si>
  <si>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</si>
  <si>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</si>
  <si>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</si>
  <si>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</si>
  <si>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</si>
  <si>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</si>
  <si>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</si>
  <si>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</si>
  <si>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</si>
  <si>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</si>
  <si>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</si>
  <si>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</si>
  <si>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</si>
  <si>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</si>
  <si>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</si>
  <si>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</si>
  <si>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</si>
  <si>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</si>
  <si>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</si>
  <si>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</si>
  <si>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</si>
  <si>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</si>
  <si>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</si>
  <si>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</si>
  <si>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</si>
  <si>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</si>
  <si>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</si>
  <si>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</si>
  <si>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</si>
  <si>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</si>
  <si>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</si>
  <si>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</si>
  <si>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</si>
  <si>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</si>
  <si>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</si>
  <si>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</si>
  <si>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</si>
  <si>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</si>
  <si>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</si>
  <si>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</si>
  <si>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</si>
  <si>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</si>
  <si>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</si>
  <si>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</si>
  <si>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</si>
  <si>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</si>
  <si>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</si>
  <si>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</si>
  <si>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</si>
  <si>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</si>
  <si>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</si>
  <si>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</si>
  <si>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</si>
  <si>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</si>
  <si>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</si>
  <si>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</si>
  <si>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</si>
  <si>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</si>
  <si>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</si>
  <si>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</si>
  <si>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</si>
  <si>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</si>
  <si>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</si>
  <si>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</si>
  <si>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</si>
  <si>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</si>
  <si>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</si>
  <si>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</si>
  <si>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</si>
  <si>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</si>
  <si>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</si>
  <si>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</si>
  <si>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</si>
  <si>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</si>
  <si>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</si>
  <si>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</si>
  <si>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</si>
  <si>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</si>
  <si>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</si>
  <si>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</si>
  <si>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</si>
  <si>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</si>
  <si>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</si>
  <si>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</si>
  <si>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</si>
  <si>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</si>
  <si>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</si>
  <si>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</si>
  <si>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</si>
  <si>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</si>
  <si>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</si>
  <si>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</si>
  <si>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</si>
  <si>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</si>
  <si>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</si>
  <si>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</si>
  <si>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</si>
  <si>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</si>
  <si>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</si>
  <si>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</si>
  <si>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</si>
  <si>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</si>
  <si>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</si>
  <si>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</si>
  <si>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</si>
  <si>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</si>
  <si>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</si>
  <si>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</si>
  <si>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</si>
  <si>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</si>
  <si>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</si>
  <si>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</si>
  <si>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</si>
  <si>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</si>
  <si>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</si>
  <si>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</si>
  <si>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</si>
  <si>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</si>
  <si>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</si>
  <si>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</si>
  <si>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</si>
  <si>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</si>
  <si>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</si>
  <si>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</si>
  <si>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</si>
  <si>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</si>
  <si>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</si>
  <si>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</si>
  <si>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</si>
  <si>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</si>
  <si>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</si>
  <si>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</si>
  <si>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</si>
  <si>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</si>
  <si>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</si>
  <si>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</si>
  <si>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</si>
  <si>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</si>
  <si>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</si>
  <si>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</si>
  <si>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</si>
  <si>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</si>
  <si>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</si>
  <si>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</si>
  <si>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</si>
  <si>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</si>
  <si>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</si>
  <si>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</si>
  <si>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</si>
  <si>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</si>
  <si>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</si>
  <si>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</si>
  <si>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</si>
  <si>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</si>
  <si>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</si>
  <si>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</si>
  <si>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</si>
  <si>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</si>
  <si>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</si>
  <si>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</si>
  <si>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</si>
  <si>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</si>
  <si>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</si>
  <si>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</si>
  <si>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</si>
  <si>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</si>
  <si>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</si>
  <si>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</si>
  <si>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</si>
  <si>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</si>
  <si>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</si>
  <si>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</si>
  <si>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</si>
  <si>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</si>
  <si>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</si>
  <si>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</si>
  <si>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</si>
  <si>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</si>
  <si>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</si>
  <si>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</si>
  <si>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</si>
  <si>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</si>
  <si>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</si>
  <si>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</si>
  <si>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</si>
  <si>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</si>
  <si>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</si>
  <si>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</si>
  <si>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</si>
  <si>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</si>
  <si>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</si>
  <si>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</si>
  <si>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</si>
  <si>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</si>
  <si>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</si>
  <si>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</si>
  <si>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</si>
  <si>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</si>
  <si>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</si>
  <si>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</si>
  <si>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</si>
  <si>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</si>
  <si>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</si>
  <si>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</si>
  <si>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</si>
  <si>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</si>
  <si>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</si>
  <si>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</si>
  <si>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</si>
  <si>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</si>
  <si>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</si>
  <si>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</si>
  <si>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</si>
  <si>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</si>
  <si>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</si>
  <si>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</si>
  <si>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</si>
  <si>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</si>
  <si>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</si>
  <si>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</si>
  <si>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</si>
  <si>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</si>
  <si>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</si>
  <si>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</si>
  <si>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</si>
  <si>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</si>
  <si>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</si>
  <si>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</si>
  <si>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</si>
  <si>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</si>
  <si>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</si>
  <si>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</si>
  <si>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</si>
  <si>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</si>
  <si>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</si>
  <si>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</si>
  <si>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</si>
  <si>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</si>
  <si>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</si>
  <si>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</si>
  <si>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</si>
  <si>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</si>
  <si>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</si>
  <si>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</si>
  <si>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</si>
  <si>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</si>
  <si>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</si>
  <si>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</si>
  <si>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</si>
  <si>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</si>
  <si>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</si>
  <si>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</si>
  <si>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</si>
  <si>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</si>
  <si>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</si>
  <si>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</si>
  <si>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</si>
  <si>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</si>
  <si>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</si>
  <si>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</si>
  <si>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</si>
  <si>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</si>
  <si>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</si>
  <si>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</si>
  <si>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</si>
  <si>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</si>
  <si>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</si>
  <si>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</si>
  <si>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</si>
  <si>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</si>
  <si>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</si>
  <si>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</si>
  <si>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</si>
  <si>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</si>
  <si>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</si>
  <si>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</si>
  <si>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</si>
  <si>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</si>
  <si>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</si>
  <si>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</si>
  <si>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</si>
  <si>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</si>
  <si>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</si>
  <si>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</si>
  <si>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</si>
  <si>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</si>
  <si>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</si>
  <si>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</si>
  <si>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</si>
  <si>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</si>
  <si>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</si>
  <si>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</si>
  <si>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</si>
  <si>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</si>
  <si>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</si>
  <si>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</si>
  <si>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</si>
  <si>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</si>
  <si>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</si>
  <si>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</si>
  <si>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</si>
  <si>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</si>
  <si>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</si>
  <si>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</si>
  <si>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</si>
  <si>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</si>
  <si>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</si>
  <si>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</si>
  <si>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</si>
  <si>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</si>
  <si>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</si>
  <si>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</si>
  <si>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</si>
  <si>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</si>
  <si>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</si>
  <si>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</si>
  <si>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</si>
  <si>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</si>
  <si>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</si>
  <si>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</si>
  <si>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</si>
  <si>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</si>
  <si>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</si>
  <si>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</si>
  <si>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</si>
  <si>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</si>
  <si>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</si>
  <si>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</si>
  <si>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</si>
  <si>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</si>
  <si>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</si>
  <si>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</si>
  <si>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</si>
  <si>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</si>
  <si>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</si>
  <si>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</si>
  <si>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</si>
  <si>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</si>
  <si>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</si>
  <si>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</si>
  <si>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</si>
  <si>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</si>
  <si>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</si>
  <si>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</si>
  <si>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</si>
  <si>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</si>
  <si>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</si>
  <si>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</si>
  <si>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</si>
  <si>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</si>
  <si>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</si>
  <si>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</si>
  <si>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</si>
  <si>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</si>
  <si>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</si>
  <si>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</si>
  <si>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</si>
  <si>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</si>
  <si>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</si>
  <si>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</si>
  <si>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</si>
  <si>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</si>
  <si>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</si>
  <si>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</si>
  <si>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</si>
  <si>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</si>
  <si>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</si>
  <si>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</si>
  <si>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</si>
  <si>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</si>
  <si>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</si>
  <si>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</si>
  <si>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</si>
  <si>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</si>
  <si>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</si>
  <si>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</si>
  <si>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</si>
  <si>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</si>
  <si>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</si>
  <si>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</si>
  <si>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</si>
  <si>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</si>
  <si>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</si>
  <si>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</si>
  <si>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</si>
  <si>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</si>
  <si>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</si>
  <si>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</si>
  <si>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</si>
  <si>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</si>
  <si>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</si>
  <si>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</si>
  <si>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</si>
  <si>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</si>
  <si>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</si>
  <si>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</si>
  <si>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</si>
  <si>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</si>
  <si>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</si>
  <si>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</si>
  <si>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</si>
  <si>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</si>
  <si>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</si>
  <si>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</si>
  <si>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</si>
  <si>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</si>
  <si>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</si>
  <si>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</si>
  <si>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</si>
  <si>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</si>
  <si>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</si>
  <si>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</si>
  <si>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</si>
  <si>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</si>
  <si>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</si>
  <si>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</si>
  <si>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</si>
  <si>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</si>
  <si>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</si>
  <si>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</si>
  <si>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</si>
  <si>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</si>
  <si>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</si>
  <si>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</si>
  <si>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</si>
  <si>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</si>
  <si>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</si>
  <si>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</si>
  <si>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</si>
  <si>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</si>
  <si>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</si>
  <si>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</si>
  <si>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</si>
  <si>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</si>
  <si>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</si>
  <si>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</si>
  <si>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</si>
  <si>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</si>
  <si>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</si>
  <si>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</si>
  <si>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</si>
  <si>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</si>
  <si>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</si>
  <si>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</si>
  <si>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</si>
  <si>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</si>
  <si>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</si>
  <si>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</si>
  <si>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</si>
  <si>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</si>
  <si>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</si>
  <si>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</si>
  <si>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</si>
  <si>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</si>
  <si>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</si>
  <si>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</si>
  <si>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</si>
  <si>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</si>
  <si>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</si>
  <si>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</si>
  <si>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</si>
  <si>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</si>
  <si>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</si>
  <si>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</si>
  <si>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</si>
  <si>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</si>
  <si>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</si>
  <si>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</si>
  <si>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</si>
  <si>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</si>
  <si>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</si>
  <si>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</si>
  <si>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</si>
  <si>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</si>
  <si>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</si>
  <si>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</si>
  <si>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</si>
  <si>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</si>
  <si>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</si>
  <si>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</si>
  <si>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</si>
  <si>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</si>
  <si>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</si>
  <si>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</si>
  <si>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</si>
  <si>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</si>
  <si>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</si>
  <si>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</si>
  <si>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</si>
  <si>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</si>
  <si>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</si>
  <si>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</si>
  <si>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</si>
  <si>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</si>
  <si>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</si>
  <si>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</si>
  <si>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</si>
  <si>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</si>
  <si>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</si>
  <si>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</si>
  <si>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</si>
  <si>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</si>
  <si>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</si>
  <si>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</si>
  <si>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</si>
  <si>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</si>
  <si>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</si>
  <si>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</si>
  <si>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</si>
  <si>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</si>
  <si>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</si>
  <si>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</si>
  <si>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</si>
  <si>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</si>
  <si>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</si>
  <si>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</si>
  <si>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</si>
  <si>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</si>
  <si>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</si>
  <si>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</si>
  <si>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</si>
  <si>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</si>
  <si>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</si>
  <si>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</si>
  <si>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</si>
  <si>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</si>
  <si>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</si>
  <si>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</si>
  <si>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</si>
  <si>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</si>
  <si>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</si>
  <si>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</si>
  <si>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</si>
  <si>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</si>
  <si>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</si>
  <si>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</si>
  <si>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</si>
  <si>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</si>
  <si>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</si>
  <si>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</si>
  <si>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</si>
  <si>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</si>
  <si>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</si>
  <si>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</si>
  <si>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</si>
  <si>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</si>
  <si>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</si>
  <si>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</si>
  <si>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</si>
  <si>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</si>
  <si>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</si>
  <si>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</si>
  <si>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</si>
  <si>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</si>
  <si>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</si>
  <si>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</si>
  <si>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</si>
  <si>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</si>
  <si>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</si>
  <si>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</si>
  <si>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</si>
  <si>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</si>
  <si>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</si>
  <si>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</si>
  <si>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</si>
  <si>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</si>
  <si>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</si>
  <si>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</si>
  <si>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</si>
  <si>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</si>
  <si>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</si>
  <si>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</si>
  <si>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</si>
  <si>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</si>
  <si>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</si>
  <si>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</si>
  <si>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</si>
  <si>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</si>
  <si>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</si>
  <si>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</si>
  <si>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</si>
  <si>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</si>
  <si>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</si>
  <si>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</si>
  <si>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</si>
  <si>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</si>
  <si>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</si>
  <si>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</si>
  <si>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</si>
  <si>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</si>
  <si>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</si>
  <si>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</si>
  <si>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</si>
  <si>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</si>
  <si>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</si>
  <si>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</si>
  <si>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</si>
  <si>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</si>
  <si>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</si>
  <si>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</si>
  <si>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</si>
  <si>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</si>
  <si>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</si>
  <si>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</si>
  <si>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</si>
  <si>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</si>
  <si>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</si>
  <si>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</si>
  <si>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</si>
  <si>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</si>
  <si>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</si>
  <si>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</si>
  <si>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</si>
  <si>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</si>
  <si>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</si>
  <si>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</si>
  <si>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</si>
  <si>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</si>
  <si>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</si>
  <si>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</si>
  <si>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</si>
  <si>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</si>
  <si>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</si>
  <si>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</si>
  <si>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</si>
  <si>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</si>
  <si>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</si>
  <si>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</si>
  <si>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</si>
  <si>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</si>
  <si>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</si>
  <si>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</si>
  <si>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</si>
  <si>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</si>
  <si>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</si>
  <si>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</si>
  <si>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</si>
  <si>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</si>
  <si>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</si>
  <si>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</si>
  <si>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</si>
  <si>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0" type="noConversion"/>
  </si>
  <si>
    <t>剩余土地使用年限</t>
    <phoneticPr fontId="280" type="noConversion"/>
  </si>
  <si>
    <t>报酬率</t>
    <phoneticPr fontId="280" type="noConversion"/>
  </si>
  <si>
    <t>年期修正系数</t>
    <phoneticPr fontId="280" type="noConversion"/>
  </si>
  <si>
    <t>地价贡献率（参考下表）</t>
    <phoneticPr fontId="280" type="noConversion"/>
  </si>
  <si>
    <t>房价修正系数</t>
    <phoneticPr fontId="280" type="noConversion"/>
  </si>
  <si>
    <t>估价对象</t>
    <phoneticPr fontId="280" type="noConversion"/>
  </si>
  <si>
    <t>案例A</t>
    <phoneticPr fontId="280" type="noConversion"/>
  </si>
  <si>
    <t>案例B</t>
    <phoneticPr fontId="280" type="noConversion"/>
  </si>
  <si>
    <t>案例C</t>
    <phoneticPr fontId="280" type="noConversion"/>
  </si>
  <si>
    <t>推导公式</t>
    <phoneticPr fontId="280" type="noConversion"/>
  </si>
  <si>
    <t>1.建+50年地价×20年年期修正系数＝20年房价</t>
    <phoneticPr fontId="280" type="noConversion"/>
  </si>
  <si>
    <t>2.建+50年地价＝50年房价</t>
    <phoneticPr fontId="280" type="noConversion"/>
  </si>
  <si>
    <t>1、2步得出</t>
    <phoneticPr fontId="280" type="noConversion"/>
  </si>
  <si>
    <t>3.50年房价－50年地价+50年地价×20年年期修正系数＝20年房价</t>
    <phoneticPr fontId="280" type="noConversion"/>
  </si>
  <si>
    <t>4.20年房价＝50年房价×20年房价修正系数</t>
    <phoneticPr fontId="280" type="noConversion"/>
  </si>
  <si>
    <t>4步代入3步</t>
    <phoneticPr fontId="280" type="noConversion"/>
  </si>
  <si>
    <t>5.50年房价－50年地价+50年地价×20年年期修正系数＝50年房价×20年房价修正系数</t>
    <phoneticPr fontId="280" type="noConversion"/>
  </si>
  <si>
    <t>6.20年房价修正系数＝1-50年地价×（1-20年年期修正系数）÷50年房价</t>
    <phoneticPr fontId="280" type="noConversion"/>
  </si>
  <si>
    <t>7.50年地价＝50年房价×地价贡献率</t>
    <phoneticPr fontId="280" type="noConversion"/>
  </si>
  <si>
    <t>7步代入6步</t>
    <phoneticPr fontId="280" type="noConversion"/>
  </si>
  <si>
    <t>8.20年房价修正系数＝1-50年房价×地价贡献率×（1-20年年期修正系数）÷50年房价＝1-地价贡献率×（1-20年年期修正系数）</t>
    <phoneticPr fontId="280"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</si>
  <si>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</si>
  <si>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</si>
  <si>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</si>
  <si>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</si>
  <si>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</si>
  <si>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</si>
  <si>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</si>
  <si>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</si>
  <si>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</si>
  <si>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</si>
  <si>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</si>
  <si>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</si>
  <si>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</si>
  <si>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</si>
  <si>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</si>
  <si>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</si>
  <si>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</si>
  <si>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</si>
  <si>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</si>
  <si>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</si>
  <si>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</si>
  <si>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</si>
  <si>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</si>
  <si>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</si>
  <si>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</si>
  <si>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</si>
  <si>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</si>
  <si>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</si>
  <si>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</si>
  <si>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</si>
  <si>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</si>
  <si>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</si>
  <si>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</si>
  <si>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</si>
  <si>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</si>
  <si>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</si>
  <si>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</si>
  <si>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</si>
  <si>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</si>
  <si>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</si>
  <si>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</si>
  <si>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</si>
  <si>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</si>
  <si>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</si>
  <si>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</si>
  <si>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</si>
  <si>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</si>
  <si>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</si>
  <si>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</si>
  <si>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</si>
  <si>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</si>
  <si>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</si>
  <si>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</si>
  <si>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</si>
  <si>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</si>
  <si>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</si>
  <si>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</si>
  <si>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</si>
  <si>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</si>
  <si>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</si>
  <si>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</si>
  <si>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</si>
  <si>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</si>
  <si>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</si>
  <si>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</si>
  <si>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</si>
  <si>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</si>
  <si>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</si>
  <si>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</si>
  <si>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</si>
  <si>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</si>
  <si>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</si>
  <si>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</si>
  <si>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</si>
  <si>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</si>
  <si>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</si>
  <si>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</si>
  <si>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</si>
  <si>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</si>
  <si>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</si>
  <si>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</si>
  <si>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</si>
  <si>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</si>
  <si>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</si>
  <si>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</si>
  <si>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</si>
  <si>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</si>
  <si>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</si>
  <si>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</si>
  <si>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</si>
  <si>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</si>
  <si>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</si>
  <si>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</si>
  <si>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</si>
  <si>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</si>
  <si>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</si>
  <si>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</si>
  <si>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</si>
  <si>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</si>
  <si>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</si>
  <si>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</si>
  <si>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</si>
  <si>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</si>
  <si>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</si>
  <si>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</si>
  <si>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</si>
  <si>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</si>
  <si>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</si>
  <si>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</si>
  <si>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</si>
  <si>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</si>
  <si>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</si>
  <si>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</si>
  <si>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</si>
  <si>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</si>
  <si>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</si>
  <si>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</si>
  <si>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</si>
  <si>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</si>
  <si>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</si>
  <si>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</si>
  <si>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</si>
  <si>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</si>
  <si>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</si>
  <si>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</si>
  <si>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</si>
  <si>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</si>
  <si>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</si>
  <si>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</si>
  <si>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</si>
  <si>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</si>
  <si>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</si>
  <si>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</si>
  <si>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</si>
  <si>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</si>
  <si>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</si>
  <si>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</si>
  <si>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</si>
  <si>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</si>
  <si>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</si>
  <si>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</si>
  <si>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</si>
  <si>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</si>
  <si>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</si>
  <si>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</si>
  <si>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</si>
  <si>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</si>
  <si>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</si>
  <si>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</si>
  <si>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</si>
  <si>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</si>
  <si>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</si>
  <si>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</si>
  <si>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</si>
  <si>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</si>
  <si>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</si>
  <si>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</si>
  <si>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</si>
  <si>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</si>
  <si>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</si>
  <si>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</si>
  <si>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</si>
  <si>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</si>
  <si>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</si>
  <si>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</si>
  <si>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</si>
  <si>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</si>
  <si>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</si>
  <si>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</si>
  <si>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</si>
  <si>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</si>
  <si>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</si>
  <si>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</si>
  <si>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</si>
  <si>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</si>
  <si>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</si>
  <si>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</si>
  <si>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</si>
  <si>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</si>
  <si>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</si>
  <si>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</si>
  <si>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</si>
  <si>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</si>
  <si>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</si>
  <si>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</si>
  <si>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</si>
  <si>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</si>
  <si>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</si>
  <si>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</si>
  <si>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</si>
  <si>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</si>
  <si>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</si>
  <si>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</si>
  <si>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</si>
  <si>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</si>
  <si>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</si>
  <si>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</si>
  <si>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</si>
  <si>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</si>
  <si>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</si>
  <si>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</si>
  <si>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</si>
  <si>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</si>
  <si>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</si>
  <si>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</si>
  <si>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</si>
  <si>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</si>
  <si>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</si>
  <si>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</si>
  <si>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</si>
  <si>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</si>
  <si>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</si>
  <si>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</si>
  <si>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</si>
  <si>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</si>
  <si>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</si>
  <si>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</si>
  <si>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</si>
  <si>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</si>
  <si>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</si>
  <si>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</si>
  <si>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</si>
  <si>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</si>
  <si>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</si>
  <si>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</si>
  <si>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</si>
  <si>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</si>
  <si>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</si>
  <si>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</si>
  <si>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</si>
  <si>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</si>
  <si>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</si>
  <si>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</si>
  <si>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</si>
  <si>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</si>
  <si>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</si>
  <si>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</si>
  <si>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</si>
  <si>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</si>
  <si>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</si>
  <si>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</si>
  <si>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</si>
  <si>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</si>
  <si>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</si>
  <si>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</si>
  <si>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</si>
  <si>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</si>
  <si>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</si>
  <si>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</si>
  <si>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</si>
  <si>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</si>
  <si>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</si>
  <si>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</si>
  <si>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</si>
  <si>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</si>
  <si>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</si>
  <si>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</si>
  <si>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</si>
  <si>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</si>
  <si>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</si>
  <si>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</si>
  <si>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</si>
  <si>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</si>
  <si>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</si>
  <si>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</si>
  <si>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</si>
  <si>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</si>
  <si>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</si>
  <si>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</si>
  <si>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</si>
  <si>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</si>
  <si>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</si>
  <si>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</si>
  <si>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</si>
  <si>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</si>
  <si>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</si>
  <si>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</si>
  <si>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</si>
  <si>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</si>
  <si>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</si>
  <si>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</si>
  <si>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</si>
  <si>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</si>
  <si>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</si>
  <si>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</si>
  <si>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</si>
  <si>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</si>
  <si>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</si>
  <si>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</si>
  <si>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</si>
  <si>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</si>
  <si>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</si>
  <si>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</si>
  <si>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</si>
  <si>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</si>
  <si>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</si>
  <si>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</si>
  <si>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</si>
  <si>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</si>
  <si>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</si>
  <si>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</si>
  <si>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</si>
  <si>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</si>
  <si>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</si>
  <si>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</si>
  <si>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</si>
  <si>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</si>
  <si>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</si>
  <si>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</si>
  <si>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</si>
  <si>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</si>
  <si>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</si>
  <si>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</si>
  <si>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</si>
  <si>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</si>
  <si>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</si>
  <si>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</si>
  <si>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</si>
  <si>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</si>
  <si>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</si>
  <si>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</si>
  <si>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</si>
  <si>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</si>
  <si>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</si>
  <si>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</si>
  <si>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</si>
  <si>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</si>
  <si>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</si>
  <si>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</si>
  <si>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</si>
  <si>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</si>
  <si>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</si>
  <si>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</si>
  <si>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</si>
  <si>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</si>
  <si>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</si>
  <si>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</si>
  <si>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</si>
  <si>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</si>
  <si>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</si>
  <si>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</si>
  <si>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</si>
  <si>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</si>
  <si>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</si>
  <si>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</si>
  <si>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</si>
  <si>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</si>
  <si>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</si>
  <si>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</si>
  <si>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</si>
  <si>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</si>
  <si>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</si>
  <si>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</si>
  <si>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</si>
  <si>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</si>
  <si>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</si>
  <si>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</si>
  <si>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</si>
  <si>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</si>
  <si>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</si>
  <si>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</si>
  <si>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</si>
  <si>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</si>
  <si>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</si>
  <si>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</si>
  <si>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</si>
  <si>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</si>
  <si>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</si>
  <si>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</si>
  <si>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</si>
  <si>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</si>
  <si>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</si>
  <si>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</si>
  <si>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</si>
  <si>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</si>
  <si>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</si>
  <si>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</si>
  <si>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</si>
  <si>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</si>
  <si>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</si>
  <si>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</si>
  <si>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</si>
  <si>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</si>
  <si>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</si>
  <si>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</si>
  <si>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</si>
  <si>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</si>
  <si>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</si>
  <si>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</si>
  <si>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</si>
  <si>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</si>
  <si>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</si>
  <si>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</si>
  <si>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</si>
  <si>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</si>
  <si>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</si>
  <si>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</si>
  <si>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</si>
  <si>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</si>
  <si>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</si>
  <si>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</si>
  <si>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</si>
  <si>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</si>
  <si>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</si>
  <si>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</si>
  <si>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</si>
  <si>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</si>
  <si>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</si>
  <si>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</si>
  <si>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</si>
  <si>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</si>
  <si>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</si>
  <si>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</si>
  <si>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</si>
  <si>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</si>
  <si>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</si>
  <si>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</si>
  <si>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</si>
  <si>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</si>
  <si>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</si>
  <si>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</si>
  <si>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</si>
  <si>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</si>
  <si>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</si>
  <si>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</si>
  <si>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</si>
  <si>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</si>
  <si>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</si>
  <si>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</si>
  <si>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</si>
  <si>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</si>
  <si>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</si>
  <si>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</si>
  <si>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</si>
  <si>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</si>
  <si>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</si>
  <si>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</si>
  <si>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</si>
  <si>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</si>
  <si>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</si>
  <si>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</si>
  <si>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</si>
  <si>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</si>
  <si>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</si>
  <si>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</si>
  <si>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</si>
  <si>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</si>
  <si>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</si>
  <si>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</si>
  <si>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</si>
  <si>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</si>
  <si>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</si>
  <si>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</si>
  <si>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</si>
  <si>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</si>
  <si>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</si>
  <si>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</si>
  <si>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</si>
  <si>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</si>
  <si>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</si>
  <si>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</si>
  <si>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</si>
  <si>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</si>
  <si>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</si>
  <si>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</si>
  <si>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</si>
  <si>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</si>
  <si>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</si>
  <si>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</si>
  <si>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</si>
  <si>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</si>
  <si>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</si>
  <si>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</si>
  <si>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</si>
  <si>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</si>
  <si>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</si>
  <si>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</si>
  <si>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</si>
  <si>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</si>
  <si>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</si>
  <si>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</si>
  <si>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</si>
  <si>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</si>
  <si>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</si>
  <si>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</si>
  <si>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</si>
  <si>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</si>
  <si>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</si>
  <si>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</si>
  <si>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</si>
  <si>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</si>
  <si>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</si>
  <si>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</si>
  <si>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</si>
  <si>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</si>
  <si>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</si>
  <si>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</si>
  <si>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</si>
  <si>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</si>
  <si>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</si>
  <si>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</si>
  <si>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</si>
  <si>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</si>
  <si>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</si>
  <si>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</si>
  <si>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</si>
  <si>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</si>
  <si>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</si>
  <si>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</si>
  <si>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</si>
  <si>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</si>
  <si>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</si>
  <si>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</si>
  <si>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</si>
  <si>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</si>
  <si>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</si>
  <si>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</si>
  <si>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</si>
  <si>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</si>
  <si>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</si>
  <si>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</si>
  <si>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</si>
  <si>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</si>
  <si>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</si>
  <si>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</si>
  <si>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</si>
  <si>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</si>
  <si>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</si>
  <si>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</si>
  <si>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</si>
  <si>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</si>
  <si>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</si>
  <si>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</si>
  <si>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</si>
  <si>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</si>
  <si>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</si>
  <si>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</si>
  <si>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</si>
  <si>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</si>
  <si>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</si>
  <si>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</si>
  <si>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</si>
  <si>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</si>
  <si>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</si>
  <si>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</si>
  <si>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</si>
  <si>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企业</t>
  </si>
  <si>
    <t>是</t>
  </si>
  <si>
    <t>地上</t>
  </si>
  <si>
    <t>地下</t>
  </si>
  <si>
    <t>商务金融用地</t>
  </si>
  <si>
    <t>不临65条商业街</t>
  </si>
  <si>
    <t>与级别开发程度一致</t>
  </si>
  <si>
    <t>中心城区以外</t>
  </si>
  <si>
    <t>较差</t>
  </si>
  <si>
    <t>一般</t>
  </si>
  <si>
    <t>较好</t>
  </si>
  <si>
    <t>好</t>
  </si>
  <si>
    <t>基准地价</t>
  </si>
  <si>
    <t>基准地价-商业</t>
  </si>
  <si>
    <t>基准地价-商业</t>
    <phoneticPr fontId="14" type="noConversion"/>
  </si>
  <si>
    <t>剩余法-待开发</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</si>
  <si>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</si>
  <si>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</si>
  <si>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</si>
  <si>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</si>
  <si>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</si>
  <si>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</si>
  <si>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标准写字楼</t>
    <phoneticPr fontId="3" type="noConversion"/>
  </si>
  <si>
    <t>钢混</t>
    <phoneticPr fontId="224" type="noConversion"/>
  </si>
  <si>
    <t>混合</t>
    <phoneticPr fontId="224"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</si>
  <si>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</si>
  <si>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</si>
  <si>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</si>
  <si>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</si>
  <si>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</si>
  <si>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专业</t>
    <phoneticPr fontId="3" type="noConversion"/>
  </si>
  <si>
    <t>七通</t>
  </si>
  <si>
    <t>六通</t>
  </si>
  <si>
    <t>五通</t>
  </si>
  <si>
    <t>四通</t>
  </si>
  <si>
    <t>三通</t>
  </si>
  <si>
    <t>标准</t>
    <phoneticPr fontId="3" type="noConversion"/>
  </si>
  <si>
    <t>土地（套用方法）</t>
  </si>
  <si>
    <t>押一</t>
  </si>
  <si>
    <t>钢混</t>
  </si>
  <si>
    <t>不动产收益法-商业</t>
  </si>
  <si>
    <t>不动产收益法-车库</t>
  </si>
  <si>
    <t>自定义</t>
  </si>
  <si>
    <t>通州区宋庄镇</t>
    <phoneticPr fontId="3" type="noConversion"/>
  </si>
  <si>
    <t>标准写字楼</t>
  </si>
  <si>
    <t>精装修</t>
  </si>
  <si>
    <t>甲级</t>
  </si>
  <si>
    <t>专业</t>
  </si>
  <si>
    <t>标准</t>
  </si>
  <si>
    <t>毛坯</t>
  </si>
  <si>
    <t>次干道</t>
  </si>
  <si>
    <t>京榆旧线</t>
    <phoneticPr fontId="3" type="noConversion"/>
  </si>
  <si>
    <t>售价</t>
  </si>
  <si>
    <t>办公</t>
    <phoneticPr fontId="27" type="noConversion"/>
  </si>
  <si>
    <t>正常</t>
  </si>
  <si>
    <t>已部分缴纳</t>
  </si>
  <si>
    <t>否</t>
  </si>
  <si>
    <t>地块名称</t>
  </si>
  <si>
    <t>地块编号</t>
  </si>
  <si>
    <t>区县</t>
  </si>
  <si>
    <t>板块</t>
  </si>
  <si>
    <t>建设用地面积(㎡)</t>
  </si>
  <si>
    <t>规划建筑面积(㎡)</t>
  </si>
  <si>
    <t>容积率上限</t>
  </si>
  <si>
    <t>详细规划</t>
  </si>
  <si>
    <t>成交时间</t>
  </si>
  <si>
    <t>受让单位</t>
  </si>
  <si>
    <t>拿地企业</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</si>
  <si>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</si>
  <si>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</si>
  <si>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</si>
  <si>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</si>
  <si>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</si>
  <si>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</si>
  <si>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</si>
  <si>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通州区</t>
  </si>
  <si>
    <t xml:space="preserve"> 北苑街道、玉桥街道</t>
  </si>
  <si>
    <t xml:space="preserve"> F3其他类多功能用地</t>
  </si>
  <si>
    <t xml:space="preserve"> --</t>
  </si>
  <si>
    <t xml:space="preserve"> 北京通州投资发展有限公司  </t>
  </si>
  <si>
    <t xml:space="preserve"> 北投集团</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</si>
  <si>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</si>
  <si>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</si>
  <si>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</si>
  <si>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</si>
  <si>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</si>
  <si>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 xml:space="preserve"> 居住70年、商业40年、办公50年</t>
  </si>
  <si>
    <t>北京市通州区永顺镇0401街区 46号地块(西马庄收储) B4综合性商业金融服务业用地</t>
  </si>
  <si>
    <t>京土储挂(通)〔2023〕004号</t>
  </si>
  <si>
    <t xml:space="preserve"> 定福庄、管庄</t>
  </si>
  <si>
    <t xml:space="preserve"> ≤2.8</t>
  </si>
  <si>
    <t xml:space="preserve"> B4综合性商业金融服务业用地</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</si>
  <si>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</si>
  <si>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</si>
  <si>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</si>
  <si>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</si>
  <si>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</si>
  <si>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</si>
  <si>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</si>
  <si>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</si>
  <si>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</si>
  <si>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</si>
  <si>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</si>
  <si>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</si>
  <si>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</si>
  <si>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</si>
  <si>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</si>
  <si>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</si>
  <si>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</si>
  <si>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</si>
  <si>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</si>
  <si>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</si>
  <si>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</si>
  <si>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</si>
  <si>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</si>
  <si>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</si>
  <si>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</si>
  <si>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</si>
  <si>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</si>
  <si>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</si>
  <si>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</si>
  <si>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</si>
  <si>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</si>
  <si>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</si>
  <si>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</si>
  <si>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</si>
  <si>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</si>
  <si>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</si>
  <si>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</si>
  <si>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</si>
  <si>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</si>
  <si>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</si>
  <si>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</si>
  <si>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</si>
  <si>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</si>
  <si>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</si>
  <si>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 xml:space="preserve"> 商业40年办公50年</t>
  </si>
  <si>
    <t>通州区马驹桥镇YZ00-0606-0014地块</t>
  </si>
  <si>
    <t>京土整储挂(通)[2017]033号</t>
  </si>
  <si>
    <t xml:space="preserve"> 马驹桥</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</si>
  <si>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</si>
  <si>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</si>
  <si>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</si>
  <si>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</si>
  <si>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</si>
  <si>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通州区宋庄镇0301-1201地块</t>
  </si>
  <si>
    <t>京土整储挂(通)[2015]012号</t>
  </si>
  <si>
    <t xml:space="preserve"> 宋庄</t>
  </si>
  <si>
    <t xml:space="preserve"> F3其它类多功能用地</t>
  </si>
  <si>
    <t xml:space="preserve"> 北京市文化置业有限公司  </t>
  </si>
  <si>
    <t xml:space="preserve"> 商业40年、综合50年</t>
  </si>
  <si>
    <t>通州区永顺镇0504-014地块F3其他类多功能用地</t>
  </si>
  <si>
    <t>京土整储招(通)[2014]092号</t>
  </si>
  <si>
    <t xml:space="preserve"> 永顺北</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</si>
  <si>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</si>
  <si>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</si>
  <si>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</si>
  <si>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</si>
  <si>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</si>
  <si>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</si>
  <si>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</si>
  <si>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</si>
  <si>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</si>
  <si>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</si>
  <si>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</si>
  <si>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</si>
  <si>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</si>
  <si>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</si>
  <si>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</si>
  <si>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通州区运河核心区Ⅱ-06地块F3其它类多功能用地</t>
  </si>
  <si>
    <t>京土整储招(通)[2014]048号</t>
  </si>
  <si>
    <t>通州区运河核心区Ⅱ-05地块F3其它类多功能用地</t>
  </si>
  <si>
    <t>京土整储招(通)[2014]047号</t>
  </si>
  <si>
    <t>通州区运河核心区Ⅸ-06地块F3其它类多功能用地</t>
  </si>
  <si>
    <t>京土整储挂(通)[2014]022号</t>
  </si>
  <si>
    <t xml:space="preserve"> 中仓街道</t>
  </si>
  <si>
    <t xml:space="preserve"> 复地(集团)股份有限公司 、上海复贤投资有限公司联合体  </t>
  </si>
  <si>
    <t xml:space="preserve"> 复地集团</t>
  </si>
  <si>
    <t>通州区运河核心区Ⅸ-02地块F3其它类多功能用地</t>
  </si>
  <si>
    <t>京土整储挂(通)[2014]021号</t>
  </si>
  <si>
    <t>通州区运河核心区Ⅸ-04地块F3其它类多功能用地</t>
  </si>
  <si>
    <t>京土整储挂(通)[2014]014号</t>
  </si>
  <si>
    <t xml:space="preserve"> 广州市富泓商务服务有限公司  </t>
  </si>
  <si>
    <t xml:space="preserve"> 合景泰富集团</t>
  </si>
  <si>
    <t>通州区运河核心区Ⅸ-07地块F3其它类多功能用地</t>
  </si>
  <si>
    <t>京土整储挂(通)[2014]015号</t>
  </si>
  <si>
    <t xml:space="preserve"> 北京富润万嘉房地产开发有限公司  </t>
  </si>
  <si>
    <t>通州区梨园、张家湾TZ-10-01地块C38游乐用地、TZ-10-02地块S3社会停车场库用地</t>
  </si>
  <si>
    <t>京土整储挂(通)[2014]012号</t>
  </si>
  <si>
    <t xml:space="preserve"> C38游乐用地、S3社会停车场库用地</t>
  </si>
  <si>
    <t>通州区运河核心区Ⅸ-05地块F3其它类多功能用地</t>
  </si>
  <si>
    <t>京土整储招(通)[2013]161号</t>
  </si>
  <si>
    <t xml:space="preserve"> 广州市天建房地产开发有限公司  </t>
  </si>
  <si>
    <t>通州区运河核心区IV-04地块F3其它类多功能用地</t>
  </si>
  <si>
    <t>京土整储招(通)[2013]112号</t>
  </si>
  <si>
    <t xml:space="preserve"> 保利(北京)房地产开发有限公司 、佛山顺德晟鸿投资有限公司联合体  </t>
  </si>
  <si>
    <t xml:space="preserve"> 保利发展</t>
  </si>
  <si>
    <t xml:space="preserve"> 商业40年综合50年</t>
  </si>
  <si>
    <t>通州区运河核心区Ⅸ-10地块F3其它类多功能用地</t>
  </si>
  <si>
    <t>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</si>
  <si>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</si>
  <si>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</si>
  <si>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</si>
  <si>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</si>
  <si>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通州区运河核心区Ⅸ-09、08、13-A地块F3其它类多功能用地</t>
  </si>
  <si>
    <t>京土整储招(通)[2013]106号</t>
  </si>
  <si>
    <t>通州区运河核心区IV-01地块F3其它类多功能用地</t>
  </si>
  <si>
    <t>京土整储招(通)[2013]108号</t>
  </si>
  <si>
    <t xml:space="preserve"> 绿地控股集团有限公司  </t>
  </si>
  <si>
    <t>通州区运河核心区Ⅲ-01、Ⅲ-05地块F3其它类多功能用地</t>
  </si>
  <si>
    <t>京土整储招(通)[2013]103号</t>
  </si>
  <si>
    <t xml:space="preserve"> 富华置地有限公司 、运河地产私人有限公司 、智富企业发展(集团)有限公司联合体  </t>
  </si>
  <si>
    <t>通州区运河核心区Ⅲ-02、Ⅲ-06地块F3其它类多功能用地</t>
  </si>
  <si>
    <t>京土整储招(通)[2013]104号</t>
  </si>
  <si>
    <t xml:space="preserve"> 富华置地有限公司 、长城私人有限公司 、智富企业发展(集团)有限公司联合体  </t>
  </si>
  <si>
    <t>通州区运河核心区Ⅲ-03、Ⅲ-07地块F3其它类多功能用地</t>
  </si>
  <si>
    <t>京土整储招(通)[2013]096号</t>
  </si>
  <si>
    <t xml:space="preserve"> 富华置地有限公司 、铂荣私人有限公司联合体  </t>
  </si>
  <si>
    <t>通州区运河核心区Ⅲ-10地块F3其它类多功能用地</t>
  </si>
  <si>
    <t>京土整储招(通)[2013]098号</t>
  </si>
  <si>
    <t xml:space="preserve"> 富华置地有限公司 、乌兰房地产私人有限公司联合体  </t>
  </si>
  <si>
    <t>通州区运河核心区Ⅲ-08、Ⅲ-09地块F3其它类多功能用地</t>
  </si>
  <si>
    <t>京土整储招(通)[2013]097号</t>
  </si>
  <si>
    <t xml:space="preserve"> 富华置地有限公司 、千辉发展私人有限公司 、智富企业发展(集团)有限公司联合体  </t>
  </si>
  <si>
    <t>通州区台湖镇4-1-007地块商业金融用地</t>
  </si>
  <si>
    <t>京土整储挂(通)[2013]59号</t>
  </si>
  <si>
    <t xml:space="preserve"> 台湖</t>
  </si>
  <si>
    <t xml:space="preserve"> C2商业金融用地</t>
  </si>
  <si>
    <t xml:space="preserve"> 北京万科企业有限公司  </t>
  </si>
  <si>
    <t xml:space="preserve"> 万科</t>
  </si>
  <si>
    <t>通州区台湖镇H3-03地块F3其它类多功能用地</t>
  </si>
  <si>
    <t>京土整储挂(通)[2013]056号</t>
  </si>
  <si>
    <t xml:space="preserve"> 北京世纪泰丰国际会展中心有限公司  </t>
  </si>
  <si>
    <t>通州区运河核心区IV-06地块F3其它类多功能用地</t>
  </si>
  <si>
    <t>京土整储挂(通)[2013]039号</t>
  </si>
  <si>
    <t xml:space="preserve"> 保利(北京)房地产开发有限公司  </t>
  </si>
  <si>
    <t>通州区运河核心区IV-07地块F3其它类多功能用地</t>
  </si>
  <si>
    <t>京土整储挂(通)[2013]040号</t>
  </si>
  <si>
    <t xml:space="preserve"> 北京绿地京城置业有限公司 、北京绿地京华置业有限公司联合体  </t>
  </si>
  <si>
    <t>通州区运河核心区IV-10地块F3其它类多功能用地</t>
  </si>
  <si>
    <t>京土整储招(通)[2013]042号</t>
  </si>
  <si>
    <t>通州区台湖镇B-21地块(部分)F3其它类多功能用地、B-24地块U13供燃气用地</t>
  </si>
  <si>
    <t>京土整储挂(通)[2013]044号</t>
  </si>
  <si>
    <t xml:space="preserve"> F3其他类多功能用地、U13供燃气用地</t>
  </si>
  <si>
    <t xml:space="preserve"> 北京世纪鸿房地产开发有限责任公司 、李金岭联合体  </t>
  </si>
  <si>
    <t>通州区运河核心区IV-11地块F3其它类多功能用地</t>
  </si>
  <si>
    <t>京土整储招(通)[2013]043号</t>
  </si>
  <si>
    <t>通州区台湖镇B-23地块F3其它类多功能用地</t>
  </si>
  <si>
    <t>京土整储挂(通)[2013]034号</t>
  </si>
  <si>
    <t>通州区运河核心区Ⅷ-11地块</t>
  </si>
  <si>
    <t>京土整储招(通)[2013]029号</t>
  </si>
  <si>
    <t xml:space="preserve"> 北京美融加投资有限公司 、通州滨海湾开发有限公司联合体  </t>
  </si>
  <si>
    <t xml:space="preserve"> 商业40年、综合50年、居住70年</t>
  </si>
  <si>
    <t>通州区运河核心区Ⅷ-12地块</t>
  </si>
  <si>
    <t>京土整储招(通)[2013]030号</t>
  </si>
  <si>
    <t xml:space="preserve"> 北京美融加投资有限公司 、通州运河开发有限公司联合体  </t>
  </si>
  <si>
    <t>通州区运河核心区Ⅷ-10地块F3其它类多功能用地</t>
  </si>
  <si>
    <t>京土整储招(通)[2013]027号</t>
  </si>
  <si>
    <t xml:space="preserve"> 北京美融加投资有限公司 、鹏瑞利通州开发(4)有限公司联合体  </t>
  </si>
  <si>
    <t>北京市通州区运河核心区IV-05多功能用地</t>
  </si>
  <si>
    <t>京土整储招(通)[2011]008号</t>
  </si>
  <si>
    <t xml:space="preserve"> 北京华业地产股份有限公司  </t>
  </si>
  <si>
    <t xml:space="preserve"> 华业控股</t>
  </si>
  <si>
    <t xml:space="preserve"> 商业:40年、综合:50年</t>
  </si>
  <si>
    <t>北京市通州区马驹桥镇物流产业园E-11地块多功能用地</t>
  </si>
  <si>
    <t>京土整储挂(通)[2011]078号</t>
  </si>
  <si>
    <t xml:space="preserve"> 北京珠江投资开发有限公司  </t>
  </si>
  <si>
    <t xml:space="preserve"> 珠江投资</t>
  </si>
  <si>
    <t xml:space="preserve"> 商业40年,综合50年</t>
  </si>
  <si>
    <t>宋庄</t>
    <phoneticPr fontId="3" type="noConversion"/>
  </si>
  <si>
    <t>金融街园中园</t>
    <phoneticPr fontId="3" type="noConversion"/>
  </si>
  <si>
    <t>运河铭著</t>
    <phoneticPr fontId="3" type="noConversion"/>
  </si>
  <si>
    <t>通州区</t>
    <phoneticPr fontId="3" type="noConversion"/>
  </si>
  <si>
    <t>房屋类型</t>
    <phoneticPr fontId="27" type="noConversion"/>
  </si>
  <si>
    <t>期房</t>
    <phoneticPr fontId="27" type="noConversion"/>
  </si>
  <si>
    <t>现房</t>
    <phoneticPr fontId="27" type="noConversion"/>
  </si>
  <si>
    <t>M5运河1号</t>
    <phoneticPr fontId="3" type="noConversion"/>
  </si>
  <si>
    <t>独栋商务楼</t>
  </si>
  <si>
    <t>独栋商务楼</t>
    <phoneticPr fontId="3" type="noConversion"/>
  </si>
  <si>
    <r>
      <t>40-50</t>
    </r>
    <r>
      <rPr>
        <sz val="11"/>
        <color indexed="8"/>
        <rFont val="宋体"/>
        <family val="3"/>
        <charset val="134"/>
      </rPr>
      <t>年</t>
    </r>
    <phoneticPr fontId="27" type="noConversion"/>
  </si>
  <si>
    <t>自定义容积率</t>
  </si>
  <si>
    <t>七通</t>
    <phoneticPr fontId="224" type="noConversion"/>
  </si>
  <si>
    <t>三通</t>
    <phoneticPr fontId="224" type="noConversion"/>
  </si>
  <si>
    <t>六通</t>
    <phoneticPr fontId="224"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</si>
  <si>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</si>
  <si>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</si>
  <si>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</si>
  <si>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</si>
  <si>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</si>
  <si>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</si>
  <si>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</si>
  <si>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楼面地价</t>
  </si>
  <si>
    <t>比较法-住宅、综合</t>
  </si>
  <si>
    <t>人防</t>
    <phoneticPr fontId="3" type="noConversion"/>
  </si>
  <si>
    <t>吴薇</t>
  </si>
  <si>
    <t>崔锴</t>
  </si>
  <si>
    <t>市场价格</t>
  </si>
  <si>
    <t>通州区梨园镇东小马土地一级开发项目</t>
    <phoneticPr fontId="6" type="noConversion"/>
  </si>
  <si>
    <t>北京新城基业投资发展有限公司</t>
    <phoneticPr fontId="6" type="noConversion"/>
  </si>
  <si>
    <t>一致</t>
  </si>
  <si>
    <t>符合</t>
  </si>
  <si>
    <t>综合项目（商业、办公）</t>
  </si>
  <si>
    <t>无</t>
  </si>
  <si>
    <t>场地平整</t>
  </si>
  <si>
    <t>总建筑面积</t>
    <phoneticPr fontId="224" type="noConversion"/>
  </si>
  <si>
    <t>用地</t>
    <phoneticPr fontId="224" type="noConversion"/>
  </si>
  <si>
    <t>地上建筑面积</t>
    <phoneticPr fontId="224" type="noConversion"/>
  </si>
  <si>
    <t>6015地块</t>
    <phoneticPr fontId="224" type="noConversion"/>
  </si>
  <si>
    <t>社区管理服务用房</t>
    <phoneticPr fontId="224" type="noConversion"/>
  </si>
  <si>
    <t>社区服务中心</t>
    <phoneticPr fontId="224" type="noConversion"/>
  </si>
  <si>
    <t>社区卫生服务中心</t>
    <phoneticPr fontId="224" type="noConversion"/>
  </si>
  <si>
    <t>机构养老设施</t>
    <phoneticPr fontId="224" type="noConversion"/>
  </si>
  <si>
    <t>残疾人福利设施</t>
    <phoneticPr fontId="224" type="noConversion"/>
  </si>
  <si>
    <t>日间托儿设施</t>
    <phoneticPr fontId="224" type="noConversion"/>
  </si>
  <si>
    <t>社区综合健身中心</t>
    <phoneticPr fontId="224" type="noConversion"/>
  </si>
  <si>
    <t>社区文化设施</t>
    <phoneticPr fontId="224" type="noConversion"/>
  </si>
  <si>
    <t>再生资源回收站</t>
    <phoneticPr fontId="224" type="noConversion"/>
  </si>
  <si>
    <t>物业管理服务用房</t>
    <phoneticPr fontId="224" type="noConversion"/>
  </si>
  <si>
    <t>末端物流网点</t>
    <phoneticPr fontId="224" type="noConversion"/>
  </si>
  <si>
    <t>公厕</t>
    <phoneticPr fontId="224" type="noConversion"/>
  </si>
  <si>
    <t>人防工程</t>
    <phoneticPr fontId="224" type="noConversion"/>
  </si>
  <si>
    <t>人防报警室</t>
    <phoneticPr fontId="224" type="noConversion"/>
  </si>
  <si>
    <t>屋顶水箱间</t>
    <phoneticPr fontId="224" type="noConversion"/>
  </si>
  <si>
    <t>屋顶机房及核心筒</t>
    <phoneticPr fontId="224" type="noConversion"/>
  </si>
  <si>
    <t>出入口及坡道</t>
    <phoneticPr fontId="224" type="noConversion"/>
  </si>
  <si>
    <t>竖井</t>
    <phoneticPr fontId="224" type="noConversion"/>
  </si>
  <si>
    <t>地下建筑面积</t>
    <phoneticPr fontId="224" type="noConversion"/>
  </si>
  <si>
    <t>机构养老设施</t>
    <phoneticPr fontId="224" type="noConversion"/>
  </si>
  <si>
    <t>自行车库</t>
    <phoneticPr fontId="224" type="noConversion"/>
  </si>
  <si>
    <t>汽车库</t>
    <phoneticPr fontId="224" type="noConversion"/>
  </si>
  <si>
    <t>设备用房</t>
    <phoneticPr fontId="224" type="noConversion"/>
  </si>
  <si>
    <t>能源站</t>
    <phoneticPr fontId="224" type="noConversion"/>
  </si>
  <si>
    <t>人防工程</t>
    <phoneticPr fontId="224" type="noConversion"/>
  </si>
  <si>
    <t>容积率</t>
    <phoneticPr fontId="224" type="noConversion"/>
  </si>
  <si>
    <t>床位数</t>
    <phoneticPr fontId="224" type="noConversion"/>
  </si>
  <si>
    <t>地下机动车库</t>
    <phoneticPr fontId="224" type="noConversion"/>
  </si>
  <si>
    <t>移交</t>
    <phoneticPr fontId="224" type="noConversion"/>
  </si>
  <si>
    <t>运营</t>
    <phoneticPr fontId="224" type="noConversion"/>
  </si>
  <si>
    <t>养老</t>
  </si>
  <si>
    <t>养老</t>
    <phoneticPr fontId="14" type="noConversion"/>
  </si>
  <si>
    <t>移交</t>
    <phoneticPr fontId="14" type="noConversion"/>
  </si>
  <si>
    <t>移交</t>
    <phoneticPr fontId="3" type="noConversion"/>
  </si>
  <si>
    <t>养老</t>
    <phoneticPr fontId="7" type="noConversion"/>
  </si>
  <si>
    <t>车库</t>
    <phoneticPr fontId="7" type="noConversion"/>
  </si>
  <si>
    <t xml:space="preserve"> </t>
    <phoneticPr fontId="3" type="noConversion"/>
  </si>
  <si>
    <t>一般</t>
    <phoneticPr fontId="224" type="noConversion"/>
  </si>
  <si>
    <t>七通</t>
    <phoneticPr fontId="224" type="noConversion"/>
  </si>
  <si>
    <t>地上</t>
    <phoneticPr fontId="3" type="noConversion"/>
  </si>
  <si>
    <t>地下</t>
    <phoneticPr fontId="3" type="noConversion"/>
  </si>
  <si>
    <t>租金</t>
    <phoneticPr fontId="3" type="noConversion"/>
  </si>
  <si>
    <t>序号</t>
    <phoneticPr fontId="224" type="noConversion"/>
  </si>
  <si>
    <t>养老院</t>
    <phoneticPr fontId="224" type="noConversion"/>
  </si>
  <si>
    <t>下限</t>
    <phoneticPr fontId="224" type="noConversion"/>
  </si>
  <si>
    <t>上限</t>
    <phoneticPr fontId="224" type="noConversion"/>
  </si>
  <si>
    <t>床位</t>
    <phoneticPr fontId="224" type="noConversion"/>
  </si>
  <si>
    <t>通州区梨园敬老院</t>
    <phoneticPr fontId="224" type="noConversion"/>
  </si>
  <si>
    <t>北京环湖养老康复中心</t>
    <phoneticPr fontId="224" type="noConversion"/>
  </si>
  <si>
    <t>北京市通州区张家湾镇枫叶红养老照料中心</t>
    <phoneticPr fontId="224" type="noConversion"/>
  </si>
  <si>
    <t>通州区张家湾镇敬老院</t>
    <phoneticPr fontId="224" type="noConversion"/>
  </si>
  <si>
    <t>金隅爱玉桥街道养老照料中心</t>
    <phoneticPr fontId="224" type="noConversion"/>
  </si>
  <si>
    <t>玉桥街道无忧之家养老照料中心</t>
    <phoneticPr fontId="224" type="noConversion"/>
  </si>
  <si>
    <t>桃源康养馆通州区通达家园</t>
    <phoneticPr fontId="224" type="noConversion"/>
  </si>
  <si>
    <t>台湖镇圣哲养老照料中心</t>
    <phoneticPr fontId="224" type="noConversion"/>
  </si>
  <si>
    <t>台湖镇敬老院</t>
    <phoneticPr fontId="224" type="noConversion"/>
  </si>
  <si>
    <t>北京康养诚和敬长者公馆通州项目</t>
    <phoneticPr fontId="224" type="noConversion"/>
  </si>
  <si>
    <t>通州区永顺镇静心养老照料中心</t>
    <phoneticPr fontId="224" type="noConversion"/>
  </si>
  <si>
    <t>通州区红十字会护老院</t>
    <phoneticPr fontId="224" type="noConversion"/>
  </si>
  <si>
    <t>通州区永顺镇敬老院</t>
    <phoneticPr fontId="224" type="noConversion"/>
  </si>
  <si>
    <t>均价</t>
    <phoneticPr fontId="224" type="noConversion"/>
  </si>
  <si>
    <t>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</si>
</sst>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1"/>
      <color theme="9" tint="-0.249977111117893"/>
      <name val="仿宋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8" fillId="0" borderId="0" applyFont="0" applyFill="0" applyBorder="0" applyAlignment="0" applyProtection="0">
      <alignment vertical="center"/>
    </xf>
    <xf numFmtId="195" fontId="141" fillId="0" borderId="0">
      <alignment vertical="center"/>
    </xf>
    <xf numFmtId="0" fontId="176" fillId="0" borderId="0"/>
  </cellStyleXfs>
  <cellXfs count="40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69" fillId="0" borderId="2" xfId="7" applyFont="1" applyFill="1" applyBorder="1" applyAlignment="1">
      <alignment horizontal="left" vertical="center"/>
    </xf>
    <xf numFmtId="0" fontId="268" fillId="0" borderId="2" xfId="7" applyFont="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0" fontId="268" fillId="0" borderId="5" xfId="7" applyFont="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2"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3"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5"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6" fillId="0" borderId="5" xfId="6" applyFont="1" applyFill="1" applyBorder="1" applyAlignment="1" applyProtection="1">
      <alignment horizontal="left" vertical="center"/>
      <protection locked="0"/>
    </xf>
    <xf numFmtId="0" fontId="276" fillId="0" borderId="157" xfId="6" applyFont="1" applyFill="1" applyBorder="1" applyAlignment="1" applyProtection="1">
      <alignment horizontal="left" vertical="center"/>
      <protection locked="0"/>
    </xf>
    <xf numFmtId="0" fontId="276"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5" fillId="0" borderId="0" xfId="6" applyFont="1" applyAlignment="1" applyProtection="1">
      <alignment horizontal="left" vertical="center"/>
      <protection locked="0"/>
    </xf>
    <xf numFmtId="0" fontId="275"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79" fillId="5" borderId="11" xfId="0" applyFont="1" applyFill="1" applyBorder="1" applyAlignment="1" applyProtection="1">
      <alignment horizontal="left" vertical="center"/>
    </xf>
    <xf numFmtId="0" fontId="279" fillId="5" borderId="2" xfId="0" applyFont="1" applyFill="1" applyBorder="1" applyAlignment="1" applyProtection="1">
      <alignment horizontal="left" vertical="center"/>
    </xf>
    <xf numFmtId="0" fontId="279" fillId="5" borderId="12" xfId="0" applyFont="1" applyFill="1" applyBorder="1" applyAlignment="1" applyProtection="1">
      <alignment horizontal="left" vertical="center"/>
    </xf>
    <xf numFmtId="0" fontId="279" fillId="0" borderId="2" xfId="0" applyFont="1" applyBorder="1" applyAlignment="1" applyProtection="1">
      <alignment horizontal="left" vertical="center"/>
      <protection locked="0"/>
    </xf>
    <xf numFmtId="9" fontId="279" fillId="0" borderId="2" xfId="0" applyNumberFormat="1" applyFont="1" applyBorder="1" applyAlignment="1" applyProtection="1">
      <alignment horizontal="left" vertical="center"/>
      <protection locked="0"/>
    </xf>
    <xf numFmtId="0" fontId="279" fillId="5" borderId="11"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protection locked="0"/>
    </xf>
    <xf numFmtId="0" fontId="279" fillId="5" borderId="0" xfId="0" applyFont="1" applyFill="1" applyBorder="1" applyAlignment="1" applyProtection="1">
      <alignment horizontal="left" vertical="center"/>
      <protection locked="0"/>
    </xf>
    <xf numFmtId="0" fontId="279" fillId="5" borderId="65"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xf>
    <xf numFmtId="0" fontId="279" fillId="5" borderId="0" xfId="0" applyFont="1" applyFill="1" applyBorder="1" applyAlignment="1" applyProtection="1">
      <alignment horizontal="left" vertical="center"/>
    </xf>
    <xf numFmtId="0" fontId="279" fillId="5" borderId="65" xfId="0" applyFont="1" applyFill="1" applyBorder="1" applyAlignment="1" applyProtection="1">
      <alignment horizontal="left" vertical="center"/>
    </xf>
    <xf numFmtId="0" fontId="279" fillId="5" borderId="31" xfId="0" applyFont="1" applyFill="1" applyBorder="1" applyAlignment="1" applyProtection="1">
      <alignment horizontal="left"/>
    </xf>
    <xf numFmtId="0" fontId="279" fillId="5" borderId="0" xfId="0" applyFont="1" applyFill="1" applyBorder="1" applyAlignment="1" applyProtection="1">
      <alignment horizontal="left"/>
    </xf>
    <xf numFmtId="0" fontId="279" fillId="5" borderId="65" xfId="0" applyFont="1" applyFill="1" applyBorder="1" applyAlignment="1" applyProtection="1">
      <alignment horizontal="left"/>
    </xf>
    <xf numFmtId="0" fontId="279" fillId="5" borderId="11" xfId="0" applyFont="1" applyFill="1" applyBorder="1" applyAlignment="1" applyProtection="1">
      <alignment horizontal="left"/>
    </xf>
    <xf numFmtId="0" fontId="279" fillId="21" borderId="2" xfId="0" applyFont="1" applyFill="1" applyBorder="1" applyAlignment="1" applyProtection="1">
      <alignment horizontal="left"/>
    </xf>
    <xf numFmtId="0" fontId="279" fillId="5" borderId="2" xfId="0" applyFont="1" applyFill="1" applyBorder="1" applyAlignment="1" applyProtection="1">
      <alignment horizontal="left"/>
    </xf>
    <xf numFmtId="0" fontId="279" fillId="5" borderId="5" xfId="0" applyFont="1" applyFill="1" applyBorder="1" applyAlignment="1" applyProtection="1">
      <alignment horizontal="left"/>
    </xf>
    <xf numFmtId="0" fontId="279" fillId="5" borderId="8" xfId="0" applyFont="1" applyFill="1" applyBorder="1" applyAlignment="1" applyProtection="1">
      <alignment horizontal="left"/>
    </xf>
    <xf numFmtId="0" fontId="279" fillId="5" borderId="16" xfId="0" applyFont="1" applyFill="1" applyBorder="1" applyAlignment="1" applyProtection="1">
      <alignment horizontal="left"/>
    </xf>
    <xf numFmtId="9" fontId="279" fillId="5" borderId="2" xfId="0" applyNumberFormat="1" applyFont="1" applyFill="1" applyBorder="1" applyAlignment="1" applyProtection="1">
      <alignment horizontal="left"/>
    </xf>
    <xf numFmtId="0" fontId="279" fillId="5" borderId="43" xfId="0" applyFont="1" applyFill="1" applyBorder="1" applyAlignment="1" applyProtection="1">
      <alignment horizontal="left"/>
    </xf>
    <xf numFmtId="0" fontId="279" fillId="21" borderId="44" xfId="0" applyFont="1" applyFill="1" applyBorder="1" applyAlignment="1" applyProtection="1">
      <alignment horizontal="left"/>
    </xf>
    <xf numFmtId="0" fontId="279" fillId="5" borderId="44" xfId="0" applyFont="1" applyFill="1" applyBorder="1" applyAlignment="1" applyProtection="1">
      <alignment horizontal="left"/>
    </xf>
    <xf numFmtId="0" fontId="279" fillId="5" borderId="61" xfId="0" applyFont="1" applyFill="1" applyBorder="1" applyAlignment="1" applyProtection="1">
      <alignment horizontal="left"/>
    </xf>
    <xf numFmtId="0" fontId="279"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1"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2"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6" fillId="15" borderId="122" xfId="13" applyNumberFormat="1" applyFont="1" applyFill="1" applyBorder="1" applyAlignment="1" applyProtection="1">
      <alignment horizontal="left" vertical="center"/>
    </xf>
    <xf numFmtId="0" fontId="276" fillId="15" borderId="0" xfId="13" applyNumberFormat="1" applyFont="1" applyFill="1" applyBorder="1" applyAlignment="1" applyProtection="1">
      <alignment horizontal="left" vertical="center"/>
    </xf>
    <xf numFmtId="0" fontId="276" fillId="23" borderId="0" xfId="13" applyNumberFormat="1" applyFont="1" applyFill="1" applyAlignment="1" applyProtection="1">
      <alignment horizontal="left" vertical="center"/>
    </xf>
    <xf numFmtId="10" fontId="276" fillId="15" borderId="122" xfId="13" applyNumberFormat="1" applyFont="1" applyFill="1" applyBorder="1" applyAlignment="1" applyProtection="1">
      <alignment horizontal="left" vertical="center"/>
    </xf>
    <xf numFmtId="10" fontId="276"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3" fillId="22" borderId="123" xfId="13" applyNumberFormat="1" applyFont="1" applyFill="1" applyBorder="1" applyAlignment="1" applyProtection="1">
      <alignment horizontal="left" vertical="center" wrapText="1"/>
      <protection locked="0"/>
    </xf>
    <xf numFmtId="0" fontId="283" fillId="22" borderId="124" xfId="13" applyNumberFormat="1" applyFont="1" applyFill="1" applyBorder="1" applyAlignment="1" applyProtection="1">
      <alignment horizontal="left" vertical="center" wrapText="1"/>
      <protection locked="0"/>
    </xf>
    <xf numFmtId="0" fontId="283" fillId="22" borderId="133" xfId="13" applyNumberFormat="1" applyFont="1" applyFill="1" applyBorder="1" applyAlignment="1" applyProtection="1">
      <alignment horizontal="left" vertical="center" wrapText="1"/>
      <protection locked="0"/>
    </xf>
    <xf numFmtId="0" fontId="283"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5" fillId="5" borderId="66" xfId="0" applyNumberFormat="1" applyFont="1" applyFill="1" applyBorder="1" applyAlignment="1" applyProtection="1">
      <alignment horizontal="right" vertical="center"/>
    </xf>
    <xf numFmtId="0" fontId="286" fillId="5" borderId="28" xfId="0" applyNumberFormat="1" applyFont="1" applyFill="1" applyBorder="1" applyAlignment="1" applyProtection="1">
      <alignment horizontal="left" vertical="center"/>
    </xf>
    <xf numFmtId="0" fontId="284" fillId="5" borderId="29" xfId="0" applyNumberFormat="1" applyFont="1" applyFill="1" applyBorder="1" applyAlignment="1" applyProtection="1">
      <alignment horizontal="left" vertical="center"/>
    </xf>
    <xf numFmtId="0" fontId="284" fillId="5" borderId="44" xfId="0" applyNumberFormat="1" applyFont="1" applyFill="1" applyBorder="1" applyAlignment="1" applyProtection="1">
      <alignment horizontal="left" vertical="center"/>
    </xf>
    <xf numFmtId="0" fontId="284" fillId="5" borderId="45" xfId="0" applyNumberFormat="1" applyFont="1" applyFill="1" applyBorder="1" applyAlignment="1" applyProtection="1">
      <alignment horizontal="left" vertical="center"/>
    </xf>
    <xf numFmtId="0" fontId="285"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7" fillId="5" borderId="6" xfId="0" applyFont="1" applyFill="1" applyBorder="1" applyAlignment="1" applyProtection="1">
      <alignment horizontal="left" vertical="center" wrapText="1"/>
    </xf>
    <xf numFmtId="10" fontId="288" fillId="5" borderId="6" xfId="0" applyNumberFormat="1" applyFont="1" applyFill="1" applyBorder="1" applyAlignment="1">
      <alignment horizontal="left" vertical="center" wrapText="1"/>
    </xf>
    <xf numFmtId="10" fontId="288"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7" fillId="5" borderId="2" xfId="0" applyFont="1" applyFill="1" applyBorder="1" applyAlignment="1" applyProtection="1">
      <alignment horizontal="left" vertical="center" wrapText="1"/>
    </xf>
    <xf numFmtId="10" fontId="288" fillId="5" borderId="2" xfId="0" applyNumberFormat="1" applyFont="1" applyFill="1" applyBorder="1" applyAlignment="1">
      <alignment horizontal="left" vertical="center" wrapText="1"/>
    </xf>
    <xf numFmtId="10" fontId="288"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7" fillId="5" borderId="10" xfId="0" applyFont="1" applyFill="1" applyBorder="1" applyAlignment="1" applyProtection="1">
      <alignment horizontal="left" vertical="center" wrapText="1"/>
    </xf>
    <xf numFmtId="10" fontId="288"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8" fillId="5" borderId="25" xfId="0" applyNumberFormat="1" applyFont="1" applyFill="1" applyBorder="1" applyAlignment="1">
      <alignment horizontal="left" vertical="center" wrapText="1"/>
    </xf>
    <xf numFmtId="0" fontId="289" fillId="5" borderId="2" xfId="0" applyFont="1" applyFill="1" applyBorder="1" applyAlignment="1">
      <alignment horizontal="left" vertical="center" wrapText="1"/>
    </xf>
    <xf numFmtId="0" fontId="289" fillId="5" borderId="10" xfId="0" applyFont="1" applyFill="1" applyBorder="1" applyAlignment="1">
      <alignment horizontal="left" vertical="center" wrapText="1"/>
    </xf>
    <xf numFmtId="0" fontId="287" fillId="5" borderId="1" xfId="0" applyFont="1" applyFill="1" applyBorder="1" applyAlignment="1" applyProtection="1">
      <alignment horizontal="left" vertical="center" wrapText="1"/>
    </xf>
    <xf numFmtId="0" fontId="287"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7"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7" fillId="5" borderId="2" xfId="17" applyFont="1" applyFill="1" applyBorder="1" applyAlignment="1" applyProtection="1">
      <alignment horizontal="left" vertical="center" wrapText="1"/>
    </xf>
    <xf numFmtId="0" fontId="287" fillId="5" borderId="43" xfId="0" applyFont="1" applyFill="1" applyBorder="1" applyAlignment="1" applyProtection="1">
      <alignment horizontal="left" vertical="center" wrapText="1"/>
    </xf>
    <xf numFmtId="0" fontId="287" fillId="5" borderId="44" xfId="0" applyFont="1" applyFill="1" applyBorder="1" applyAlignment="1" applyProtection="1">
      <alignment horizontal="left" vertical="center" wrapText="1"/>
    </xf>
    <xf numFmtId="10" fontId="288" fillId="5" borderId="44" xfId="0" applyNumberFormat="1" applyFont="1" applyFill="1" applyBorder="1" applyAlignment="1">
      <alignment horizontal="left" vertical="center" wrapText="1"/>
    </xf>
    <xf numFmtId="10" fontId="288"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0"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1" fillId="0" borderId="2" xfId="0" applyNumberFormat="1" applyFont="1" applyFill="1" applyBorder="1" applyAlignment="1">
      <alignment horizontal="left" vertical="center"/>
    </xf>
    <xf numFmtId="0" fontId="291" fillId="0" borderId="2" xfId="0" applyNumberFormat="1" applyFont="1" applyFill="1" applyBorder="1" applyAlignment="1">
      <alignment horizontal="left" vertical="center" wrapText="1"/>
    </xf>
    <xf numFmtId="0" fontId="292"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6"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67" fillId="0" borderId="2" xfId="0" applyNumberFormat="1" applyFont="1" applyFill="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0" fontId="140" fillId="0"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82" fillId="9" borderId="49" xfId="0" applyNumberFormat="1" applyFont="1" applyFill="1" applyBorder="1" applyAlignment="1" applyProtection="1">
      <alignment horizontal="left" vertical="center" wrapText="1"/>
      <protection locked="0"/>
    </xf>
    <xf numFmtId="0" fontId="77" fillId="0" borderId="2" xfId="0" applyFont="1" applyBorder="1" applyAlignment="1" applyProtection="1">
      <alignment horizontal="center" vertical="center" wrapText="1"/>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78" fillId="12" borderId="0" xfId="0" applyFont="1" applyFill="1" applyAlignment="1" applyProtection="1">
      <alignment vertical="center"/>
      <protection locked="0"/>
    </xf>
    <xf numFmtId="0" fontId="78" fillId="0" borderId="0" xfId="0" applyFont="1" applyAlignment="1" applyProtection="1">
      <alignment vertical="center"/>
      <protection locked="0"/>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66" fillId="6" borderId="0" xfId="0" applyNumberFormat="1" applyFont="1" applyFill="1" applyAlignment="1"/>
    <xf numFmtId="14" fontId="166" fillId="6" borderId="0" xfId="0" applyNumberFormat="1" applyFont="1" applyFill="1" applyAlignment="1"/>
    <xf numFmtId="0" fontId="54" fillId="5" borderId="3"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177" fontId="72" fillId="12" borderId="0" xfId="0" applyNumberFormat="1" applyFont="1" applyFill="1" applyAlignment="1" applyProtection="1">
      <alignment horizontal="center" vertical="center"/>
      <protection locked="0"/>
    </xf>
    <xf numFmtId="182" fontId="72" fillId="12" borderId="0" xfId="16"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49" fontId="298" fillId="6" borderId="2" xfId="0" applyNumberFormat="1" applyFont="1" applyFill="1" applyBorder="1" applyAlignment="1" applyProtection="1">
      <alignment horizontal="center" vertical="center" wrapText="1"/>
      <protection locked="0"/>
    </xf>
    <xf numFmtId="0" fontId="141" fillId="0" borderId="0" xfId="1" applyFont="1">
      <alignment vertical="center"/>
    </xf>
    <xf numFmtId="0" fontId="141" fillId="0" borderId="0" xfId="1">
      <alignment vertical="center"/>
    </xf>
    <xf numFmtId="0" fontId="143" fillId="0" borderId="0" xfId="1" applyFont="1">
      <alignment vertical="center"/>
    </xf>
    <xf numFmtId="0" fontId="141" fillId="9" borderId="0" xfId="1" applyFill="1">
      <alignment vertical="center"/>
    </xf>
    <xf numFmtId="0" fontId="141" fillId="9" borderId="0" xfId="1" applyFont="1" applyFill="1">
      <alignment vertical="center"/>
    </xf>
    <xf numFmtId="0" fontId="141" fillId="24" borderId="0" xfId="1" applyFill="1">
      <alignment vertical="center"/>
    </xf>
    <xf numFmtId="0" fontId="141" fillId="24" borderId="0" xfId="1" applyFont="1" applyFill="1">
      <alignment vertical="center"/>
    </xf>
    <xf numFmtId="178" fontId="72" fillId="12" borderId="0" xfId="0" applyNumberFormat="1" applyFont="1" applyFill="1" applyAlignment="1" applyProtection="1">
      <alignment horizontal="center" vertical="center"/>
      <protection locked="0"/>
    </xf>
    <xf numFmtId="49" fontId="299" fillId="0" borderId="7" xfId="0" applyNumberFormat="1" applyFont="1" applyFill="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67" fillId="0" borderId="11" xfId="0" applyFont="1" applyFill="1" applyBorder="1" applyAlignment="1" applyProtection="1">
      <alignment vertical="center"/>
      <protection locked="0"/>
    </xf>
    <xf numFmtId="0" fontId="72" fillId="0" borderId="11" xfId="0" applyFont="1" applyFill="1" applyBorder="1" applyAlignment="1" applyProtection="1">
      <alignment vertical="center"/>
      <protection locked="0"/>
    </xf>
    <xf numFmtId="0" fontId="143" fillId="0" borderId="0" xfId="0" applyFont="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4" fillId="5" borderId="0" xfId="0" applyNumberFormat="1" applyFont="1" applyFill="1" applyAlignment="1" applyProtection="1">
      <alignment horizontal="center" vertical="center"/>
    </xf>
    <xf numFmtId="0" fontId="284" fillId="5" borderId="65" xfId="0" applyNumberFormat="1" applyFont="1" applyFill="1" applyBorder="1" applyAlignment="1" applyProtection="1">
      <alignment horizontal="center" vertical="center"/>
    </xf>
    <xf numFmtId="0" fontId="284" fillId="5" borderId="1" xfId="0" applyNumberFormat="1" applyFont="1" applyFill="1" applyBorder="1" applyAlignment="1" applyProtection="1">
      <alignment horizontal="left" vertical="center" wrapText="1"/>
    </xf>
    <xf numFmtId="0" fontId="284" fillId="5" borderId="43" xfId="0" applyNumberFormat="1" applyFont="1" applyFill="1" applyBorder="1" applyAlignment="1" applyProtection="1">
      <alignment horizontal="left" vertical="center" wrapText="1"/>
    </xf>
    <xf numFmtId="0" fontId="290" fillId="0" borderId="0" xfId="0" applyNumberFormat="1" applyFont="1" applyFill="1" applyAlignment="1">
      <alignment horizontal="center" vertical="center"/>
    </xf>
    <xf numFmtId="0" fontId="290"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9524</xdr:rowOff>
    </xdr:from>
    <xdr:to>
      <xdr:col>6</xdr:col>
      <xdr:colOff>382573</xdr:colOff>
      <xdr:row>73</xdr:row>
      <xdr:rowOff>133349</xdr:rowOff>
    </xdr:to>
    <xdr:pic>
      <xdr:nvPicPr>
        <xdr:cNvPr id="2" name="图片 1"/>
        <xdr:cNvPicPr>
          <a:picLocks noChangeAspect="1"/>
        </xdr:cNvPicPr>
      </xdr:nvPicPr>
      <xdr:blipFill rotWithShape="1">
        <a:blip xmlns:r="http://schemas.openxmlformats.org/officeDocument/2006/relationships" r:embed="rId1"/>
        <a:srcRect t="33959"/>
        <a:stretch/>
      </xdr:blipFill>
      <xdr:spPr>
        <a:xfrm>
          <a:off x="0" y="8239124"/>
          <a:ext cx="8421673" cy="3019425"/>
        </a:xfrm>
        <a:prstGeom prst="rect">
          <a:avLst/>
        </a:prstGeom>
      </xdr:spPr>
    </xdr:pic>
    <xdr:clientData/>
  </xdr:twoCellAnchor>
  <xdr:twoCellAnchor editAs="oneCell">
    <xdr:from>
      <xdr:col>9</xdr:col>
      <xdr:colOff>28575</xdr:colOff>
      <xdr:row>77</xdr:row>
      <xdr:rowOff>9525</xdr:rowOff>
    </xdr:from>
    <xdr:to>
      <xdr:col>14</xdr:col>
      <xdr:colOff>770780</xdr:colOff>
      <xdr:row>99</xdr:row>
      <xdr:rowOff>142440</xdr:rowOff>
    </xdr:to>
    <xdr:pic>
      <xdr:nvPicPr>
        <xdr:cNvPr id="4" name="图片 3"/>
        <xdr:cNvPicPr>
          <a:picLocks noChangeAspect="1"/>
        </xdr:cNvPicPr>
      </xdr:nvPicPr>
      <xdr:blipFill>
        <a:blip xmlns:r="http://schemas.openxmlformats.org/officeDocument/2006/relationships" r:embed="rId2"/>
        <a:stretch>
          <a:fillRect/>
        </a:stretch>
      </xdr:blipFill>
      <xdr:spPr>
        <a:xfrm>
          <a:off x="10610850" y="11744325"/>
          <a:ext cx="5961905" cy="3485715"/>
        </a:xfrm>
        <a:prstGeom prst="rect">
          <a:avLst/>
        </a:prstGeom>
      </xdr:spPr>
    </xdr:pic>
    <xdr:clientData/>
  </xdr:twoCellAnchor>
  <xdr:twoCellAnchor editAs="oneCell">
    <xdr:from>
      <xdr:col>0</xdr:col>
      <xdr:colOff>0</xdr:colOff>
      <xdr:row>77</xdr:row>
      <xdr:rowOff>57150</xdr:rowOff>
    </xdr:from>
    <xdr:to>
      <xdr:col>2</xdr:col>
      <xdr:colOff>447023</xdr:colOff>
      <xdr:row>97</xdr:row>
      <xdr:rowOff>104388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791950"/>
          <a:ext cx="5219048" cy="3095238"/>
        </a:xfrm>
        <a:prstGeom prst="rect">
          <a:avLst/>
        </a:prstGeom>
      </xdr:spPr>
    </xdr:pic>
    <xdr:clientData/>
  </xdr:twoCellAnchor>
  <xdr:twoCellAnchor editAs="oneCell">
    <xdr:from>
      <xdr:col>2</xdr:col>
      <xdr:colOff>390525</xdr:colOff>
      <xdr:row>77</xdr:row>
      <xdr:rowOff>85725</xdr:rowOff>
    </xdr:from>
    <xdr:to>
      <xdr:col>8</xdr:col>
      <xdr:colOff>1389990</xdr:colOff>
      <xdr:row>94</xdr:row>
      <xdr:rowOff>142544</xdr:rowOff>
    </xdr:to>
    <xdr:pic>
      <xdr:nvPicPr>
        <xdr:cNvPr id="6" name="图片 5"/>
        <xdr:cNvPicPr>
          <a:picLocks noChangeAspect="1"/>
        </xdr:cNvPicPr>
      </xdr:nvPicPr>
      <xdr:blipFill>
        <a:blip xmlns:r="http://schemas.openxmlformats.org/officeDocument/2006/relationships" r:embed="rId4"/>
        <a:stretch>
          <a:fillRect/>
        </a:stretch>
      </xdr:blipFill>
      <xdr:spPr>
        <a:xfrm>
          <a:off x="5162550" y="11820525"/>
          <a:ext cx="5285715"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494467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66667" cy="2304762"/>
        </a:xfrm>
        <a:prstGeom prst="rect">
          <a:avLst/>
        </a:prstGeom>
      </xdr:spPr>
    </xdr:pic>
    <xdr:clientData/>
  </xdr:twoCellAnchor>
  <xdr:twoCellAnchor editAs="oneCell">
    <xdr:from>
      <xdr:col>22</xdr:col>
      <xdr:colOff>28575</xdr:colOff>
      <xdr:row>0</xdr:row>
      <xdr:rowOff>0</xdr:rowOff>
    </xdr:from>
    <xdr:to>
      <xdr:col>29</xdr:col>
      <xdr:colOff>342900</xdr:colOff>
      <xdr:row>38</xdr:row>
      <xdr:rowOff>12280</xdr:rowOff>
    </xdr:to>
    <xdr:pic>
      <xdr:nvPicPr>
        <xdr:cNvPr id="3" name="图片 2"/>
        <xdr:cNvPicPr>
          <a:picLocks noChangeAspect="1"/>
        </xdr:cNvPicPr>
      </xdr:nvPicPr>
      <xdr:blipFill>
        <a:blip xmlns:r="http://schemas.openxmlformats.org/officeDocument/2006/relationships" r:embed="rId2"/>
        <a:stretch>
          <a:fillRect/>
        </a:stretch>
      </xdr:blipFill>
      <xdr:spPr>
        <a:xfrm>
          <a:off x="15116175" y="0"/>
          <a:ext cx="5114925" cy="6527380"/>
        </a:xfrm>
        <a:prstGeom prst="rect">
          <a:avLst/>
        </a:prstGeom>
      </xdr:spPr>
    </xdr:pic>
    <xdr:clientData/>
  </xdr:twoCellAnchor>
  <xdr:twoCellAnchor editAs="oneCell">
    <xdr:from>
      <xdr:col>27</xdr:col>
      <xdr:colOff>657225</xdr:colOff>
      <xdr:row>0</xdr:row>
      <xdr:rowOff>0</xdr:rowOff>
    </xdr:from>
    <xdr:to>
      <xdr:col>33</xdr:col>
      <xdr:colOff>626560</xdr:colOff>
      <xdr:row>33</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9173825" y="0"/>
          <a:ext cx="4084135" cy="5705475"/>
        </a:xfrm>
        <a:prstGeom prst="rect">
          <a:avLst/>
        </a:prstGeom>
      </xdr:spPr>
    </xdr:pic>
    <xdr:clientData/>
  </xdr:twoCellAnchor>
  <xdr:twoCellAnchor editAs="oneCell">
    <xdr:from>
      <xdr:col>0</xdr:col>
      <xdr:colOff>0</xdr:colOff>
      <xdr:row>14</xdr:row>
      <xdr:rowOff>0</xdr:rowOff>
    </xdr:from>
    <xdr:to>
      <xdr:col>8</xdr:col>
      <xdr:colOff>104077</xdr:colOff>
      <xdr:row>25</xdr:row>
      <xdr:rowOff>66431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5590477" cy="1952381"/>
        </a:xfrm>
        <a:prstGeom prst="rect">
          <a:avLst/>
        </a:prstGeom>
      </xdr:spPr>
    </xdr:pic>
    <xdr:clientData/>
  </xdr:twoCellAnchor>
  <xdr:twoCellAnchor editAs="oneCell">
    <xdr:from>
      <xdr:col>0</xdr:col>
      <xdr:colOff>0</xdr:colOff>
      <xdr:row>26</xdr:row>
      <xdr:rowOff>28575</xdr:rowOff>
    </xdr:from>
    <xdr:to>
      <xdr:col>9</xdr:col>
      <xdr:colOff>389705</xdr:colOff>
      <xdr:row>56</xdr:row>
      <xdr:rowOff>113647</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4486275"/>
          <a:ext cx="6561905" cy="5228572"/>
        </a:xfrm>
        <a:prstGeom prst="rect">
          <a:avLst/>
        </a:prstGeom>
      </xdr:spPr>
    </xdr:pic>
    <xdr:clientData/>
  </xdr:twoCellAnchor>
  <xdr:twoCellAnchor editAs="oneCell">
    <xdr:from>
      <xdr:col>0</xdr:col>
      <xdr:colOff>0</xdr:colOff>
      <xdr:row>57</xdr:row>
      <xdr:rowOff>0</xdr:rowOff>
    </xdr:from>
    <xdr:to>
      <xdr:col>9</xdr:col>
      <xdr:colOff>542086</xdr:colOff>
      <xdr:row>78</xdr:row>
      <xdr:rowOff>75741</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9772650"/>
          <a:ext cx="6714286" cy="3676191"/>
        </a:xfrm>
        <a:prstGeom prst="rect">
          <a:avLst/>
        </a:prstGeom>
      </xdr:spPr>
    </xdr:pic>
    <xdr:clientData/>
  </xdr:twoCellAnchor>
  <xdr:twoCellAnchor editAs="oneCell">
    <xdr:from>
      <xdr:col>0</xdr:col>
      <xdr:colOff>0</xdr:colOff>
      <xdr:row>79</xdr:row>
      <xdr:rowOff>0</xdr:rowOff>
    </xdr:from>
    <xdr:to>
      <xdr:col>9</xdr:col>
      <xdr:colOff>551610</xdr:colOff>
      <xdr:row>90</xdr:row>
      <xdr:rowOff>152145</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544550"/>
          <a:ext cx="6723810" cy="2038095"/>
        </a:xfrm>
        <a:prstGeom prst="rect">
          <a:avLst/>
        </a:prstGeom>
      </xdr:spPr>
    </xdr:pic>
    <xdr:clientData/>
  </xdr:twoCellAnchor>
  <xdr:twoCellAnchor editAs="oneCell">
    <xdr:from>
      <xdr:col>0</xdr:col>
      <xdr:colOff>0</xdr:colOff>
      <xdr:row>91</xdr:row>
      <xdr:rowOff>0</xdr:rowOff>
    </xdr:from>
    <xdr:to>
      <xdr:col>9</xdr:col>
      <xdr:colOff>503991</xdr:colOff>
      <xdr:row>112</xdr:row>
      <xdr:rowOff>66217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5601950"/>
          <a:ext cx="6676191" cy="3666667"/>
        </a:xfrm>
        <a:prstGeom prst="rect">
          <a:avLst/>
        </a:prstGeom>
      </xdr:spPr>
    </xdr:pic>
    <xdr:clientData/>
  </xdr:twoCellAnchor>
  <xdr:twoCellAnchor editAs="oneCell">
    <xdr:from>
      <xdr:col>0</xdr:col>
      <xdr:colOff>0</xdr:colOff>
      <xdr:row>113</xdr:row>
      <xdr:rowOff>0</xdr:rowOff>
    </xdr:from>
    <xdr:to>
      <xdr:col>9</xdr:col>
      <xdr:colOff>665896</xdr:colOff>
      <xdr:row>153</xdr:row>
      <xdr:rowOff>84858</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9373850"/>
          <a:ext cx="6838096" cy="6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仓储</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R2</v>
          </cell>
          <cell r="D76" t="str">
            <v>R2、A33</v>
          </cell>
          <cell r="E76" t="str">
            <v>F1、A33</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较好</v>
          </cell>
        </row>
        <row r="124">
          <cell r="B124" t="str">
            <v>宗地开发程度</v>
          </cell>
          <cell r="C124" t="str">
            <v>七通</v>
          </cell>
          <cell r="D124" t="str">
            <v>六通</v>
          </cell>
          <cell r="E124" t="str">
            <v>五通</v>
          </cell>
          <cell r="F124" t="str">
            <v>四通</v>
          </cell>
          <cell r="G124" t="str">
            <v>三通</v>
          </cell>
          <cell r="H124" t="str">
            <v>临时三通</v>
          </cell>
        </row>
        <row r="126">
          <cell r="B126" t="str">
            <v>工程地质条件</v>
          </cell>
          <cell r="C126" t="str">
            <v>较好</v>
          </cell>
        </row>
      </sheetData>
      <sheetData sheetId="19" refreshError="1"/>
      <sheetData sheetId="20" refreshError="1"/>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cell r="F100" t="str">
            <v>多层、小高层、高层</v>
          </cell>
          <cell r="G100" t="str">
            <v>小高层、高层</v>
          </cell>
          <cell r="H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专业物业管理</v>
          </cell>
        </row>
        <row r="116">
          <cell r="B116" t="str">
            <v>市政基础设施</v>
          </cell>
          <cell r="C116" t="str">
            <v>七通</v>
          </cell>
          <cell r="D116" t="str">
            <v>六通</v>
          </cell>
          <cell r="E116" t="str">
            <v>五通</v>
          </cell>
          <cell r="F116" t="str">
            <v>四通</v>
          </cell>
        </row>
        <row r="118">
          <cell r="B118" t="str">
            <v>房型</v>
          </cell>
        </row>
        <row r="122">
          <cell r="B122" t="str">
            <v>内部装修</v>
          </cell>
          <cell r="C122" t="str">
            <v>精装修</v>
          </cell>
          <cell r="D122" t="str">
            <v>毛坯</v>
          </cell>
        </row>
      </sheetData>
      <sheetData sheetId="32">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简单装修</v>
          </cell>
        </row>
        <row r="88">
          <cell r="B88" t="str">
            <v>物业等级</v>
          </cell>
          <cell r="C88" t="str">
            <v>专业物业管理</v>
          </cell>
        </row>
        <row r="93">
          <cell r="B93" t="str">
            <v>车位类型</v>
          </cell>
          <cell r="C93" t="str">
            <v>平面车位</v>
          </cell>
        </row>
        <row r="95">
          <cell r="B95" t="str">
            <v>是否直接入户</v>
          </cell>
          <cell r="C95" t="str">
            <v>否</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1937</v>
      </c>
      <c r="B1" s="2369" t="s">
        <v>2034</v>
      </c>
    </row>
    <row r="2" spans="1:55" s="2373" customFormat="1" ht="15" thickTop="1">
      <c r="A2" s="2371" t="s">
        <v>1941</v>
      </c>
      <c r="B2" s="2372" t="str">
        <f>'预评函-封皮'!B37</f>
        <v>北京市通州区梨园镇东小马土地一级开发项目出让国有建设用地使用权市场价格预评估</v>
      </c>
      <c r="AX2" s="2374"/>
      <c r="AZ2" s="2374"/>
      <c r="BA2" s="2375"/>
      <c r="BC2" s="2375"/>
    </row>
    <row r="3" spans="1:55" s="2376" customFormat="1">
      <c r="A3" s="2355" t="s">
        <v>1942</v>
      </c>
      <c r="B3" s="2358">
        <f>'预评函-封皮'!B40</f>
        <v>0</v>
      </c>
    </row>
    <row r="4" spans="1:55" s="2357" customFormat="1">
      <c r="A4" s="2355" t="s">
        <v>1943</v>
      </c>
      <c r="B4" s="2356" t="str">
        <f>'预评函-封皮'!B46</f>
        <v>吴薇、崔锴</v>
      </c>
      <c r="N4" s="2357" t="str">
        <f>'预评函-1'!A28</f>
        <v>——</v>
      </c>
    </row>
    <row r="5" spans="1:55" s="2370" customFormat="1" ht="15" thickBot="1">
      <c r="A5" s="2377" t="s">
        <v>1944</v>
      </c>
      <c r="B5" s="2378" t="str">
        <f>'预评函-封皮'!B49</f>
        <v>康正预评字号</v>
      </c>
    </row>
    <row r="6" spans="1:55" s="2379" customFormat="1" ht="15" thickTop="1">
      <c r="A6" s="2371" t="s">
        <v>1986</v>
      </c>
      <c r="B6" s="2372" t="str">
        <f>'预评函-1'!A4</f>
        <v>受贵公司委托，我公司对北京市通州区梨园镇东小马土地一级开发项目出让国有建设用地使用权市场价格进行了预评估。</v>
      </c>
      <c r="AM6" s="2380"/>
    </row>
    <row r="7" spans="1:55" s="2354" customFormat="1">
      <c r="A7" s="2355" t="s">
        <v>1938</v>
      </c>
      <c r="B7" s="2356" t="str">
        <f>'预评函-1'!A6</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8" spans="1:55" s="2354" customFormat="1">
      <c r="A8" s="2355" t="s">
        <v>1939</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1989</v>
      </c>
      <c r="B9" s="235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1940</v>
      </c>
      <c r="B10" s="2356" t="str">
        <f>'预评函-1'!A11</f>
        <v>2023年12月6日（评估专业人员勘察现场之日）</v>
      </c>
    </row>
    <row r="11" spans="1:55" s="2354" customFormat="1">
      <c r="A11" s="2355" t="s">
        <v>1946</v>
      </c>
      <c r="B11" s="2356" t="str">
        <f>'预评函-1'!A14</f>
        <v>根据《国有土地使用证》[]，本次评估估价对象证载（地类）用途为。</v>
      </c>
    </row>
    <row r="12" spans="1:55" s="2354" customFormat="1">
      <c r="A12" s="2355" t="s">
        <v>1947</v>
      </c>
      <c r="B12" s="2356" t="str">
        <f>'预评函-1'!A15</f>
        <v>本次评估设定用途即为证载用途。</v>
      </c>
    </row>
    <row r="13" spans="1:55" s="2354" customFormat="1">
      <c r="A13" s="2355" t="s">
        <v>1948</v>
      </c>
      <c r="B13" s="2356" t="str">
        <f>'预评函-1'!A17</f>
        <v>根据委托估价方介绍及评估专业人员现场勘查，本次评估估价对象实际土地开发程度为红线外市政基础设施达“七通”（即通路、通电、通讯、通上水、通下水、通热、燃气）、宗地红线内场地平整。</v>
      </c>
    </row>
    <row r="14" spans="1:55" s="2354" customFormat="1">
      <c r="A14" s="2355" t="s">
        <v>1949</v>
      </c>
      <c r="B14" s="2356" t="str">
        <f>'预评函-1'!A18</f>
        <v>本次评估设定土地开发程度为红线外市政基础设施达“七通”、宗地红线内场地平整。</v>
      </c>
    </row>
    <row r="15" spans="1:55" s="2354" customFormat="1">
      <c r="A15" s="2355" t="s">
        <v>1945</v>
      </c>
      <c r="B15" s="2356" t="str">
        <f>'预评函-1'!A20</f>
        <v>根据《国有土地使用证》[]，估价对象（分摊）出让国有建设用地使用权面积为16124.25平方米。根据《建设工程规划许可证》[]、《出让合同》[]，估价对象规划建筑面积为45811.1平方米。</v>
      </c>
    </row>
    <row r="16" spans="1:55" s="2354" customFormat="1">
      <c r="A16" s="2355" t="s">
        <v>1950</v>
      </c>
      <c r="B16" s="2356" t="str">
        <f>'预评函-1'!A22</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17" spans="1:48" s="2354" customFormat="1">
      <c r="A17" s="2355" t="s">
        <v>1951</v>
      </c>
      <c r="B17" s="2356" t="str">
        <f>'预评函-1'!A23</f>
        <v>本次评估设定估价对象剩余土地使用年限为。</v>
      </c>
    </row>
    <row r="18" spans="1:48" s="2354" customFormat="1">
      <c r="A18" s="2355" t="s">
        <v>1952</v>
      </c>
      <c r="B18" s="235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2354" customFormat="1">
      <c r="A19" s="2355" t="s">
        <v>1953</v>
      </c>
      <c r="B19" s="2356" t="str">
        <f>'预评函-1'!A26</f>
        <v>——</v>
      </c>
    </row>
    <row r="20" spans="1:48" s="2354" customFormat="1">
      <c r="A20" s="2355" t="s">
        <v>1954</v>
      </c>
      <c r="B20" s="2356" t="str">
        <f>'预评函-1'!A27</f>
        <v>——</v>
      </c>
    </row>
    <row r="21" spans="1:48" s="2370" customFormat="1" ht="15" thickBot="1">
      <c r="A21" s="2377" t="s">
        <v>1955</v>
      </c>
      <c r="B21" s="2378" t="str">
        <f>'预评函-1'!A28</f>
        <v>——</v>
      </c>
    </row>
    <row r="22" spans="1:48" ht="15" thickTop="1">
      <c r="A22" s="2366" t="s">
        <v>1956</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1957</v>
      </c>
      <c r="B23" s="2356" t="str">
        <f>'预评函-2'!K2</f>
        <v>估价期日：2023年12月6日</v>
      </c>
    </row>
    <row r="24" spans="1:48">
      <c r="A24" s="2355" t="s">
        <v>1958</v>
      </c>
      <c r="B24" s="2356" t="str">
        <f>'预评函-2'!R2</f>
        <v>估价期日的国有建设用地使用权性质：出让</v>
      </c>
    </row>
    <row r="25" spans="1:48">
      <c r="A25" s="2355" t="s">
        <v>2014</v>
      </c>
      <c r="B25" s="2356" t="str">
        <f>'预评函-2'!A3</f>
        <v>估价期日土地使用者</v>
      </c>
    </row>
    <row r="26" spans="1:48">
      <c r="A26" s="2355" t="s">
        <v>1990</v>
      </c>
      <c r="B26" s="2356" t="str">
        <f>'预评函-2'!A5</f>
        <v>中信开发</v>
      </c>
    </row>
    <row r="27" spans="1:48">
      <c r="A27" s="2355" t="s">
        <v>2015</v>
      </c>
      <c r="B27" s="2356" t="str">
        <f>'预评函-2'!B3</f>
        <v>宗地编号/不动产单元号</v>
      </c>
    </row>
    <row r="28" spans="1:48">
      <c r="A28" s="2355" t="s">
        <v>1991</v>
      </c>
      <c r="B28" s="2356" t="str">
        <f>'预评函-2'!B5</f>
        <v>11111111111</v>
      </c>
    </row>
    <row r="29" spans="1:48">
      <c r="A29" s="2355" t="s">
        <v>2017</v>
      </c>
      <c r="B29" s="2356">
        <f>'预评函-2'!C5</f>
        <v>22</v>
      </c>
    </row>
    <row r="30" spans="1:48">
      <c r="A30" s="2355" t="s">
        <v>2018</v>
      </c>
      <c r="B30" s="2356" t="str">
        <f>'预评函-2'!D3</f>
        <v>土地使用证编号/不动产权证书编号</v>
      </c>
    </row>
    <row r="31" spans="1:48">
      <c r="A31" s="2355" t="s">
        <v>1992</v>
      </c>
      <c r="B31" s="2356" t="str">
        <f>'预评函-2'!D5</f>
        <v>京国土字第111号</v>
      </c>
    </row>
    <row r="32" spans="1:48">
      <c r="A32" s="2355" t="s">
        <v>1993</v>
      </c>
      <c r="B32" s="2356">
        <f>'预评函-2'!E5</f>
        <v>0</v>
      </c>
      <c r="AV32" s="2360"/>
    </row>
    <row r="33" spans="1:2">
      <c r="A33" s="2355" t="s">
        <v>1994</v>
      </c>
      <c r="B33" s="2356">
        <f>'预评函-2'!F5</f>
        <v>258</v>
      </c>
    </row>
    <row r="34" spans="1:2">
      <c r="A34" s="2355" t="s">
        <v>1995</v>
      </c>
      <c r="B34" s="2356">
        <f>'预评函-2'!G5</f>
        <v>0</v>
      </c>
    </row>
    <row r="35" spans="1:2">
      <c r="A35" s="2355" t="s">
        <v>1996</v>
      </c>
      <c r="B35" s="2356">
        <f>'预评函-2'!H5</f>
        <v>1.5</v>
      </c>
    </row>
    <row r="36" spans="1:2">
      <c r="A36" s="2355" t="s">
        <v>1997</v>
      </c>
      <c r="B36" s="2356">
        <f>'预评函-2'!I5</f>
        <v>1.5</v>
      </c>
    </row>
    <row r="37" spans="1:2">
      <c r="A37" s="2355" t="s">
        <v>1998</v>
      </c>
      <c r="B37" s="2356">
        <f>'预评函-2'!J5</f>
        <v>1.5</v>
      </c>
    </row>
    <row r="38" spans="1:2">
      <c r="A38" s="2355" t="s">
        <v>1999</v>
      </c>
      <c r="B38" s="2356" t="str">
        <f>'预评函-2'!K5</f>
        <v>红线外七通、宗地红线内场地平整</v>
      </c>
    </row>
    <row r="39" spans="1:2">
      <c r="A39" s="2355" t="s">
        <v>2000</v>
      </c>
      <c r="B39" s="2356" t="str">
        <f>'预评函-2'!L5</f>
        <v>红线外七通、宗地红线内场地平整</v>
      </c>
    </row>
    <row r="40" spans="1:2">
      <c r="A40" s="2355" t="s">
        <v>2019</v>
      </c>
      <c r="B40" s="2356" t="str">
        <f>'预评函-2'!M3</f>
        <v>（剩余）土地使用年限/年</v>
      </c>
    </row>
    <row r="41" spans="1:2">
      <c r="A41" s="2355" t="s">
        <v>2001</v>
      </c>
      <c r="B41" s="2356">
        <f>'预评函-2'!M5</f>
        <v>0</v>
      </c>
    </row>
    <row r="42" spans="1:2">
      <c r="A42" s="2355" t="s">
        <v>2020</v>
      </c>
      <c r="B42" s="2356" t="str">
        <f>'预评函-2'!N3</f>
        <v>（分摊）出让国有建设用地使用权面积/㎡</v>
      </c>
    </row>
    <row r="43" spans="1:2">
      <c r="A43" s="2355" t="s">
        <v>2002</v>
      </c>
      <c r="B43" s="2356">
        <f>'预评函-2'!N5</f>
        <v>16124.25</v>
      </c>
    </row>
    <row r="44" spans="1:2">
      <c r="A44" s="2355" t="s">
        <v>2021</v>
      </c>
      <c r="B44" s="2356" t="str">
        <f>'预评函-2'!O3</f>
        <v>规划建筑面积/㎡</v>
      </c>
    </row>
    <row r="45" spans="1:2">
      <c r="A45" s="2355" t="s">
        <v>2003</v>
      </c>
      <c r="B45" s="2356">
        <f>'预评函-2'!O5</f>
        <v>45811.100000000013</v>
      </c>
    </row>
    <row r="46" spans="1:2">
      <c r="A46" s="2355" t="s">
        <v>2004</v>
      </c>
      <c r="B46" s="2356">
        <f ca="1">'预评函-2'!P5</f>
        <v>13434</v>
      </c>
    </row>
    <row r="47" spans="1:2">
      <c r="A47" s="2355" t="s">
        <v>2005</v>
      </c>
      <c r="B47" s="2356">
        <f ca="1">'预评函-2'!Q5</f>
        <v>4728</v>
      </c>
    </row>
    <row r="48" spans="1:2">
      <c r="A48" s="2355" t="s">
        <v>2006</v>
      </c>
      <c r="B48" s="2356">
        <f ca="1">'预评函-2'!R5</f>
        <v>21661</v>
      </c>
    </row>
    <row r="49" spans="1:2">
      <c r="A49" s="2355" t="s">
        <v>2022</v>
      </c>
      <c r="B49" s="2356" t="str">
        <f>'预评函-2'!A6</f>
        <v>——</v>
      </c>
    </row>
    <row r="50" spans="1:2">
      <c r="A50" s="2355" t="s">
        <v>2007</v>
      </c>
      <c r="B50" s="2356">
        <f ca="1">'预评函-2'!R6</f>
        <v>21487</v>
      </c>
    </row>
    <row r="51" spans="1:2">
      <c r="A51" s="2355" t="s">
        <v>2023</v>
      </c>
      <c r="B51" s="2356" t="str">
        <f>'预评函-2'!A7</f>
        <v>——</v>
      </c>
    </row>
    <row r="52" spans="1:2">
      <c r="A52" s="2355" t="s">
        <v>2008</v>
      </c>
      <c r="B52" s="2356" t="str">
        <f>'预评函-2'!R7</f>
        <v>——</v>
      </c>
    </row>
    <row r="53" spans="1:2">
      <c r="A53" s="2355" t="s">
        <v>2024</v>
      </c>
      <c r="B53" s="2356" t="str">
        <f>'预评函-2'!A8</f>
        <v>——</v>
      </c>
    </row>
    <row r="54" spans="1:2" s="2370" customFormat="1" ht="15" thickBot="1">
      <c r="A54" s="2377" t="s">
        <v>2009</v>
      </c>
      <c r="B54" s="2378" t="str">
        <f>'预评函-2'!R8</f>
        <v>——</v>
      </c>
    </row>
    <row r="55" spans="1:2" ht="15" thickTop="1">
      <c r="A55" s="2366" t="s">
        <v>1959</v>
      </c>
      <c r="B55" s="2367" t="str">
        <f>'预评函-3'!A2</f>
        <v>1.权利限制：根据估价对象《不动产权证书》复印件、《国有土地使用权》复印件，截至估价期日，估价对象抵押权未见登记。未设定租赁等其他他项权利。</v>
      </c>
    </row>
    <row r="56" spans="1:2">
      <c r="A56" s="2355" t="s">
        <v>1960</v>
      </c>
      <c r="B56" s="2356" t="str">
        <f>'预评函-3'!A3</f>
        <v>2.基础设施条件：估价对象实际开发程度为红线外七通、宗地红线内场地平整；本次评估设定开发程度为红线外七通、宗地红线内场地平整。</v>
      </c>
    </row>
    <row r="57" spans="1:2">
      <c r="A57" s="2355" t="s">
        <v>1961</v>
      </c>
      <c r="B57" s="2356" t="str">
        <f>'预评函-3'!A4</f>
        <v>3.估价规划限制条件：详见《建设工程规划许可证》[]、《出让合同》[]。</v>
      </c>
    </row>
    <row r="58" spans="1:2" s="2370" customFormat="1" ht="15" thickBot="1">
      <c r="A58" s="2377" t="s">
        <v>2010</v>
      </c>
      <c r="B58" s="2378" t="str">
        <f>'预评函-3'!A5</f>
        <v>4.影响价格的其他限定条件：无。</v>
      </c>
    </row>
    <row r="59" spans="1:2" ht="15" thickTop="1">
      <c r="A59" s="2366" t="s">
        <v>1962</v>
      </c>
      <c r="B59" s="2367" t="str">
        <f>'预评函-3'!A8</f>
        <v>2.本《评估意见函》仅供金融机构进行内部审核使用，不做其他目的之用。</v>
      </c>
    </row>
    <row r="60" spans="1:2">
      <c r="A60" s="2355" t="s">
        <v>1963</v>
      </c>
      <c r="B60" s="2356" t="str">
        <f>'预评函-3'!A9</f>
        <v>3.抵押双方在办理抵押登记手续时，应使用本公司出具的正式《土地估价报告》，特提请报告使用者注意。</v>
      </c>
    </row>
    <row r="61" spans="1:2">
      <c r="A61" s="2355" t="s">
        <v>1965</v>
      </c>
      <c r="B61" s="2356" t="str">
        <f>'预评函-3'!A10</f>
        <v>4.估价师所知悉的法定优先受偿款情况为：</v>
      </c>
    </row>
    <row r="62" spans="1:2">
      <c r="A62" s="2355" t="s">
        <v>1964</v>
      </c>
      <c r="B62" s="2356"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1966</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1967</v>
      </c>
      <c r="B64" s="2361" t="str">
        <f>'预评函-3'!A13</f>
        <v>（3）。</v>
      </c>
    </row>
    <row r="65" spans="1:2">
      <c r="A65" s="2355" t="s">
        <v>1968</v>
      </c>
      <c r="B65" s="2362" t="str">
        <f>'预评函-3'!A14</f>
        <v>综上，本次评估估价师知悉的法定优先受偿款为人民币174万元整。</v>
      </c>
    </row>
    <row r="66" spans="1:2">
      <c r="A66" s="2355" t="s">
        <v>1969</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1970</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1973</v>
      </c>
      <c r="B68" s="2381">
        <f>'预评函-3'!D30</f>
        <v>42558</v>
      </c>
    </row>
    <row r="69" spans="1:2" ht="15" thickTop="1">
      <c r="A69" s="2366" t="s">
        <v>1971</v>
      </c>
      <c r="B69" s="2367" t="str">
        <f>'预评函-3'!A20</f>
        <v>吴薇</v>
      </c>
    </row>
    <row r="70" spans="1:2">
      <c r="A70" s="2355" t="s">
        <v>1971</v>
      </c>
      <c r="B70" s="2362">
        <f ca="1">'预评函-3'!B20</f>
        <v>2002110125</v>
      </c>
    </row>
    <row r="71" spans="1:2">
      <c r="A71" s="2355" t="s">
        <v>1972</v>
      </c>
      <c r="B71" s="2356" t="str">
        <f>'预评函-3'!A21</f>
        <v>崔锴</v>
      </c>
    </row>
    <row r="72" spans="1:2" s="2370" customFormat="1" ht="15" thickBot="1">
      <c r="A72" s="2377" t="s">
        <v>1972</v>
      </c>
      <c r="B72" s="2383">
        <f ca="1">'预评函-3'!B21</f>
        <v>2010110070</v>
      </c>
    </row>
    <row r="73" spans="1:2" ht="15" thickTop="1">
      <c r="A73" s="2366" t="s">
        <v>2031</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2032</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2033</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2063</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1"/>
  </cols>
  <sheetData>
    <row r="1" spans="1:6">
      <c r="A1" s="3278" t="s">
        <v>2671</v>
      </c>
      <c r="B1" s="3279"/>
      <c r="C1" s="3279"/>
      <c r="D1" s="3279"/>
      <c r="E1" s="3279"/>
      <c r="F1" s="3280"/>
    </row>
    <row r="2" spans="1:6">
      <c r="A2" s="3282"/>
      <c r="B2" s="3283"/>
      <c r="C2" s="3283"/>
      <c r="D2" s="3283"/>
      <c r="E2" s="3283"/>
      <c r="F2" s="3284"/>
    </row>
    <row r="3" spans="1:6">
      <c r="A3" s="3285" t="s">
        <v>2672</v>
      </c>
      <c r="B3" s="3286">
        <f>项目基本情况!D3</f>
        <v>45266</v>
      </c>
      <c r="C3" s="3287"/>
      <c r="D3" s="3287"/>
      <c r="E3" s="3287"/>
      <c r="F3" s="3284"/>
    </row>
    <row r="4" spans="1:6">
      <c r="A4" s="3285" t="s">
        <v>2673</v>
      </c>
      <c r="B4" s="3288" t="s">
        <v>2674</v>
      </c>
      <c r="C4" s="3288" t="s">
        <v>2675</v>
      </c>
      <c r="D4" s="3288" t="s">
        <v>2676</v>
      </c>
      <c r="E4" s="3288" t="s">
        <v>2677</v>
      </c>
      <c r="F4" s="3284"/>
    </row>
    <row r="5" spans="1:6">
      <c r="A5" s="3289"/>
      <c r="B5" s="3286"/>
      <c r="C5" s="3288">
        <f>ROUNDDOWN(MIN((B5-B3)/365,A5),2)</f>
        <v>-124.01</v>
      </c>
      <c r="D5" s="3290">
        <f>IF(ISERROR(ROUND(POWER(1+E5,A5-C5)*(POWER(1+E5,C5)-1)/(POWER(1+E5,A5)-1),3)),0,ROUND(POWER(1+E5,A5-C5)*(POWER(1+E5,C5)-1)/(POWER(1+E5,A5)-1),4))</f>
        <v>0</v>
      </c>
      <c r="E5" s="3291"/>
      <c r="F5" s="3284"/>
    </row>
    <row r="6" spans="1:6">
      <c r="A6" s="3289"/>
      <c r="B6" s="3286"/>
      <c r="C6" s="3288">
        <f>ROUNDDOWN(MIN((B6-B3)/365,A6),2)</f>
        <v>-124.01</v>
      </c>
      <c r="D6" s="3290">
        <f>IF(ISERROR(ROUND(POWER(1+E6,A6-C6)*(POWER(1+E6,C6)-1)/(POWER(1+E6,A6)-1),3)),0,ROUND(POWER(1+E6,A6-C6)*(POWER(1+E6,C6)-1)/(POWER(1+E6,A6)-1),4))</f>
        <v>0</v>
      </c>
      <c r="E6" s="3291"/>
      <c r="F6" s="3284"/>
    </row>
    <row r="7" spans="1:6">
      <c r="A7" s="3289"/>
      <c r="B7" s="3286"/>
      <c r="C7" s="3288">
        <f>ROUNDDOWN(MIN((B7-B3)/365,A7),2)</f>
        <v>-124.01</v>
      </c>
      <c r="D7" s="3290">
        <f>IF(ISERROR(ROUND(POWER(1+E7,A7-C7)*(POWER(1+E7,C7)-1)/(POWER(1+E7,A7)-1),3)),0,ROUND(POWER(1+E7,A7-C7)*(POWER(1+E7,C7)-1)/(POWER(1+E7,A7)-1),4))</f>
        <v>0</v>
      </c>
      <c r="E7" s="3291"/>
      <c r="F7" s="3284"/>
    </row>
    <row r="8" spans="1:6">
      <c r="A8" s="3282"/>
      <c r="B8" s="3283"/>
      <c r="C8" s="3283"/>
      <c r="D8" s="3283"/>
      <c r="E8" s="3283"/>
      <c r="F8" s="3284"/>
    </row>
    <row r="9" spans="1:6">
      <c r="A9" s="3285" t="s">
        <v>2678</v>
      </c>
      <c r="B9" s="3288"/>
      <c r="C9" s="3288"/>
      <c r="D9" s="3288"/>
      <c r="E9" s="3288"/>
      <c r="F9" s="3292"/>
    </row>
    <row r="10" spans="1:6">
      <c r="A10" s="3285" t="s">
        <v>2679</v>
      </c>
      <c r="B10" s="3288"/>
      <c r="C10" s="3288"/>
      <c r="D10" s="3288" t="s">
        <v>2677</v>
      </c>
      <c r="E10" s="3288"/>
      <c r="F10" s="3292" t="s">
        <v>2676</v>
      </c>
    </row>
    <row r="11" spans="1:6">
      <c r="A11" s="3285" t="s">
        <v>2680</v>
      </c>
      <c r="B11" s="3293"/>
      <c r="C11" s="3288" t="s">
        <v>2681</v>
      </c>
      <c r="D11" s="3294"/>
      <c r="E11" s="3288" t="s">
        <v>2682</v>
      </c>
      <c r="F11" s="3295">
        <f>ROUND(1-(1/(POWER(1+D11,B11))),4)</f>
        <v>0</v>
      </c>
    </row>
    <row r="12" spans="1:6">
      <c r="A12" s="3285" t="s">
        <v>2683</v>
      </c>
      <c r="B12" s="3293"/>
      <c r="C12" s="3288" t="s">
        <v>2684</v>
      </c>
      <c r="D12" s="3294"/>
      <c r="E12" s="3288" t="s">
        <v>2685</v>
      </c>
      <c r="F12" s="3295">
        <f>ROUND(1-(1/(POWER(1+D12,B12))),4)</f>
        <v>0</v>
      </c>
    </row>
    <row r="13" spans="1:6">
      <c r="A13" s="3285" t="s">
        <v>2686</v>
      </c>
      <c r="B13" s="3288"/>
      <c r="C13" s="3287"/>
      <c r="D13" s="3283"/>
      <c r="E13" s="3283"/>
      <c r="F13" s="3284"/>
    </row>
    <row r="14" spans="1:6">
      <c r="A14" s="3285" t="s">
        <v>2687</v>
      </c>
      <c r="B14" s="3293"/>
      <c r="C14" s="3287"/>
      <c r="D14" s="3283"/>
      <c r="E14" s="3283"/>
      <c r="F14" s="3284"/>
    </row>
    <row r="15" spans="1:6">
      <c r="A15" s="3285" t="s">
        <v>2688</v>
      </c>
      <c r="B15" s="3288" t="e">
        <f>ROUND(B14*F12/F11,2)</f>
        <v>#DIV/0!</v>
      </c>
      <c r="C15" s="3288" t="e">
        <f>ROUND(F12/F11,4)</f>
        <v>#DIV/0!</v>
      </c>
      <c r="D15" s="3283"/>
      <c r="E15" s="3283"/>
      <c r="F15" s="3284"/>
    </row>
    <row r="16" spans="1:6">
      <c r="A16" s="3285" t="s">
        <v>2689</v>
      </c>
      <c r="B16" s="3288"/>
      <c r="C16" s="3287"/>
      <c r="D16" s="3283"/>
      <c r="E16" s="3283"/>
      <c r="F16" s="3284"/>
    </row>
    <row r="17" spans="1:7">
      <c r="A17" s="3285" t="s">
        <v>2688</v>
      </c>
      <c r="B17" s="3294"/>
      <c r="C17" s="3287"/>
      <c r="D17" s="3283"/>
      <c r="E17" s="3283"/>
      <c r="F17" s="3284"/>
    </row>
    <row r="18" spans="1:7" ht="14.25" thickBot="1">
      <c r="A18" s="3296" t="s">
        <v>2687</v>
      </c>
      <c r="B18" s="3297" t="e">
        <f>ROUND(B17*F11/F12,2)</f>
        <v>#DIV/0!</v>
      </c>
      <c r="C18" s="3297" t="e">
        <f>ROUND(F11/F12,4)</f>
        <v>#DIV/0!</v>
      </c>
      <c r="D18" s="3298"/>
      <c r="E18" s="3298"/>
      <c r="F18" s="3299"/>
    </row>
    <row r="19" spans="1:7" ht="14.25" thickBot="1"/>
    <row r="20" spans="1:7">
      <c r="A20" s="3300" t="s">
        <v>2690</v>
      </c>
      <c r="B20" s="3301"/>
      <c r="C20" s="3301"/>
      <c r="D20" s="3301"/>
      <c r="E20" s="3301"/>
      <c r="F20" s="3301"/>
      <c r="G20" s="3302"/>
    </row>
    <row r="21" spans="1:7">
      <c r="A21" s="3303"/>
      <c r="B21" s="3304" t="s">
        <v>2691</v>
      </c>
      <c r="C21" s="3304" t="s">
        <v>2692</v>
      </c>
      <c r="D21" s="3304" t="s">
        <v>2693</v>
      </c>
      <c r="E21" s="3304" t="s">
        <v>2694</v>
      </c>
      <c r="F21" s="3304" t="s">
        <v>2695</v>
      </c>
      <c r="G21" s="3305" t="s">
        <v>2696</v>
      </c>
    </row>
    <row r="22" spans="1:7">
      <c r="A22" s="3303" t="s">
        <v>2697</v>
      </c>
      <c r="B22" s="3306">
        <v>50</v>
      </c>
      <c r="C22" s="3306">
        <v>32</v>
      </c>
      <c r="D22" s="3307">
        <v>0.05</v>
      </c>
      <c r="E22" s="3304">
        <f>ROUND(POWER(1+D22,B22-C22)*(POWER(1+D22,C22)-1)/(POWER(1+D22,B22)-1),3)</f>
        <v>0.86599999999999999</v>
      </c>
      <c r="F22" s="3307">
        <v>0.6</v>
      </c>
      <c r="G22" s="3305">
        <f>ROUND(100*(1-(1-E22)*F22),1)</f>
        <v>92</v>
      </c>
    </row>
    <row r="23" spans="1:7">
      <c r="A23" s="3308" t="s">
        <v>2698</v>
      </c>
      <c r="B23" s="3306">
        <v>50</v>
      </c>
      <c r="C23" s="3306">
        <v>35</v>
      </c>
      <c r="D23" s="3307">
        <v>0.05</v>
      </c>
      <c r="E23" s="3304">
        <f>ROUND(POWER(1+D23,B23-C23)*(POWER(1+D23,C23)-1)/(POWER(1+D23,B23)-1),3)</f>
        <v>0.89700000000000002</v>
      </c>
      <c r="F23" s="3307">
        <f>F22</f>
        <v>0.6</v>
      </c>
      <c r="G23" s="3305">
        <f>ROUND(100*(1-(1-E23)*F23),1)</f>
        <v>93.8</v>
      </c>
    </row>
    <row r="24" spans="1:7">
      <c r="A24" s="3308" t="s">
        <v>2699</v>
      </c>
      <c r="B24" s="3306">
        <v>50</v>
      </c>
      <c r="C24" s="3306">
        <v>25</v>
      </c>
      <c r="D24" s="3307">
        <v>0.05</v>
      </c>
      <c r="E24" s="3304">
        <f>ROUND(POWER(1+D24,B24-C24)*(POWER(1+D24,C24)-1)/(POWER(1+D24,B24)-1),3)</f>
        <v>0.77200000000000002</v>
      </c>
      <c r="F24" s="3307">
        <f>F23</f>
        <v>0.6</v>
      </c>
      <c r="G24" s="3305">
        <f>ROUND(100*(1-(1-E24)*F24),1)</f>
        <v>86.3</v>
      </c>
    </row>
    <row r="25" spans="1:7">
      <c r="A25" s="3308" t="s">
        <v>2700</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2701</v>
      </c>
      <c r="B27" s="3313"/>
      <c r="C27" s="3313"/>
      <c r="D27" s="3313"/>
      <c r="E27" s="3313"/>
      <c r="F27" s="3313"/>
      <c r="G27" s="3314"/>
    </row>
    <row r="28" spans="1:7">
      <c r="A28" s="3312" t="s">
        <v>2702</v>
      </c>
      <c r="B28" s="3313"/>
      <c r="C28" s="3313"/>
      <c r="D28" s="3313"/>
      <c r="E28" s="3313"/>
      <c r="F28" s="3313"/>
      <c r="G28" s="3314"/>
    </row>
    <row r="29" spans="1:7">
      <c r="A29" s="3312" t="s">
        <v>2703</v>
      </c>
      <c r="B29" s="3313"/>
      <c r="C29" s="3313"/>
      <c r="D29" s="3313"/>
      <c r="E29" s="3313"/>
      <c r="F29" s="3313"/>
      <c r="G29" s="3314"/>
    </row>
    <row r="30" spans="1:7">
      <c r="A30" s="3312" t="s">
        <v>2704</v>
      </c>
      <c r="B30" s="3313"/>
      <c r="C30" s="3313"/>
      <c r="D30" s="3313"/>
      <c r="E30" s="3313"/>
      <c r="F30" s="3313"/>
      <c r="G30" s="3314"/>
    </row>
    <row r="31" spans="1:7">
      <c r="A31" s="3312" t="s">
        <v>2705</v>
      </c>
      <c r="B31" s="3313"/>
      <c r="C31" s="3313"/>
      <c r="D31" s="3313"/>
      <c r="E31" s="3313"/>
      <c r="F31" s="3313"/>
      <c r="G31" s="3314"/>
    </row>
    <row r="32" spans="1:7">
      <c r="A32" s="3312" t="s">
        <v>2706</v>
      </c>
      <c r="B32" s="3313"/>
      <c r="C32" s="3313"/>
      <c r="D32" s="3313"/>
      <c r="E32" s="3313"/>
      <c r="F32" s="3313"/>
      <c r="G32" s="3314"/>
    </row>
    <row r="33" spans="1:7">
      <c r="A33" s="3312" t="s">
        <v>2707</v>
      </c>
      <c r="B33" s="3313"/>
      <c r="C33" s="3313"/>
      <c r="D33" s="3313"/>
      <c r="E33" s="3313"/>
      <c r="F33" s="3313"/>
      <c r="G33" s="3314"/>
    </row>
    <row r="34" spans="1:7">
      <c r="A34" s="3312" t="s">
        <v>2708</v>
      </c>
      <c r="B34" s="3313"/>
      <c r="C34" s="3313"/>
      <c r="D34" s="3313"/>
      <c r="E34" s="3313"/>
      <c r="F34" s="3313"/>
      <c r="G34" s="3314"/>
    </row>
    <row r="35" spans="1:7">
      <c r="A35" s="3312" t="s">
        <v>2709</v>
      </c>
      <c r="B35" s="3313"/>
      <c r="C35" s="3313"/>
      <c r="D35" s="3313"/>
      <c r="E35" s="3313"/>
      <c r="F35" s="3313"/>
      <c r="G35" s="3314"/>
    </row>
    <row r="36" spans="1:7">
      <c r="A36" s="3312" t="s">
        <v>2710</v>
      </c>
      <c r="B36" s="3313"/>
      <c r="C36" s="3313"/>
      <c r="D36" s="3313"/>
      <c r="E36" s="3313"/>
      <c r="F36" s="3313"/>
      <c r="G36" s="3314"/>
    </row>
    <row r="37" spans="1:7">
      <c r="A37" s="3312" t="s">
        <v>2711</v>
      </c>
      <c r="B37" s="3313"/>
      <c r="C37" s="3313"/>
      <c r="D37" s="3313"/>
      <c r="E37" s="3313"/>
      <c r="F37" s="3313"/>
      <c r="G37" s="3314"/>
    </row>
    <row r="38" spans="1:7">
      <c r="A38" s="3312" t="s">
        <v>2712</v>
      </c>
      <c r="B38" s="3313"/>
      <c r="C38" s="3313"/>
      <c r="D38" s="3313"/>
      <c r="E38" s="3313"/>
      <c r="F38" s="3313"/>
      <c r="G38" s="3314"/>
    </row>
    <row r="39" spans="1:7">
      <c r="A39" s="3312"/>
      <c r="B39" s="3313"/>
      <c r="C39" s="3313"/>
      <c r="D39" s="3313"/>
      <c r="E39" s="3313"/>
      <c r="F39" s="3313"/>
      <c r="G39" s="3314"/>
    </row>
    <row r="40" spans="1:7">
      <c r="A40" s="3315" t="s">
        <v>2713</v>
      </c>
      <c r="B40" s="3316"/>
      <c r="C40" s="3316"/>
      <c r="D40" s="3316"/>
      <c r="E40" s="3316"/>
      <c r="F40" s="3316"/>
      <c r="G40" s="3317"/>
    </row>
    <row r="41" spans="1:7">
      <c r="A41" s="3318" t="s">
        <v>2714</v>
      </c>
      <c r="B41" s="3319" t="s">
        <v>2715</v>
      </c>
      <c r="C41" s="3320" t="s">
        <v>2716</v>
      </c>
      <c r="D41" s="3320" t="s">
        <v>2717</v>
      </c>
      <c r="E41" s="3321"/>
      <c r="F41" s="3322"/>
      <c r="G41" s="3323"/>
    </row>
    <row r="42" spans="1:7">
      <c r="A42" s="3318" t="s">
        <v>2718</v>
      </c>
      <c r="B42" s="3319" t="s">
        <v>2719</v>
      </c>
      <c r="C42" s="3320" t="s">
        <v>2719</v>
      </c>
      <c r="D42" s="3324" t="s">
        <v>2720</v>
      </c>
      <c r="E42" s="3316" t="s">
        <v>2721</v>
      </c>
      <c r="F42" s="3316"/>
      <c r="G42" s="3317"/>
    </row>
    <row r="43" spans="1:7">
      <c r="A43" s="3318" t="s">
        <v>2722</v>
      </c>
      <c r="B43" s="3319" t="s">
        <v>2723</v>
      </c>
      <c r="C43" s="3320" t="s">
        <v>2724</v>
      </c>
      <c r="D43" s="3320" t="s">
        <v>2725</v>
      </c>
      <c r="E43" s="3321" t="s">
        <v>2726</v>
      </c>
      <c r="F43" s="3322"/>
      <c r="G43" s="3323"/>
    </row>
    <row r="44" spans="1:7">
      <c r="A44" s="3318" t="s">
        <v>2727</v>
      </c>
      <c r="B44" s="3319" t="s">
        <v>2728</v>
      </c>
      <c r="C44" s="3320" t="s">
        <v>2729</v>
      </c>
      <c r="D44" s="3324">
        <v>0.5</v>
      </c>
      <c r="E44" s="3321" t="s">
        <v>2730</v>
      </c>
      <c r="F44" s="3322"/>
      <c r="G44" s="3323"/>
    </row>
    <row r="45" spans="1:7" ht="14.25" thickBot="1">
      <c r="A45" s="3325" t="s">
        <v>2731</v>
      </c>
      <c r="B45" s="3326" t="s">
        <v>2719</v>
      </c>
      <c r="C45" s="3327" t="s">
        <v>2719</v>
      </c>
      <c r="D45" s="3327" t="s">
        <v>2732</v>
      </c>
      <c r="E45" s="3328" t="s">
        <v>2733</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I18" sqref="I18"/>
    </sheetView>
  </sheetViews>
  <sheetFormatPr defaultColWidth="10" defaultRowHeight="14.25"/>
  <cols>
    <col min="1" max="1" width="15.375" style="1486" customWidth="1"/>
    <col min="2" max="2" width="18.75" style="1486" customWidth="1"/>
    <col min="3" max="8" width="13.125" style="1486" customWidth="1"/>
    <col min="9" max="9" width="13.125" style="1487" customWidth="1"/>
    <col min="10" max="10" width="10" style="1486"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6"/>
  </cols>
  <sheetData>
    <row r="1" spans="1:21" ht="15" thickBot="1">
      <c r="A1" s="1461" t="s">
        <v>1457</v>
      </c>
      <c r="B1" s="3752" t="str">
        <f>IF(B10="北京市","北京市",C10)&amp;F10&amp;A17&amp;"国有建设用地使用权"&amp;B9&amp;"预评估"</f>
        <v>北京市通州区梨园镇东小马土地一级开发项目出让国有建设用地使用权市场价格预评估</v>
      </c>
      <c r="C1" s="3753"/>
      <c r="D1" s="3753"/>
      <c r="E1" s="3753"/>
      <c r="F1" s="3753"/>
      <c r="G1" s="3753"/>
      <c r="H1" s="3753"/>
      <c r="I1" s="3754"/>
      <c r="J1" s="2813"/>
      <c r="K1" s="2105" t="str">
        <f>IF(B10="北京市","北京市",C10)&amp;F10&amp;A17&amp;"国有建设用地使用权"&amp;B9</f>
        <v>北京市通州区梨园镇东小马土地一级开发项目出让国有建设用地使用权市场价格</v>
      </c>
      <c r="L1" s="2792"/>
      <c r="M1" s="2792"/>
      <c r="N1" s="2793"/>
      <c r="O1" s="2794"/>
      <c r="P1" s="2793"/>
      <c r="Q1" s="2793"/>
      <c r="R1" s="2793"/>
      <c r="S1" s="2793"/>
      <c r="T1" s="2793"/>
      <c r="U1" s="2793"/>
    </row>
    <row r="2" spans="1:21">
      <c r="A2" s="1462" t="s">
        <v>1458</v>
      </c>
      <c r="B2" s="1624"/>
      <c r="D2" s="2813"/>
      <c r="E2" s="2813"/>
      <c r="F2" s="2813"/>
      <c r="G2" s="2813"/>
      <c r="H2" s="2814"/>
      <c r="I2" s="2815"/>
      <c r="J2" s="2813"/>
      <c r="K2" s="2105" t="str">
        <f>IF(B10="北京市","北京市",C10)&amp;F10&amp;A17&amp;"国有建设用地使用权"</f>
        <v>北京市通州区梨园镇东小马土地一级开发项目出让国有建设用地使用权</v>
      </c>
      <c r="L2" s="2792"/>
      <c r="M2" s="2792"/>
      <c r="N2" s="2793"/>
      <c r="O2" s="2794"/>
      <c r="P2" s="2793"/>
      <c r="Q2" s="2793"/>
      <c r="R2" s="2793"/>
      <c r="S2" s="2793"/>
      <c r="T2" s="2793"/>
      <c r="U2" s="2793"/>
    </row>
    <row r="3" spans="1:21">
      <c r="A3" s="1463" t="s">
        <v>1459</v>
      </c>
      <c r="B3" s="1464">
        <v>45266</v>
      </c>
      <c r="C3" s="2736" t="s">
        <v>1512</v>
      </c>
      <c r="D3" s="1464">
        <f>B3</f>
        <v>45266</v>
      </c>
      <c r="E3" s="2813"/>
      <c r="F3" s="2813"/>
      <c r="G3" s="2813"/>
      <c r="H3" s="2814"/>
      <c r="I3" s="2815"/>
      <c r="J3" s="2813"/>
      <c r="K3" s="2796"/>
      <c r="L3" s="2792"/>
      <c r="M3" s="2792"/>
      <c r="N3" s="2793"/>
      <c r="O3" s="2794"/>
      <c r="P3" s="2793"/>
      <c r="Q3" s="2793"/>
      <c r="R3" s="2793"/>
      <c r="S3" s="2793"/>
      <c r="T3" s="2793"/>
      <c r="U3" s="2793"/>
    </row>
    <row r="4" spans="1:21" ht="15" thickBot="1">
      <c r="A4" s="1466" t="s">
        <v>1460</v>
      </c>
      <c r="B4" s="1625" t="s">
        <v>3553</v>
      </c>
      <c r="C4" s="1628">
        <f ca="1">SUMIF(土地估价师,B4,估价师及机构信息!E3:E17)</f>
        <v>2002110125</v>
      </c>
      <c r="D4" s="1625" t="s">
        <v>3554</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吴薇、崔锴</v>
      </c>
      <c r="L4" s="2792"/>
      <c r="M4" s="2792"/>
      <c r="N4" s="2793"/>
      <c r="O4" s="2794"/>
      <c r="P4" s="2793"/>
      <c r="Q4" s="2793"/>
      <c r="R4" s="2793"/>
      <c r="S4" s="2793"/>
      <c r="T4" s="2793"/>
      <c r="U4" s="2793"/>
    </row>
    <row r="5" spans="1:21" ht="15" thickTop="1">
      <c r="A5" s="1467" t="s">
        <v>1461</v>
      </c>
      <c r="B5" s="1573"/>
      <c r="C5" s="1468"/>
      <c r="D5" s="1469"/>
      <c r="E5" s="2813"/>
      <c r="F5" s="2813"/>
      <c r="G5" s="2813"/>
      <c r="H5" s="2814"/>
      <c r="I5" s="2815"/>
      <c r="J5" s="2813"/>
      <c r="K5" s="2796"/>
      <c r="L5" s="2792"/>
      <c r="M5" s="2792"/>
      <c r="N5" s="2793"/>
      <c r="O5" s="2794"/>
      <c r="P5" s="2793"/>
      <c r="Q5" s="2793"/>
      <c r="R5" s="2793"/>
      <c r="S5" s="2793"/>
      <c r="T5" s="2793"/>
      <c r="U5" s="2793"/>
    </row>
    <row r="6" spans="1:21">
      <c r="A6" s="1465" t="s">
        <v>1987</v>
      </c>
      <c r="B6" s="1573"/>
      <c r="C6" s="1548"/>
      <c r="D6" s="1470"/>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1" t="s">
        <v>1988</v>
      </c>
      <c r="B7" s="1573"/>
      <c r="C7" s="1548"/>
      <c r="D7" s="1470"/>
      <c r="E7" s="2813"/>
      <c r="F7" s="2813"/>
      <c r="G7" s="2813"/>
      <c r="H7" s="2814"/>
      <c r="I7" s="2815"/>
      <c r="J7" s="2813"/>
      <c r="K7" s="2796"/>
      <c r="L7" s="2792"/>
      <c r="M7" s="2792"/>
      <c r="N7" s="2793"/>
      <c r="O7" s="2794"/>
      <c r="P7" s="2793"/>
      <c r="Q7" s="2793"/>
      <c r="R7" s="2793"/>
      <c r="S7" s="2793"/>
      <c r="T7" s="2793"/>
      <c r="U7" s="2793"/>
    </row>
    <row r="8" spans="1:21">
      <c r="A8" s="2737" t="s">
        <v>1462</v>
      </c>
      <c r="B8" s="1472" t="s">
        <v>3211</v>
      </c>
      <c r="C8" s="1473"/>
      <c r="D8" s="3758" t="s">
        <v>1464</v>
      </c>
      <c r="E8" s="1626" t="s">
        <v>3258</v>
      </c>
      <c r="F8" s="1474"/>
      <c r="G8" s="2814"/>
      <c r="H8" s="2814"/>
      <c r="I8" s="2817"/>
      <c r="J8" s="2813"/>
      <c r="K8" s="2796"/>
      <c r="L8" s="2792"/>
      <c r="M8" s="2792"/>
      <c r="N8" s="2793"/>
      <c r="O8" s="2794"/>
      <c r="P8" s="2793"/>
      <c r="Q8" s="2793"/>
      <c r="R8" s="2793"/>
      <c r="S8" s="2793"/>
      <c r="T8" s="2793"/>
      <c r="U8" s="2793"/>
    </row>
    <row r="9" spans="1:21" ht="15" thickBot="1">
      <c r="A9" s="2738" t="s">
        <v>1463</v>
      </c>
      <c r="B9" s="1475" t="s">
        <v>3555</v>
      </c>
      <c r="C9" s="1476"/>
      <c r="D9" s="3759"/>
      <c r="E9" s="1475" t="s">
        <v>877</v>
      </c>
      <c r="F9" s="1534"/>
      <c r="G9" s="2818"/>
      <c r="H9" s="2818"/>
      <c r="I9" s="2819"/>
      <c r="J9" s="2813"/>
      <c r="K9" s="2796"/>
      <c r="L9" s="2792"/>
      <c r="M9" s="2792"/>
      <c r="N9" s="2793"/>
      <c r="O9" s="2794"/>
      <c r="P9" s="2793"/>
      <c r="Q9" s="2793"/>
      <c r="R9" s="2793"/>
      <c r="S9" s="2793"/>
      <c r="T9" s="2793"/>
      <c r="U9" s="2793"/>
    </row>
    <row r="10" spans="1:21" ht="15" thickTop="1">
      <c r="A10" s="2739" t="s">
        <v>1516</v>
      </c>
      <c r="B10" s="1512" t="s">
        <v>1465</v>
      </c>
      <c r="C10" s="1477"/>
      <c r="D10" s="1469"/>
      <c r="E10" s="1478" t="s">
        <v>1466</v>
      </c>
      <c r="F10" s="1479" t="s">
        <v>3556</v>
      </c>
      <c r="G10" s="1532"/>
      <c r="H10" s="1533"/>
      <c r="I10" s="1469"/>
      <c r="J10" s="2813"/>
      <c r="K10" s="2796"/>
      <c r="L10" s="2792"/>
      <c r="M10" s="2792"/>
      <c r="N10" s="2793"/>
      <c r="O10" s="2794"/>
      <c r="P10" s="2793"/>
      <c r="Q10" s="2793"/>
      <c r="R10" s="2793"/>
      <c r="S10" s="2793"/>
      <c r="T10" s="2793"/>
      <c r="U10" s="2793"/>
    </row>
    <row r="11" spans="1:21" ht="42.75">
      <c r="A11" s="2740" t="s">
        <v>1517</v>
      </c>
      <c r="B11" s="1492" t="s">
        <v>3259</v>
      </c>
      <c r="C11" s="1480" t="s">
        <v>3557</v>
      </c>
      <c r="D11" s="1549"/>
      <c r="E11" s="2812"/>
      <c r="F11" s="2812"/>
      <c r="G11" s="2812"/>
      <c r="H11" s="2812"/>
      <c r="I11" s="2812"/>
      <c r="J11" s="2813"/>
      <c r="K11" s="2796"/>
      <c r="L11" s="2792"/>
      <c r="M11" s="2792"/>
      <c r="N11" s="2793"/>
      <c r="O11" s="2794"/>
      <c r="P11" s="2793"/>
      <c r="Q11" s="2793"/>
      <c r="R11" s="2793"/>
      <c r="S11" s="2793"/>
      <c r="T11" s="2793"/>
      <c r="U11" s="2793"/>
    </row>
    <row r="12" spans="1:21">
      <c r="A12" s="1569" t="s">
        <v>1575</v>
      </c>
      <c r="B12" s="3755"/>
      <c r="C12" s="3756"/>
      <c r="D12" s="3757"/>
      <c r="E12" s="1493" t="s">
        <v>1578</v>
      </c>
      <c r="F12" s="3773" t="s">
        <v>2161</v>
      </c>
      <c r="G12" s="3774"/>
      <c r="H12" s="3774"/>
      <c r="I12" s="3775"/>
      <c r="J12" s="2813"/>
      <c r="K12" s="2796"/>
      <c r="L12" s="2792"/>
      <c r="M12" s="2792"/>
      <c r="N12" s="2793"/>
      <c r="O12" s="2794"/>
      <c r="P12" s="2793"/>
      <c r="Q12" s="2793"/>
      <c r="R12" s="2793"/>
      <c r="S12" s="2793"/>
      <c r="T12" s="2793"/>
      <c r="U12" s="2793"/>
    </row>
    <row r="13" spans="1:21">
      <c r="A13" s="1484" t="s">
        <v>1576</v>
      </c>
      <c r="B13" s="3755"/>
      <c r="C13" s="3756"/>
      <c r="D13" s="3757"/>
      <c r="E13" s="1493" t="s">
        <v>1578</v>
      </c>
      <c r="F13" s="3773" t="s">
        <v>2162</v>
      </c>
      <c r="G13" s="3774"/>
      <c r="H13" s="3774"/>
      <c r="I13" s="3775"/>
      <c r="J13" s="2813"/>
      <c r="K13" s="2796"/>
      <c r="L13" s="2792"/>
      <c r="M13" s="2792"/>
      <c r="N13" s="2793"/>
      <c r="O13" s="2794"/>
      <c r="P13" s="2793"/>
      <c r="Q13" s="2793"/>
      <c r="R13" s="2793"/>
      <c r="S13" s="2793"/>
      <c r="T13" s="2793"/>
      <c r="U13" s="2793"/>
    </row>
    <row r="14" spans="1:21">
      <c r="A14" s="1463" t="s">
        <v>1579</v>
      </c>
      <c r="B14" s="1493"/>
      <c r="C14" s="1627" t="s">
        <v>3558</v>
      </c>
      <c r="D14" s="1526" t="str">
        <f>IF(C14="不一致","是否符合证载地类范围","")</f>
        <v/>
      </c>
      <c r="E14" s="1493"/>
      <c r="F14" s="1574" t="s">
        <v>3559</v>
      </c>
      <c r="G14" s="1521"/>
      <c r="H14" s="1521"/>
      <c r="I14" s="1620"/>
      <c r="J14" s="2813"/>
      <c r="K14" s="2796"/>
      <c r="L14" s="2792"/>
      <c r="M14" s="2792"/>
      <c r="N14" s="2793"/>
      <c r="O14" s="2794"/>
      <c r="P14" s="2793"/>
      <c r="Q14" s="2793"/>
      <c r="R14" s="2793"/>
      <c r="S14" s="2793"/>
      <c r="T14" s="2793"/>
      <c r="U14" s="2793"/>
    </row>
    <row r="15" spans="1:21">
      <c r="A15" s="2248"/>
      <c r="B15" s="1465"/>
      <c r="C15" s="3277" t="s">
        <v>1469</v>
      </c>
      <c r="D15" s="3277" t="s">
        <v>1470</v>
      </c>
      <c r="E15" s="3277" t="s">
        <v>1179</v>
      </c>
      <c r="F15" s="1483" t="s">
        <v>1471</v>
      </c>
      <c r="G15" s="1483" t="s">
        <v>1472</v>
      </c>
      <c r="H15" s="1483" t="s">
        <v>776</v>
      </c>
      <c r="I15" s="1483" t="s">
        <v>2735</v>
      </c>
      <c r="J15" s="2813"/>
      <c r="K15" s="2796"/>
      <c r="L15" s="2792"/>
      <c r="M15" s="2792"/>
      <c r="N15" s="2793"/>
      <c r="O15" s="2794"/>
      <c r="P15" s="2793"/>
      <c r="Q15" s="2793"/>
      <c r="R15" s="2793"/>
      <c r="S15" s="2793"/>
      <c r="T15" s="2793"/>
      <c r="U15" s="2793"/>
    </row>
    <row r="16" spans="1:21" ht="42.75">
      <c r="A16" s="2741" t="s">
        <v>1467</v>
      </c>
      <c r="B16" s="1493" t="s">
        <v>1468</v>
      </c>
      <c r="C16" s="3277" t="s">
        <v>1469</v>
      </c>
      <c r="D16" s="1515" t="s">
        <v>2736</v>
      </c>
      <c r="E16" s="1515" t="s">
        <v>1212</v>
      </c>
      <c r="F16" s="1515" t="s">
        <v>2737</v>
      </c>
      <c r="G16" s="1515" t="s">
        <v>2738</v>
      </c>
      <c r="H16" s="1483" t="s">
        <v>776</v>
      </c>
      <c r="I16" s="1483" t="s">
        <v>2735</v>
      </c>
      <c r="J16" s="2813"/>
      <c r="K16" s="2106" t="str">
        <f>IF(D17="","",D16&amp;TEXT(D17,"yyyy年m月d日;;"))</f>
        <v>商业2063年2月7日</v>
      </c>
      <c r="L16" s="1493" t="str">
        <f>IF(OR(K16="",M16=""),"","、")</f>
        <v>、</v>
      </c>
      <c r="M16" s="2106" t="str">
        <f>IF(E17="","",E16&amp;TEXT(E17,"yyyy年m月d日;;"))</f>
        <v>办公2073年2月7日</v>
      </c>
      <c r="N16" s="1493" t="str">
        <f>IF(OR(M16="",O16=""),"","、")</f>
        <v>、</v>
      </c>
      <c r="O16" s="2106" t="str">
        <f>IF(F17="","",F16&amp;TEXT(F17,"yyyy年m月d日;;"))</f>
        <v>车库2073年2月7日</v>
      </c>
      <c r="P16" s="1493" t="str">
        <f>IF(OR(O16="",Q16=""),"","、")</f>
        <v/>
      </c>
      <c r="Q16" s="2106" t="str">
        <f>IF(G17="","",G16&amp;TEXT(G17,"yyyy年m月d日;;"))</f>
        <v/>
      </c>
      <c r="R16" s="1493" t="str">
        <f>IF(OR(Q16="",S16=""),"","、")</f>
        <v/>
      </c>
      <c r="S16" s="2106" t="str">
        <f>IF(H17="","",H16&amp;TEXT(H17,"yyyy年m月d日;;"))</f>
        <v/>
      </c>
      <c r="T16" s="1493" t="str">
        <f>IF(OR(S16="",U16=""),"","、")</f>
        <v/>
      </c>
      <c r="U16" s="2106" t="str">
        <f>IF(I17="","",I16&amp;TEXT(I17,"yyyy年m月d日;;"))</f>
        <v>公共服务2073年2月7日</v>
      </c>
    </row>
    <row r="17" spans="1:21">
      <c r="A17" s="3331" t="s">
        <v>2739</v>
      </c>
      <c r="B17" s="2742" t="s">
        <v>1473</v>
      </c>
      <c r="C17" s="3330"/>
      <c r="D17" s="3330">
        <v>59574</v>
      </c>
      <c r="E17" s="3330">
        <v>63227</v>
      </c>
      <c r="F17" s="3330">
        <f>E17</f>
        <v>63227</v>
      </c>
      <c r="G17" s="3330"/>
      <c r="H17" s="3330"/>
      <c r="I17" s="3330">
        <f>F17</f>
        <v>63227</v>
      </c>
      <c r="J17" s="2813"/>
      <c r="K17" s="2791" t="str">
        <f>CONCATENATE(K16,L16,M16,N16,O16,P16,Q16,R16,S16,T16,,U16)</f>
        <v>商业2063年2月7日、办公2073年2月7日、车库2073年2月7日公共服务2073年2月7日</v>
      </c>
      <c r="L17" s="2792"/>
      <c r="M17" s="2792"/>
      <c r="N17" s="2793"/>
      <c r="O17" s="2794"/>
      <c r="P17" s="2793"/>
      <c r="Q17" s="2793"/>
      <c r="R17" s="2793"/>
      <c r="S17" s="2793"/>
      <c r="T17" s="2793"/>
      <c r="U17" s="2793"/>
    </row>
    <row r="18" spans="1:21">
      <c r="A18" s="1550"/>
      <c r="B18" s="2742" t="s">
        <v>1474</v>
      </c>
      <c r="C18" s="1481"/>
      <c r="D18" s="1481">
        <v>40</v>
      </c>
      <c r="E18" s="1481">
        <v>50</v>
      </c>
      <c r="F18" s="1481">
        <v>50</v>
      </c>
      <c r="G18" s="1481"/>
      <c r="H18" s="1481"/>
      <c r="I18" s="1481">
        <v>50</v>
      </c>
      <c r="J18" s="2813"/>
      <c r="K18" s="2796"/>
      <c r="L18" s="2792"/>
      <c r="M18" s="2792"/>
      <c r="N18" s="2793"/>
      <c r="O18" s="2794"/>
      <c r="P18" s="2793"/>
      <c r="Q18" s="2793"/>
      <c r="R18" s="2793"/>
      <c r="S18" s="2793"/>
      <c r="T18" s="2793"/>
      <c r="U18" s="2793"/>
    </row>
    <row r="19" spans="1:21">
      <c r="A19" s="1550"/>
      <c r="B19" s="1462" t="s">
        <v>1475</v>
      </c>
      <c r="C19" s="1545" t="str">
        <f>IF(A17="出让",IF(C17="","",ROUNDDOWN(MIN((C17-$D$3)/365,C18),2)),C18)</f>
        <v/>
      </c>
      <c r="D19" s="1545">
        <f>IF(A17="出让",IF(D17="","",ROUNDDOWN(MIN((D17-$D$3)/365,D18),2)),D18)</f>
        <v>39.200000000000003</v>
      </c>
      <c r="E19" s="1482">
        <f>IF(A17="出让",IF(E17="","",ROUNDDOWN(MIN((E17-$D$3)/365,E18),2)),E18)</f>
        <v>49.2</v>
      </c>
      <c r="F19" s="1482">
        <f>IF(A17="出让",IF(F17="","",ROUNDDOWN(MIN((F17-$D$3)/365,F18),2)),F18)</f>
        <v>49.2</v>
      </c>
      <c r="G19" s="1482" t="str">
        <f>IF(A17="出让",IF(G17="","",ROUNDDOWN(MIN((G17-$D$3)/365,G18),2)),G18)</f>
        <v/>
      </c>
      <c r="H19" s="1482" t="str">
        <f>IF(A17="出让",IF(H17="","",ROUNDDOWN(MIN((H17-$D$3)/365,H18),2)),H18)</f>
        <v/>
      </c>
      <c r="I19" s="1482">
        <f>IF(A17="出让",IF(I17="","",ROUNDDOWN(MIN((I17-$D$3)/365,I18),2)),I18)</f>
        <v>49.2</v>
      </c>
      <c r="J19" s="2813"/>
      <c r="K19" s="2796"/>
      <c r="L19" s="2792"/>
      <c r="M19" s="2792"/>
      <c r="N19" s="2793"/>
      <c r="O19" s="2794"/>
      <c r="P19" s="2793"/>
      <c r="Q19" s="2793"/>
      <c r="R19" s="2793"/>
      <c r="S19" s="2793"/>
      <c r="T19" s="2793"/>
      <c r="U19" s="2793"/>
    </row>
    <row r="20" spans="1:21">
      <c r="A20" s="1570"/>
      <c r="B20" s="1571"/>
      <c r="C20" s="1572" t="s">
        <v>1577</v>
      </c>
      <c r="D20" s="3770"/>
      <c r="E20" s="3771"/>
      <c r="F20" s="3771"/>
      <c r="G20" s="3771"/>
      <c r="H20" s="3771"/>
      <c r="I20" s="3772"/>
      <c r="J20" s="2813"/>
      <c r="K20" s="2796"/>
      <c r="L20" s="2792"/>
      <c r="M20" s="2792"/>
      <c r="N20" s="2793"/>
      <c r="O20" s="2794"/>
      <c r="P20" s="2793"/>
      <c r="Q20" s="2793"/>
      <c r="R20" s="2793"/>
      <c r="S20" s="2793"/>
      <c r="T20" s="2793"/>
      <c r="U20" s="2793"/>
    </row>
    <row r="21" spans="1:21">
      <c r="A21" s="1550" t="s">
        <v>1476</v>
      </c>
      <c r="B21" s="1551" t="s">
        <v>1477</v>
      </c>
      <c r="C21" s="1546">
        <f>'数据-汇总表'!E3</f>
        <v>45811.100000000013</v>
      </c>
      <c r="D21" s="1547" t="s">
        <v>1478</v>
      </c>
      <c r="E21" s="3760" t="s">
        <v>1515</v>
      </c>
      <c r="F21" s="3761"/>
      <c r="G21" s="3761"/>
      <c r="H21" s="3761"/>
      <c r="I21" s="3762"/>
      <c r="J21" s="2813"/>
      <c r="K21" s="2796"/>
      <c r="L21" s="2792"/>
      <c r="M21" s="2792"/>
      <c r="N21" s="2793"/>
      <c r="O21" s="2794"/>
      <c r="P21" s="2793"/>
      <c r="Q21" s="2793"/>
      <c r="R21" s="2793"/>
      <c r="S21" s="2793"/>
      <c r="T21" s="2793"/>
      <c r="U21" s="2793"/>
    </row>
    <row r="22" spans="1:21">
      <c r="A22" s="2553" t="s">
        <v>877</v>
      </c>
      <c r="B22" s="1463" t="s">
        <v>1479</v>
      </c>
      <c r="C22" s="1483">
        <f>'数据-汇总表'!D3</f>
        <v>16124.25</v>
      </c>
      <c r="D22" s="1484" t="s">
        <v>1478</v>
      </c>
      <c r="E22" s="3760" t="s">
        <v>2163</v>
      </c>
      <c r="F22" s="3761"/>
      <c r="G22" s="3761"/>
      <c r="H22" s="3761"/>
      <c r="I22" s="3762"/>
      <c r="J22" s="2813"/>
      <c r="K22" s="2796"/>
      <c r="L22" s="2792"/>
      <c r="M22" s="2792"/>
      <c r="N22" s="2793"/>
      <c r="O22" s="2794"/>
      <c r="P22" s="2793"/>
      <c r="Q22" s="2793"/>
      <c r="R22" s="2793"/>
      <c r="S22" s="2793"/>
      <c r="T22" s="2793"/>
      <c r="U22" s="2793"/>
    </row>
    <row r="23" spans="1:21" ht="29.25" thickBot="1">
      <c r="A23" s="1552" t="s">
        <v>1480</v>
      </c>
      <c r="B23" s="1494" t="s">
        <v>1481</v>
      </c>
      <c r="C23" s="1495"/>
      <c r="D23" s="1496" t="s">
        <v>1482</v>
      </c>
      <c r="E23" s="1497"/>
      <c r="F23" s="1498" t="str">
        <f>IF(AND(C23="是",E23="否"),"是否提供他项权证或相关说明","")</f>
        <v/>
      </c>
      <c r="G23" s="1499"/>
      <c r="H23" s="2813"/>
      <c r="I23" s="2817"/>
      <c r="J23" s="2813"/>
      <c r="K23" s="2796"/>
      <c r="L23" s="2792"/>
      <c r="M23" s="2792"/>
      <c r="N23" s="2793"/>
      <c r="O23" s="2794"/>
      <c r="P23" s="2793"/>
      <c r="Q23" s="2793"/>
      <c r="R23" s="2793"/>
      <c r="S23" s="2793"/>
      <c r="T23" s="2793"/>
      <c r="U23" s="2793"/>
    </row>
    <row r="24" spans="1:21">
      <c r="A24" s="1537" t="s">
        <v>1483</v>
      </c>
      <c r="B24" s="3763" t="s">
        <v>1484</v>
      </c>
      <c r="C24" s="3764"/>
      <c r="D24" s="3765" t="s">
        <v>1485</v>
      </c>
      <c r="E24" s="3766"/>
      <c r="F24" s="1501" t="s">
        <v>1486</v>
      </c>
      <c r="G24" s="2813"/>
      <c r="H24" s="2813"/>
      <c r="I24" s="2817"/>
      <c r="J24" s="2813"/>
      <c r="K24" s="3751" t="s">
        <v>1487</v>
      </c>
      <c r="L24" s="210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3"/>
      <c r="O24" s="2794"/>
      <c r="P24" s="2793"/>
      <c r="Q24" s="2793"/>
      <c r="R24" s="2793"/>
      <c r="S24" s="2793"/>
      <c r="T24" s="2793"/>
      <c r="U24" s="2793"/>
    </row>
    <row r="25" spans="1:21">
      <c r="A25" s="1538"/>
      <c r="B25" s="1535" t="s">
        <v>1681</v>
      </c>
      <c r="C25" s="1502" t="s">
        <v>1682</v>
      </c>
      <c r="D25" s="1503"/>
      <c r="E25" s="1504" t="s">
        <v>877</v>
      </c>
      <c r="F25" s="1505"/>
      <c r="G25" s="2813"/>
      <c r="H25" s="2813"/>
      <c r="I25" s="2817"/>
      <c r="J25" s="2813"/>
      <c r="K25" s="3751"/>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3"/>
      <c r="O25" s="2794"/>
      <c r="P25" s="2793"/>
      <c r="Q25" s="2793"/>
      <c r="R25" s="2793"/>
      <c r="S25" s="2793"/>
      <c r="T25" s="2793"/>
      <c r="U25" s="2793"/>
    </row>
    <row r="26" spans="1:21" ht="15" thickBot="1">
      <c r="A26" s="1539"/>
      <c r="B26" s="1536" t="s">
        <v>1488</v>
      </c>
      <c r="C26" s="1502" t="s">
        <v>1682</v>
      </c>
      <c r="D26" s="2814"/>
      <c r="E26" s="2814"/>
      <c r="F26" s="2820"/>
      <c r="G26" s="2813"/>
      <c r="H26" s="2813"/>
      <c r="I26" s="2817"/>
      <c r="J26" s="2813"/>
      <c r="K26" s="3751"/>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3"/>
      <c r="O26" s="2794"/>
      <c r="P26" s="2793"/>
      <c r="Q26" s="2793"/>
      <c r="R26" s="2793"/>
      <c r="S26" s="2793"/>
      <c r="T26" s="2793"/>
      <c r="U26" s="2793"/>
    </row>
    <row r="27" spans="1:21">
      <c r="A27" s="1542" t="s">
        <v>1489</v>
      </c>
      <c r="B27" s="1540" t="s">
        <v>1490</v>
      </c>
      <c r="C27" s="1506"/>
      <c r="D27" s="2253" t="s">
        <v>1490</v>
      </c>
      <c r="E27" s="1507"/>
      <c r="F27" s="2820"/>
      <c r="G27" s="2813"/>
      <c r="H27" s="2813"/>
      <c r="I27" s="2817"/>
      <c r="J27" s="2813"/>
      <c r="K27" s="2796"/>
      <c r="L27" s="2792"/>
      <c r="M27" s="2792"/>
      <c r="N27" s="2793"/>
      <c r="O27" s="2794"/>
      <c r="P27" s="2793"/>
      <c r="Q27" s="2793"/>
      <c r="R27" s="2793"/>
      <c r="S27" s="2793"/>
      <c r="T27" s="2793"/>
      <c r="U27" s="2793"/>
    </row>
    <row r="28" spans="1:21">
      <c r="A28" s="1543"/>
      <c r="B28" s="1540" t="s">
        <v>1491</v>
      </c>
      <c r="C28" s="1508"/>
      <c r="D28" s="2254" t="s">
        <v>1491</v>
      </c>
      <c r="E28" s="1509"/>
      <c r="F28" s="2820"/>
      <c r="G28" s="2813"/>
      <c r="H28" s="2813"/>
      <c r="I28" s="2817"/>
      <c r="J28" s="2813"/>
      <c r="K28" s="2796"/>
      <c r="L28" s="2792"/>
      <c r="M28" s="2792"/>
      <c r="N28" s="2793"/>
      <c r="O28" s="2794"/>
      <c r="P28" s="2793"/>
      <c r="Q28" s="2793"/>
      <c r="R28" s="2793"/>
      <c r="S28" s="2793"/>
      <c r="T28" s="2793"/>
      <c r="U28" s="2793"/>
    </row>
    <row r="29" spans="1:21">
      <c r="A29" s="1543"/>
      <c r="B29" s="1540" t="s">
        <v>1492</v>
      </c>
      <c r="C29" s="1508"/>
      <c r="D29" s="2254" t="s">
        <v>1492</v>
      </c>
      <c r="E29" s="1509"/>
      <c r="F29" s="2820"/>
      <c r="G29" s="2813"/>
      <c r="H29" s="2813"/>
      <c r="I29" s="2817"/>
      <c r="J29" s="2813"/>
      <c r="K29" s="2796"/>
      <c r="L29" s="2792"/>
      <c r="M29" s="2792"/>
      <c r="N29" s="2793"/>
      <c r="O29" s="2794"/>
      <c r="P29" s="2793"/>
      <c r="Q29" s="2793"/>
      <c r="R29" s="2793"/>
      <c r="S29" s="2793"/>
      <c r="T29" s="2793"/>
      <c r="U29" s="2793"/>
    </row>
    <row r="30" spans="1:21" ht="15" thickBot="1">
      <c r="A30" s="1544"/>
      <c r="B30" s="1541" t="s">
        <v>1493</v>
      </c>
      <c r="C30" s="1510"/>
      <c r="D30" s="2255" t="s">
        <v>1493</v>
      </c>
      <c r="E30" s="1511"/>
      <c r="F30" s="2821"/>
      <c r="G30" s="2818"/>
      <c r="H30" s="2818"/>
      <c r="I30" s="2819"/>
      <c r="J30" s="2813"/>
      <c r="K30" s="2796"/>
      <c r="L30" s="2792"/>
      <c r="M30" s="2792"/>
      <c r="N30" s="2793"/>
      <c r="O30" s="2794"/>
      <c r="P30" s="2793"/>
      <c r="Q30" s="2793"/>
      <c r="R30" s="2793"/>
      <c r="S30" s="2793"/>
      <c r="T30" s="2793"/>
      <c r="U30" s="2793"/>
    </row>
    <row r="31" spans="1:21" ht="15" thickTop="1">
      <c r="A31" s="3778" t="s">
        <v>1518</v>
      </c>
      <c r="B31" s="1551" t="s">
        <v>1519</v>
      </c>
      <c r="C31" s="3776" t="s">
        <v>3560</v>
      </c>
      <c r="D31" s="3777"/>
      <c r="E31" s="2813"/>
      <c r="F31" s="2813"/>
      <c r="G31" s="2813"/>
      <c r="H31" s="2813"/>
      <c r="I31" s="2817"/>
      <c r="J31" s="2813"/>
      <c r="K31" s="2799"/>
      <c r="L31" s="2793"/>
      <c r="M31" s="2793"/>
      <c r="N31" s="2793"/>
      <c r="O31" s="2793"/>
      <c r="P31" s="2793"/>
      <c r="Q31" s="2793"/>
      <c r="R31" s="2793"/>
      <c r="S31" s="2793"/>
      <c r="T31" s="2793"/>
      <c r="U31" s="2793"/>
    </row>
    <row r="32" spans="1:21">
      <c r="A32" s="3778"/>
      <c r="B32" s="1463" t="s">
        <v>1520</v>
      </c>
      <c r="C32" s="1512" t="s">
        <v>3561</v>
      </c>
      <c r="D32" s="1513"/>
      <c r="E32" s="2813"/>
      <c r="F32" s="2813"/>
      <c r="G32" s="2813"/>
      <c r="H32" s="2813"/>
      <c r="I32" s="2817"/>
      <c r="J32" s="2813"/>
      <c r="K32" s="2799"/>
      <c r="L32" s="2793"/>
      <c r="M32" s="2793"/>
      <c r="N32" s="2793"/>
      <c r="O32" s="2793"/>
      <c r="P32" s="2793"/>
      <c r="Q32" s="2793"/>
      <c r="R32" s="2793"/>
      <c r="S32" s="2793"/>
      <c r="T32" s="2793"/>
      <c r="U32" s="2793"/>
    </row>
    <row r="33" spans="1:28">
      <c r="A33" s="3778"/>
      <c r="B33" s="1463" t="s">
        <v>1521</v>
      </c>
      <c r="C33" s="1514"/>
      <c r="D33" s="1621"/>
      <c r="E33" s="2813"/>
      <c r="F33" s="2813"/>
      <c r="G33" s="2813"/>
      <c r="H33" s="2813"/>
      <c r="I33" s="2817"/>
      <c r="J33" s="2813"/>
      <c r="K33" s="2799"/>
      <c r="L33" s="2793"/>
      <c r="M33" s="2793"/>
      <c r="N33" s="2793"/>
      <c r="O33" s="2793"/>
      <c r="P33" s="2793"/>
      <c r="Q33" s="2793"/>
      <c r="R33" s="2793"/>
      <c r="S33" s="2793"/>
      <c r="T33" s="2793"/>
      <c r="U33" s="2793"/>
    </row>
    <row r="34" spans="1:28">
      <c r="A34" s="3779"/>
      <c r="B34" s="1463" t="s">
        <v>1522</v>
      </c>
      <c r="C34" s="3780"/>
      <c r="D34" s="3781"/>
      <c r="E34" s="2813"/>
      <c r="F34" s="2813"/>
      <c r="G34" s="2813"/>
      <c r="H34" s="2813"/>
      <c r="I34" s="2817"/>
      <c r="J34" s="2813"/>
      <c r="K34" s="2799"/>
      <c r="L34" s="2793"/>
      <c r="M34" s="2793"/>
      <c r="N34" s="2793"/>
      <c r="O34" s="2793"/>
      <c r="P34" s="2793"/>
      <c r="Q34" s="2793"/>
      <c r="R34" s="2793"/>
      <c r="S34" s="2793"/>
      <c r="T34" s="2793"/>
      <c r="U34" s="2793"/>
    </row>
    <row r="35" spans="1:28">
      <c r="A35" s="3782" t="s">
        <v>785</v>
      </c>
      <c r="B35" s="1515" t="s">
        <v>3562</v>
      </c>
      <c r="C35" s="1560" t="str">
        <f>IF(B35="场地平整","——","具体情况：")</f>
        <v>——</v>
      </c>
      <c r="D35" s="3784"/>
      <c r="E35" s="3785"/>
      <c r="F35" s="3785"/>
      <c r="G35" s="3785"/>
      <c r="H35" s="3785"/>
      <c r="I35" s="3786"/>
      <c r="J35" s="2813"/>
      <c r="K35" s="2800"/>
      <c r="L35" s="2792"/>
      <c r="M35" s="2792"/>
      <c r="N35" s="2793"/>
      <c r="O35" s="2794"/>
      <c r="P35" s="2793"/>
      <c r="Q35" s="2793"/>
      <c r="R35" s="2793"/>
      <c r="S35" s="2793"/>
      <c r="T35" s="2793"/>
      <c r="U35" s="2793"/>
    </row>
    <row r="36" spans="1:28">
      <c r="A36" s="3778"/>
      <c r="B36" s="3787" t="s">
        <v>1571</v>
      </c>
      <c r="C36" s="3788"/>
      <c r="D36" s="1576" t="s">
        <v>2770</v>
      </c>
      <c r="E36" s="3789"/>
      <c r="F36" s="3789"/>
      <c r="G36" s="1484" t="str">
        <f>IF(B35="场地未平整","估价结果处理","")</f>
        <v/>
      </c>
      <c r="H36" s="3790"/>
      <c r="I36" s="3790"/>
      <c r="J36" s="2813"/>
      <c r="K36" s="2800"/>
      <c r="L36" s="2792"/>
      <c r="M36" s="2792"/>
      <c r="N36" s="2793"/>
      <c r="O36" s="2794"/>
      <c r="P36" s="2793"/>
      <c r="Q36" s="2793"/>
      <c r="R36" s="2793"/>
      <c r="S36" s="2793"/>
      <c r="T36" s="2793"/>
      <c r="U36" s="2793"/>
    </row>
    <row r="37" spans="1:28" ht="28.5">
      <c r="A37" s="3778"/>
      <c r="B37" s="3767" t="s">
        <v>786</v>
      </c>
      <c r="C37" s="1517" t="s">
        <v>787</v>
      </c>
      <c r="D37" s="1518"/>
      <c r="E37" s="1519"/>
      <c r="F37" s="2813"/>
      <c r="G37" s="2813"/>
      <c r="H37" s="2813"/>
      <c r="I37" s="2817"/>
      <c r="J37" s="2813"/>
      <c r="K37" s="2800"/>
      <c r="L37" s="2793"/>
      <c r="M37" s="2793"/>
      <c r="N37" s="2793"/>
      <c r="O37" s="2793"/>
      <c r="P37" s="2793"/>
      <c r="Q37" s="2793"/>
      <c r="R37" s="2793"/>
      <c r="S37" s="2793"/>
      <c r="T37" s="2793"/>
      <c r="U37" s="2793"/>
    </row>
    <row r="38" spans="1:28">
      <c r="A38" s="3778"/>
      <c r="B38" s="3768"/>
      <c r="C38" s="1471" t="s">
        <v>788</v>
      </c>
      <c r="D38" s="1575">
        <f>ROUNDDOWN(MIN(('数据-取费表'!$B$2-D37)/365,D34),1)</f>
        <v>124</v>
      </c>
      <c r="E38" s="1520" t="s">
        <v>789</v>
      </c>
      <c r="F38" s="2813"/>
      <c r="G38" s="2813"/>
      <c r="H38" s="2813"/>
      <c r="I38" s="2817"/>
      <c r="J38" s="2813"/>
      <c r="K38" s="2800"/>
      <c r="L38" s="2793"/>
      <c r="M38" s="2793"/>
      <c r="N38" s="2793"/>
      <c r="O38" s="2793"/>
      <c r="P38" s="2793"/>
      <c r="Q38" s="2793"/>
      <c r="R38" s="2793"/>
      <c r="S38" s="2793"/>
      <c r="T38" s="2793"/>
      <c r="U38" s="2793"/>
    </row>
    <row r="39" spans="1:28">
      <c r="A39" s="3779"/>
      <c r="B39" s="3769"/>
      <c r="C39" s="1491" t="str">
        <f>IF(D38&lt;1,"不存在土地闲置",IF(B35="宗地内已开工建设","已开工，不存在土地闲置","估价对象已涉嫌土地闲置"))</f>
        <v>估价对象已涉嫌土地闲置</v>
      </c>
      <c r="D39" s="1521"/>
      <c r="E39" s="1522"/>
      <c r="F39" s="2813"/>
      <c r="G39" s="2813"/>
      <c r="H39" s="2813"/>
      <c r="I39" s="2817"/>
      <c r="J39" s="2813"/>
      <c r="K39" s="2796"/>
      <c r="L39" s="2792"/>
      <c r="M39" s="2792"/>
      <c r="N39" s="2793"/>
      <c r="O39" s="2794"/>
      <c r="P39" s="2793"/>
      <c r="Q39" s="2793"/>
      <c r="R39" s="2793"/>
      <c r="S39" s="2793"/>
      <c r="T39" s="2793"/>
      <c r="U39" s="2793"/>
    </row>
    <row r="40" spans="1:28">
      <c r="A40" s="1484" t="s">
        <v>1494</v>
      </c>
      <c r="B40" s="1485" t="s">
        <v>2763</v>
      </c>
      <c r="C40" s="1485" t="s">
        <v>2764</v>
      </c>
      <c r="D40" s="1485" t="s">
        <v>2765</v>
      </c>
      <c r="E40" s="1485" t="s">
        <v>2766</v>
      </c>
      <c r="F40" s="1485" t="s">
        <v>2767</v>
      </c>
      <c r="G40" s="1485" t="s">
        <v>2768</v>
      </c>
      <c r="H40" s="1485" t="s">
        <v>2769</v>
      </c>
      <c r="I40" s="2817"/>
      <c r="J40" s="2813"/>
      <c r="K40" s="2761">
        <f>COUNTIF(B40:H40,"——")</f>
        <v>0</v>
      </c>
      <c r="L40" s="1493" t="s">
        <v>1495</v>
      </c>
      <c r="M40" s="1490" t="s">
        <v>1496</v>
      </c>
      <c r="N40" s="1490" t="s">
        <v>1497</v>
      </c>
      <c r="O40" s="1490" t="s">
        <v>1498</v>
      </c>
      <c r="P40" s="1490" t="s">
        <v>1499</v>
      </c>
      <c r="Q40" s="1490" t="s">
        <v>1500</v>
      </c>
      <c r="R40" s="1490" t="s">
        <v>1501</v>
      </c>
      <c r="S40" s="3750" t="s">
        <v>1502</v>
      </c>
      <c r="T40" s="1524" t="str">
        <f>NUMBERSTRING(7-K40,1)&amp;"通"</f>
        <v>七通</v>
      </c>
      <c r="U40" s="2793"/>
    </row>
    <row r="41" spans="1:28">
      <c r="A41" s="1465"/>
      <c r="B41" s="3783" t="s">
        <v>1250</v>
      </c>
      <c r="C41" s="3783"/>
      <c r="D41" s="3783"/>
      <c r="E41" s="3783"/>
      <c r="F41" s="1525">
        <f>C10</f>
        <v>0</v>
      </c>
      <c r="G41" s="2813"/>
      <c r="H41" s="2813"/>
      <c r="I41" s="2817"/>
      <c r="J41" s="2813"/>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通路、通电、通讯、通上水、通下水、通热、燃气</v>
      </c>
      <c r="S41" s="3750"/>
      <c r="T41" s="1526" t="str">
        <f>IF(T40="一通",L41,IF(T40="二通",M41,IF(T40="三通",N41,IF(T40="四通",O41,IF(T40="五通",P41,IF(T40="六通",Q41,R41))))))</f>
        <v>通路、通电、通讯、通上水、通下水、通热、燃气</v>
      </c>
      <c r="U41" s="2793"/>
    </row>
    <row r="42" spans="1:28">
      <c r="A42" s="1528"/>
      <c r="B42" s="1553" t="s">
        <v>1422</v>
      </c>
      <c r="C42" s="1553" t="s">
        <v>1423</v>
      </c>
      <c r="D42" s="1553" t="s">
        <v>1424</v>
      </c>
      <c r="E42" s="3277" t="s">
        <v>2740</v>
      </c>
      <c r="F42" s="3277" t="s">
        <v>2741</v>
      </c>
      <c r="G42" s="2813"/>
      <c r="H42" s="2813"/>
      <c r="I42" s="2817"/>
      <c r="J42" s="2813"/>
      <c r="K42" s="2796"/>
      <c r="L42" s="2792"/>
      <c r="M42" s="2792"/>
      <c r="N42" s="2793"/>
      <c r="O42" s="2794"/>
      <c r="P42" s="2793"/>
      <c r="Q42" s="2793"/>
      <c r="R42" s="2793"/>
      <c r="S42" s="2793"/>
      <c r="T42" s="2793"/>
      <c r="U42" s="2793"/>
    </row>
    <row r="43" spans="1:28">
      <c r="A43" s="2764" t="s">
        <v>1235</v>
      </c>
      <c r="B43" s="3704" t="s">
        <v>1153</v>
      </c>
      <c r="C43" s="3704" t="s">
        <v>1153</v>
      </c>
      <c r="D43" s="3704" t="s">
        <v>1153</v>
      </c>
      <c r="E43" s="3704" t="s">
        <v>1153</v>
      </c>
      <c r="F43" s="3704" t="s">
        <v>1153</v>
      </c>
      <c r="G43" s="2813"/>
      <c r="H43" s="2813"/>
      <c r="I43" s="2817"/>
      <c r="J43" s="2813"/>
      <c r="K43" s="2796"/>
      <c r="L43" s="2792"/>
      <c r="M43" s="2792"/>
      <c r="N43" s="2793"/>
      <c r="O43" s="2794"/>
      <c r="P43" s="2793"/>
      <c r="Q43" s="2793"/>
      <c r="R43" s="2793"/>
      <c r="S43" s="2793"/>
      <c r="T43" s="2793"/>
      <c r="U43" s="2793"/>
    </row>
    <row r="44" spans="1:28">
      <c r="A44" s="2764" t="s">
        <v>1236</v>
      </c>
      <c r="B44" s="3704" t="s">
        <v>2856</v>
      </c>
      <c r="C44" s="3704" t="s">
        <v>2856</v>
      </c>
      <c r="D44" s="3704" t="s">
        <v>2856</v>
      </c>
      <c r="E44" s="3704" t="s">
        <v>2856</v>
      </c>
      <c r="F44" s="3704" t="s">
        <v>2856</v>
      </c>
      <c r="G44" s="2813"/>
      <c r="H44" s="2813"/>
      <c r="I44" s="2817"/>
      <c r="J44" s="2813"/>
      <c r="K44" s="2796"/>
      <c r="L44" s="2792"/>
      <c r="M44" s="2792"/>
      <c r="N44" s="2793"/>
      <c r="O44" s="2794"/>
      <c r="P44" s="2793"/>
      <c r="Q44" s="2793"/>
      <c r="R44" s="2793"/>
      <c r="S44" s="2793"/>
      <c r="T44" s="2793"/>
      <c r="U44" s="2793"/>
    </row>
    <row r="45" spans="1:28" s="2526" customFormat="1" ht="21" thickBot="1">
      <c r="A45" s="2527" t="s">
        <v>2164</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8"/>
      <c r="B46" s="1488"/>
      <c r="C46" s="1488"/>
      <c r="D46" s="1488"/>
      <c r="E46" s="1488"/>
      <c r="F46" s="1488"/>
      <c r="G46" s="1488"/>
      <c r="H46" s="1488"/>
      <c r="I46" s="1500"/>
      <c r="J46" s="1488"/>
      <c r="K46" s="2796"/>
      <c r="L46" s="2792"/>
      <c r="M46" s="2792"/>
      <c r="N46" s="2793"/>
      <c r="O46" s="2794"/>
      <c r="P46" s="2793"/>
      <c r="Q46" s="2793"/>
      <c r="R46" s="2793"/>
      <c r="S46" s="2793"/>
      <c r="T46" s="2793"/>
      <c r="U46" s="2793"/>
    </row>
    <row r="47" spans="1:28">
      <c r="A47" s="1530" t="s">
        <v>1523</v>
      </c>
      <c r="B47" s="1531"/>
      <c r="C47" s="1522"/>
      <c r="D47" s="1488"/>
      <c r="E47" s="1488"/>
      <c r="F47" s="1488"/>
      <c r="G47" s="1488"/>
      <c r="H47" s="1488"/>
      <c r="I47" s="1489"/>
      <c r="J47" s="1488"/>
      <c r="K47" s="2796"/>
      <c r="L47" s="2792"/>
      <c r="M47" s="2792"/>
      <c r="N47" s="2793"/>
      <c r="O47" s="2794"/>
      <c r="P47" s="2793"/>
      <c r="Q47" s="2793"/>
      <c r="R47" s="2793"/>
      <c r="S47" s="2793"/>
      <c r="T47" s="2793"/>
      <c r="U47" s="2793"/>
    </row>
    <row r="48" spans="1:28" ht="28.5">
      <c r="A48" s="1493" t="s">
        <v>1524</v>
      </c>
      <c r="B48" s="1483" t="s">
        <v>1525</v>
      </c>
      <c r="C48" s="1483" t="s">
        <v>1526</v>
      </c>
      <c r="D48" s="1483" t="s">
        <v>1527</v>
      </c>
      <c r="E48" s="1483" t="s">
        <v>1528</v>
      </c>
      <c r="F48" s="1483" t="s">
        <v>1529</v>
      </c>
      <c r="G48" s="1483" t="s">
        <v>1530</v>
      </c>
      <c r="H48" s="1483" t="s">
        <v>1531</v>
      </c>
      <c r="I48" s="1483" t="s">
        <v>1532</v>
      </c>
      <c r="J48" s="1559" t="s">
        <v>1533</v>
      </c>
      <c r="K48" s="2806" t="s">
        <v>1534</v>
      </c>
      <c r="L48" s="2806" t="s">
        <v>1535</v>
      </c>
      <c r="M48" s="2806" t="s">
        <v>1536</v>
      </c>
      <c r="N48" s="2807" t="s">
        <v>1537</v>
      </c>
      <c r="O48" s="2807" t="s">
        <v>1538</v>
      </c>
      <c r="P48" s="2807" t="s">
        <v>1539</v>
      </c>
      <c r="Q48" s="2798" t="s">
        <v>1540</v>
      </c>
      <c r="R48" s="2798" t="s">
        <v>1541</v>
      </c>
      <c r="S48" s="2793"/>
      <c r="T48" s="2793"/>
      <c r="U48" s="2793"/>
    </row>
    <row r="49" spans="1:21">
      <c r="A49" s="1490"/>
      <c r="B49" s="1523"/>
      <c r="C49" s="1523"/>
      <c r="D49" s="1523"/>
      <c r="E49" s="1523"/>
      <c r="F49" s="1523"/>
      <c r="G49" s="1523"/>
      <c r="H49" s="1523"/>
      <c r="I49" s="1523"/>
      <c r="J49" s="1622"/>
      <c r="K49" s="2808"/>
      <c r="L49" s="2808"/>
      <c r="M49" s="1529"/>
      <c r="N49" s="1529"/>
      <c r="O49" s="1529"/>
      <c r="P49" s="1529"/>
      <c r="Q49" s="1529"/>
      <c r="R49" s="1529"/>
      <c r="S49" s="2793"/>
      <c r="T49" s="2793"/>
      <c r="U49" s="2793"/>
    </row>
    <row r="50" spans="1:21">
      <c r="A50" s="1490"/>
      <c r="B50" s="1490"/>
      <c r="C50" s="1523"/>
      <c r="D50" s="1523"/>
      <c r="E50" s="1523"/>
      <c r="F50" s="1523"/>
      <c r="G50" s="1523"/>
      <c r="H50" s="1523"/>
      <c r="I50" s="1523"/>
      <c r="J50" s="1622"/>
      <c r="K50" s="2808"/>
      <c r="L50" s="2808"/>
      <c r="M50" s="1529"/>
      <c r="N50" s="1529"/>
      <c r="O50" s="1529"/>
      <c r="P50" s="1529"/>
      <c r="Q50" s="1529"/>
      <c r="R50" s="1529"/>
      <c r="S50" s="2793"/>
      <c r="T50" s="2793"/>
      <c r="U50" s="2793"/>
    </row>
    <row r="51" spans="1:21">
      <c r="A51" s="1490"/>
      <c r="B51" s="1490"/>
      <c r="C51" s="1523"/>
      <c r="D51" s="1523"/>
      <c r="E51" s="1523"/>
      <c r="F51" s="1523"/>
      <c r="G51" s="1523"/>
      <c r="H51" s="1523"/>
      <c r="I51" s="1523"/>
      <c r="J51" s="1622"/>
      <c r="K51" s="2808"/>
      <c r="L51" s="2808"/>
      <c r="M51" s="1529"/>
      <c r="N51" s="1529"/>
      <c r="O51" s="1529"/>
      <c r="P51" s="1529"/>
      <c r="Q51" s="1529"/>
      <c r="R51" s="1529"/>
      <c r="S51" s="2793"/>
      <c r="T51" s="2793"/>
      <c r="U51" s="2793"/>
    </row>
    <row r="52" spans="1:21">
      <c r="A52" s="1490"/>
      <c r="B52" s="1490"/>
      <c r="C52" s="1523"/>
      <c r="D52" s="1523"/>
      <c r="E52" s="1523"/>
      <c r="F52" s="1523"/>
      <c r="G52" s="1523"/>
      <c r="H52" s="1523"/>
      <c r="I52" s="1523"/>
      <c r="J52" s="1622"/>
      <c r="K52" s="2808"/>
      <c r="L52" s="2808"/>
      <c r="M52" s="1529"/>
      <c r="N52" s="1529"/>
      <c r="O52" s="1529"/>
      <c r="P52" s="1529"/>
      <c r="Q52" s="1529"/>
      <c r="R52" s="1529"/>
      <c r="S52" s="2793"/>
      <c r="T52" s="2793"/>
      <c r="U52" s="2793"/>
    </row>
    <row r="53" spans="1:21">
      <c r="A53" s="1490"/>
      <c r="B53" s="1490"/>
      <c r="C53" s="1523"/>
      <c r="D53" s="1523"/>
      <c r="E53" s="1523"/>
      <c r="F53" s="1523"/>
      <c r="G53" s="1523"/>
      <c r="H53" s="1523"/>
      <c r="I53" s="1523"/>
      <c r="J53" s="1622"/>
      <c r="K53" s="2808"/>
      <c r="L53" s="2808"/>
      <c r="M53" s="1529"/>
      <c r="N53" s="1529"/>
      <c r="O53" s="1529"/>
      <c r="P53" s="1529"/>
      <c r="Q53" s="1529"/>
      <c r="R53" s="1529"/>
      <c r="S53" s="2793"/>
      <c r="T53" s="2793"/>
      <c r="U53" s="2793"/>
    </row>
    <row r="54" spans="1:21">
      <c r="A54" s="1490"/>
      <c r="B54" s="1490"/>
      <c r="C54" s="1490"/>
      <c r="D54" s="1490"/>
      <c r="E54" s="1490"/>
      <c r="F54" s="1523"/>
      <c r="G54" s="1490"/>
      <c r="H54" s="1490"/>
      <c r="I54" s="1490"/>
      <c r="J54" s="1623"/>
      <c r="K54" s="2808"/>
      <c r="L54" s="2808"/>
      <c r="M54" s="2808"/>
      <c r="N54" s="2760"/>
      <c r="O54" s="2760"/>
      <c r="P54" s="2760"/>
      <c r="Q54" s="2760"/>
      <c r="R54" s="2760"/>
      <c r="S54" s="2793"/>
      <c r="T54" s="2793"/>
      <c r="U54" s="2793"/>
    </row>
    <row r="55" spans="1:21">
      <c r="A55" s="1490"/>
      <c r="B55" s="1490"/>
      <c r="C55" s="1490"/>
      <c r="D55" s="1490"/>
      <c r="E55" s="1490"/>
      <c r="F55" s="1523"/>
      <c r="G55" s="1490"/>
      <c r="H55" s="1490"/>
      <c r="I55" s="1490"/>
      <c r="J55" s="1623"/>
      <c r="K55" s="2808"/>
      <c r="L55" s="2808"/>
      <c r="M55" s="2808"/>
      <c r="N55" s="2760"/>
      <c r="O55" s="2760"/>
      <c r="P55" s="2760"/>
      <c r="Q55" s="2760"/>
      <c r="R55" s="2760"/>
      <c r="S55" s="2793"/>
      <c r="T55" s="2793"/>
      <c r="U55" s="2793"/>
    </row>
    <row r="56" spans="1:21">
      <c r="A56" s="1490"/>
      <c r="B56" s="1490"/>
      <c r="C56" s="1490"/>
      <c r="D56" s="1490"/>
      <c r="E56" s="1490"/>
      <c r="F56" s="1523"/>
      <c r="G56" s="1490"/>
      <c r="H56" s="1490"/>
      <c r="I56" s="1490"/>
      <c r="J56" s="1623"/>
      <c r="K56" s="2808"/>
      <c r="L56" s="2808"/>
      <c r="M56" s="2808"/>
      <c r="N56" s="2760"/>
      <c r="O56" s="2760"/>
      <c r="P56" s="2760"/>
      <c r="Q56" s="2760"/>
      <c r="R56" s="2760"/>
      <c r="S56" s="2793"/>
      <c r="T56" s="2793"/>
      <c r="U56" s="2793"/>
    </row>
    <row r="57" spans="1:21">
      <c r="A57" s="1490"/>
      <c r="B57" s="1490"/>
      <c r="C57" s="1490"/>
      <c r="D57" s="1490"/>
      <c r="E57" s="1490"/>
      <c r="F57" s="1523"/>
      <c r="G57" s="1490"/>
      <c r="H57" s="1490"/>
      <c r="I57" s="1490"/>
      <c r="J57" s="1623"/>
      <c r="K57" s="2808"/>
      <c r="L57" s="2808"/>
      <c r="M57" s="2808"/>
      <c r="N57" s="2760"/>
      <c r="O57" s="2760"/>
      <c r="P57" s="2760"/>
      <c r="Q57" s="2760"/>
      <c r="R57" s="2760"/>
      <c r="S57" s="2793"/>
      <c r="T57" s="2793"/>
      <c r="U57" s="2793"/>
    </row>
    <row r="58" spans="1:21">
      <c r="A58" s="1490"/>
      <c r="B58" s="1490"/>
      <c r="C58" s="1490"/>
      <c r="D58" s="1490"/>
      <c r="E58" s="1490"/>
      <c r="F58" s="1523"/>
      <c r="G58" s="1490"/>
      <c r="H58" s="1490"/>
      <c r="I58" s="1490"/>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2"/>
  <sheetViews>
    <sheetView workbookViewId="0">
      <selection activeCell="C5" sqref="C5:C7"/>
    </sheetView>
  </sheetViews>
  <sheetFormatPr defaultColWidth="9" defaultRowHeight="13.5"/>
  <cols>
    <col min="1" max="1" width="13" style="3706" customWidth="1"/>
    <col min="2" max="2" width="11.125" style="3706" customWidth="1"/>
    <col min="3" max="3" width="13.375" style="3706" customWidth="1"/>
    <col min="4" max="4" width="9" style="3706"/>
    <col min="5" max="5" width="12.875" style="3706" customWidth="1"/>
    <col min="6" max="16384" width="9" style="3706"/>
  </cols>
  <sheetData>
    <row r="1" spans="1:4">
      <c r="A1" s="3705" t="s">
        <v>3566</v>
      </c>
      <c r="D1" s="3706">
        <f>B3-A5</f>
        <v>53356.88</v>
      </c>
    </row>
    <row r="2" spans="1:4">
      <c r="A2" s="3705" t="s">
        <v>3564</v>
      </c>
      <c r="B2" s="3706">
        <v>16124.249</v>
      </c>
    </row>
    <row r="3" spans="1:4">
      <c r="A3" s="3705" t="s">
        <v>3563</v>
      </c>
      <c r="B3" s="3706">
        <f>B4+B23</f>
        <v>58859.92</v>
      </c>
    </row>
    <row r="4" spans="1:4">
      <c r="A4" s="3705" t="s">
        <v>3565</v>
      </c>
      <c r="B4" s="3706">
        <f>SUM(C5:C22)</f>
        <v>40310.620000000003</v>
      </c>
    </row>
    <row r="5" spans="1:4">
      <c r="A5" s="3706">
        <f>SUM(C5:C7)</f>
        <v>5503.04</v>
      </c>
      <c r="B5" s="3707" t="s">
        <v>3567</v>
      </c>
      <c r="C5" s="3707">
        <v>488.41</v>
      </c>
      <c r="D5" s="3706" t="s">
        <v>3595</v>
      </c>
    </row>
    <row r="6" spans="1:4">
      <c r="B6" s="3707" t="s">
        <v>3568</v>
      </c>
      <c r="C6" s="3707">
        <v>584.63</v>
      </c>
    </row>
    <row r="7" spans="1:4">
      <c r="B7" s="3707" t="s">
        <v>3569</v>
      </c>
      <c r="C7" s="3707">
        <v>4430</v>
      </c>
    </row>
    <row r="8" spans="1:4">
      <c r="A8" s="3706">
        <f>SUM(C8:C15)</f>
        <v>33492.110000000008</v>
      </c>
      <c r="B8" s="3708" t="s">
        <v>3570</v>
      </c>
      <c r="C8" s="3709">
        <v>23793.31</v>
      </c>
      <c r="D8" s="3706" t="s">
        <v>3596</v>
      </c>
    </row>
    <row r="9" spans="1:4">
      <c r="B9" s="3708" t="s">
        <v>3571</v>
      </c>
      <c r="C9" s="3709">
        <v>2961.48</v>
      </c>
    </row>
    <row r="10" spans="1:4">
      <c r="B10" s="3708" t="s">
        <v>3572</v>
      </c>
      <c r="C10" s="3709">
        <v>410.13</v>
      </c>
    </row>
    <row r="11" spans="1:4">
      <c r="B11" s="3709" t="s">
        <v>3573</v>
      </c>
      <c r="C11" s="3708">
        <v>2881.8</v>
      </c>
    </row>
    <row r="12" spans="1:4">
      <c r="B12" s="3709" t="s">
        <v>3574</v>
      </c>
      <c r="C12" s="3708">
        <v>2866.91</v>
      </c>
    </row>
    <row r="13" spans="1:4">
      <c r="A13" s="3705"/>
      <c r="B13" s="3708" t="s">
        <v>3575</v>
      </c>
      <c r="C13" s="3708">
        <v>149.18</v>
      </c>
    </row>
    <row r="14" spans="1:4">
      <c r="B14" s="3709" t="s">
        <v>3576</v>
      </c>
      <c r="C14" s="3708">
        <v>274.18</v>
      </c>
    </row>
    <row r="15" spans="1:4">
      <c r="B15" s="3708" t="s">
        <v>3577</v>
      </c>
      <c r="C15" s="3709">
        <v>155.12</v>
      </c>
    </row>
    <row r="16" spans="1:4">
      <c r="B16" s="3706" t="s">
        <v>3578</v>
      </c>
      <c r="C16" s="3705">
        <v>75.650000000000006</v>
      </c>
    </row>
    <row r="17" spans="1:3">
      <c r="B17" s="3706" t="s">
        <v>3579</v>
      </c>
      <c r="C17" s="3705">
        <v>67.260000000000005</v>
      </c>
    </row>
    <row r="18" spans="1:3">
      <c r="B18" s="3710" t="s">
        <v>3580</v>
      </c>
      <c r="C18" s="3705">
        <v>13.54</v>
      </c>
    </row>
    <row r="19" spans="1:3">
      <c r="B19" s="3710" t="s">
        <v>3581</v>
      </c>
      <c r="C19" s="3705">
        <v>117.67</v>
      </c>
    </row>
    <row r="20" spans="1:3">
      <c r="B20" s="3710" t="s">
        <v>3582</v>
      </c>
      <c r="C20" s="3705">
        <v>593.36</v>
      </c>
    </row>
    <row r="21" spans="1:3">
      <c r="B21" s="3710" t="s">
        <v>3583</v>
      </c>
      <c r="C21" s="3705">
        <v>335.4</v>
      </c>
    </row>
    <row r="22" spans="1:3">
      <c r="B22" s="3711" t="s">
        <v>3584</v>
      </c>
      <c r="C22" s="3706">
        <v>112.59</v>
      </c>
    </row>
    <row r="23" spans="1:3">
      <c r="A23" s="3706" t="s">
        <v>3585</v>
      </c>
      <c r="B23" s="3705">
        <f>SUM(C24:C29)</f>
        <v>18549.3</v>
      </c>
    </row>
    <row r="24" spans="1:3">
      <c r="B24" s="3705" t="s">
        <v>3586</v>
      </c>
      <c r="C24" s="3706">
        <v>1077.73</v>
      </c>
    </row>
    <row r="25" spans="1:3">
      <c r="A25" s="3705"/>
      <c r="B25" s="3706" t="s">
        <v>3587</v>
      </c>
      <c r="C25" s="3706">
        <v>919.36</v>
      </c>
    </row>
    <row r="26" spans="1:3">
      <c r="A26" s="3705"/>
      <c r="B26" s="3706" t="s">
        <v>3588</v>
      </c>
      <c r="C26" s="3706">
        <v>5960.87</v>
      </c>
    </row>
    <row r="27" spans="1:3">
      <c r="B27" s="3706" t="s">
        <v>3589</v>
      </c>
      <c r="C27" s="3706">
        <v>2299.62</v>
      </c>
    </row>
    <row r="28" spans="1:3">
      <c r="B28" s="3706" t="s">
        <v>3590</v>
      </c>
      <c r="C28" s="3706">
        <v>826.74</v>
      </c>
    </row>
    <row r="29" spans="1:3">
      <c r="B29" s="3706" t="s">
        <v>3591</v>
      </c>
      <c r="C29" s="3706">
        <v>7464.98</v>
      </c>
    </row>
    <row r="30" spans="1:3">
      <c r="A30" s="3706" t="s">
        <v>3592</v>
      </c>
      <c r="B30" s="3706">
        <v>2.5</v>
      </c>
    </row>
    <row r="31" spans="1:3">
      <c r="A31" s="3706" t="s">
        <v>3593</v>
      </c>
      <c r="B31" s="3706">
        <v>511</v>
      </c>
      <c r="C31" s="3706">
        <f>C8/B31</f>
        <v>46.562250489236796</v>
      </c>
    </row>
    <row r="32" spans="1:3">
      <c r="A32" s="3706" t="s">
        <v>3594</v>
      </c>
      <c r="B32" s="3706">
        <v>176</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J4" sqref="AJ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5" t="s">
        <v>1689</v>
      </c>
      <c r="BA2" s="2056"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面积表!B2</f>
        <v>16124.249</v>
      </c>
      <c r="B3" s="20">
        <f>IF(C3="否",G5-AT5,G5)</f>
        <v>45811.100000000013</v>
      </c>
      <c r="C3" s="21" t="s">
        <v>3315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7"/>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53356.880000000012</v>
      </c>
      <c r="H5" s="25">
        <f t="shared" ref="H5:AT5" si="0">SUM(H13:H641)</f>
        <v>40530.710000000014</v>
      </c>
      <c r="I5" s="25">
        <f t="shared" si="0"/>
        <v>33492.110000000008</v>
      </c>
      <c r="J5" s="25">
        <f t="shared" si="0"/>
        <v>0</v>
      </c>
      <c r="K5" s="25">
        <f t="shared" si="0"/>
        <v>1077.73</v>
      </c>
      <c r="L5" s="25">
        <f t="shared" si="0"/>
        <v>0</v>
      </c>
      <c r="M5" s="25">
        <f t="shared" si="0"/>
        <v>5960.87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5280.39</v>
      </c>
      <c r="AD5" s="25">
        <f t="shared" si="0"/>
        <v>0</v>
      </c>
      <c r="AE5" s="25">
        <f t="shared" si="0"/>
        <v>0</v>
      </c>
      <c r="AF5" s="25">
        <f t="shared" si="0"/>
        <v>0</v>
      </c>
      <c r="AG5" s="25">
        <f t="shared" si="0"/>
        <v>0</v>
      </c>
      <c r="AH5" s="25">
        <f t="shared" si="0"/>
        <v>0</v>
      </c>
      <c r="AI5" s="25">
        <f t="shared" si="0"/>
        <v>0</v>
      </c>
      <c r="AJ5" s="25">
        <f t="shared" si="0"/>
        <v>0</v>
      </c>
      <c r="AK5" s="25">
        <f t="shared" si="0"/>
        <v>0</v>
      </c>
      <c r="AL5" s="25">
        <f t="shared" si="0"/>
        <v>1234.6699999999998</v>
      </c>
      <c r="AM5" s="25">
        <f t="shared" si="0"/>
        <v>0</v>
      </c>
      <c r="AN5" s="25">
        <f t="shared" si="0"/>
        <v>4045.7200000000003</v>
      </c>
      <c r="AO5" s="25">
        <f t="shared" si="0"/>
        <v>0</v>
      </c>
      <c r="AP5" s="25">
        <f t="shared" si="0"/>
        <v>0</v>
      </c>
      <c r="AQ5" s="25">
        <f t="shared" si="0"/>
        <v>0</v>
      </c>
      <c r="AR5" s="25">
        <f t="shared" si="0"/>
        <v>0</v>
      </c>
      <c r="AS5" s="25">
        <f t="shared" si="0"/>
        <v>0</v>
      </c>
      <c r="AT5" s="25">
        <f t="shared" si="0"/>
        <v>7545.78</v>
      </c>
      <c r="AU5" s="950"/>
      <c r="AV5" s="24" t="s">
        <v>134</v>
      </c>
      <c r="AW5" s="951"/>
      <c r="AX5" s="951"/>
      <c r="AY5" s="26" t="s">
        <v>2</v>
      </c>
      <c r="AZ5" s="27">
        <f t="shared" ref="AZ5:BT5" si="1">SUM(AZ13:AZ641)</f>
        <v>45811.100000000013</v>
      </c>
      <c r="BA5" s="27">
        <f t="shared" si="1"/>
        <v>40530.710000000014</v>
      </c>
      <c r="BB5" s="27">
        <f t="shared" si="1"/>
        <v>33492.110000000008</v>
      </c>
      <c r="BC5" s="27">
        <f t="shared" si="1"/>
        <v>1077.73</v>
      </c>
      <c r="BD5" s="27">
        <f t="shared" si="1"/>
        <v>5960.87</v>
      </c>
      <c r="BE5" s="27">
        <f t="shared" si="1"/>
        <v>0</v>
      </c>
      <c r="BF5" s="27">
        <f t="shared" si="1"/>
        <v>0</v>
      </c>
      <c r="BG5" s="27">
        <f t="shared" si="1"/>
        <v>0</v>
      </c>
      <c r="BH5" s="27">
        <f t="shared" si="1"/>
        <v>0</v>
      </c>
      <c r="BI5" s="27">
        <f t="shared" si="1"/>
        <v>0</v>
      </c>
      <c r="BJ5" s="27">
        <f t="shared" si="1"/>
        <v>0</v>
      </c>
      <c r="BK5" s="27">
        <f t="shared" si="1"/>
        <v>0</v>
      </c>
      <c r="BL5" s="27">
        <f t="shared" si="1"/>
        <v>5280.39</v>
      </c>
      <c r="BM5" s="27">
        <f t="shared" si="1"/>
        <v>0</v>
      </c>
      <c r="BN5" s="27">
        <f t="shared" si="1"/>
        <v>0</v>
      </c>
      <c r="BO5" s="27">
        <f t="shared" si="1"/>
        <v>0</v>
      </c>
      <c r="BP5" s="27">
        <f t="shared" si="1"/>
        <v>0</v>
      </c>
      <c r="BQ5" s="27">
        <f t="shared" si="1"/>
        <v>1234.6699999999998</v>
      </c>
      <c r="BR5" s="27">
        <f t="shared" si="1"/>
        <v>4045.7200000000003</v>
      </c>
      <c r="BS5" s="27">
        <f t="shared" si="1"/>
        <v>0</v>
      </c>
      <c r="BT5" s="28">
        <f t="shared" si="1"/>
        <v>0</v>
      </c>
    </row>
    <row r="6" spans="1:72" s="35" customFormat="1" ht="12.75">
      <c r="A6" s="24" t="s">
        <v>135</v>
      </c>
      <c r="B6" s="29"/>
      <c r="C6" s="29"/>
      <c r="D6" s="30"/>
      <c r="E6" s="25">
        <f>H6+AC6+AT6</f>
        <v>16124.239999999998</v>
      </c>
      <c r="F6" s="25" t="s">
        <v>0</v>
      </c>
      <c r="G6" s="25" t="s">
        <v>1</v>
      </c>
      <c r="H6" s="31">
        <f>SUMIF(I$12:AB$12,"总值",I6:AB6)</f>
        <v>14265.689999999999</v>
      </c>
      <c r="I6" s="25">
        <f t="shared" ref="I6:AB6" si="2">ROUND($A$3*I5/$B$3,2)</f>
        <v>11788.3</v>
      </c>
      <c r="J6" s="25">
        <f t="shared" si="2"/>
        <v>0</v>
      </c>
      <c r="K6" s="25">
        <f t="shared" si="2"/>
        <v>379.33</v>
      </c>
      <c r="L6" s="25">
        <f t="shared" si="2"/>
        <v>0</v>
      </c>
      <c r="M6" s="25">
        <f t="shared" si="2"/>
        <v>2098.06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1858.55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434.57</v>
      </c>
      <c r="AM6" s="25">
        <f t="shared" si="3"/>
        <v>0</v>
      </c>
      <c r="AN6" s="25">
        <f t="shared" si="3"/>
        <v>1423.98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16124.25</v>
      </c>
      <c r="AZ6" s="25" t="s">
        <v>2</v>
      </c>
      <c r="BA6" s="25">
        <f>ROUND($AY$6*BA5/$AZ$5,2)</f>
        <v>14265.7</v>
      </c>
      <c r="BB6" s="25">
        <f>ROUND($AY$6*BB5/$AZ$5,2)</f>
        <v>11788.3</v>
      </c>
      <c r="BC6" s="25">
        <f t="shared" ref="BC6:BH6" si="4">ROUND($AY$6*BC5/$AZ$5,2)</f>
        <v>379.33</v>
      </c>
      <c r="BD6" s="25">
        <f t="shared" si="4"/>
        <v>2098.06</v>
      </c>
      <c r="BE6" s="25">
        <f t="shared" si="4"/>
        <v>0</v>
      </c>
      <c r="BF6" s="25">
        <f t="shared" si="4"/>
        <v>0</v>
      </c>
      <c r="BG6" s="25">
        <f t="shared" si="4"/>
        <v>0</v>
      </c>
      <c r="BH6" s="25">
        <f t="shared" si="4"/>
        <v>0</v>
      </c>
      <c r="BI6" s="25">
        <f t="shared" ref="BI6:BT6" si="5">ROUND($AY$6*BI5/$AZ$5,2)</f>
        <v>0</v>
      </c>
      <c r="BJ6" s="25">
        <f t="shared" si="5"/>
        <v>0</v>
      </c>
      <c r="BK6" s="25">
        <f t="shared" si="5"/>
        <v>0</v>
      </c>
      <c r="BL6" s="25">
        <f t="shared" si="5"/>
        <v>1858.55</v>
      </c>
      <c r="BM6" s="25">
        <f t="shared" si="5"/>
        <v>0</v>
      </c>
      <c r="BN6" s="25">
        <f t="shared" si="5"/>
        <v>0</v>
      </c>
      <c r="BO6" s="25">
        <f t="shared" si="5"/>
        <v>0</v>
      </c>
      <c r="BP6" s="25">
        <f t="shared" si="5"/>
        <v>0</v>
      </c>
      <c r="BQ6" s="25">
        <f t="shared" si="5"/>
        <v>434.57</v>
      </c>
      <c r="BR6" s="25">
        <f t="shared" si="5"/>
        <v>1423.98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3"/>
      <c r="AT8" s="2044"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8" t="s">
        <v>3261</v>
      </c>
      <c r="J9" s="49"/>
      <c r="K9" s="2488" t="s">
        <v>3262</v>
      </c>
      <c r="L9" s="49"/>
      <c r="M9" s="2488" t="s">
        <v>3262</v>
      </c>
      <c r="N9" s="49"/>
      <c r="O9" s="2488"/>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5"/>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8" t="s">
        <v>2734</v>
      </c>
      <c r="J10" s="49"/>
      <c r="K10" s="2490" t="s">
        <v>2734</v>
      </c>
      <c r="L10" s="49"/>
      <c r="M10" s="2490" t="s">
        <v>2737</v>
      </c>
      <c r="N10" s="49"/>
      <c r="O10" s="2490"/>
      <c r="P10" s="49"/>
      <c r="Q10" s="64"/>
      <c r="R10" s="49"/>
      <c r="S10" s="64"/>
      <c r="T10" s="49"/>
      <c r="U10" s="64"/>
      <c r="V10" s="49"/>
      <c r="W10" s="64"/>
      <c r="X10" s="49"/>
      <c r="Y10" s="64"/>
      <c r="Z10" s="49"/>
      <c r="AA10" s="64"/>
      <c r="AB10" s="49"/>
      <c r="AC10" s="53"/>
      <c r="AD10" s="2030" t="s">
        <v>1673</v>
      </c>
      <c r="AE10" s="2052"/>
      <c r="AF10" s="2030" t="s">
        <v>1673</v>
      </c>
      <c r="AG10" s="2052"/>
      <c r="AH10" s="2030" t="s">
        <v>1674</v>
      </c>
      <c r="AI10" s="2052"/>
      <c r="AJ10" s="24" t="s">
        <v>1687</v>
      </c>
      <c r="AK10" s="2049"/>
      <c r="AL10" s="2030" t="s">
        <v>1675</v>
      </c>
      <c r="AM10" s="2031"/>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9" t="s">
        <v>3597</v>
      </c>
      <c r="J11" s="69"/>
      <c r="K11" s="2489" t="s">
        <v>3597</v>
      </c>
      <c r="L11" s="69"/>
      <c r="M11" s="2489" t="s">
        <v>2737</v>
      </c>
      <c r="N11" s="69"/>
      <c r="O11" s="2489"/>
      <c r="P11" s="69"/>
      <c r="Q11" s="68"/>
      <c r="R11" s="69"/>
      <c r="S11" s="68"/>
      <c r="T11" s="69"/>
      <c r="U11" s="68"/>
      <c r="V11" s="69"/>
      <c r="W11" s="68"/>
      <c r="X11" s="69"/>
      <c r="Y11" s="68"/>
      <c r="Z11" s="69"/>
      <c r="AA11" s="68"/>
      <c r="AB11" s="69"/>
      <c r="AC11" s="53"/>
      <c r="AD11" s="2050" t="s">
        <v>1686</v>
      </c>
      <c r="AE11" s="964"/>
      <c r="AF11" s="2050" t="s">
        <v>1686</v>
      </c>
      <c r="AG11" s="964"/>
      <c r="AH11" s="2050" t="s">
        <v>1685</v>
      </c>
      <c r="AI11" s="2051"/>
      <c r="AJ11" s="2050" t="s">
        <v>1685</v>
      </c>
      <c r="AK11" s="2049"/>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养老</v>
      </c>
      <c r="BC12" s="77" t="str">
        <f>K11</f>
        <v>养老</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91"/>
      <c r="B13" s="2485"/>
      <c r="C13" s="2485"/>
      <c r="D13" s="2486" t="s">
        <v>3260</v>
      </c>
      <c r="E13" s="25">
        <f t="shared" ref="E13:E20" si="6">IF($C$3="是",ROUND($A$3*G13/$B$3,2),ROUND($A$3*(G13-AT13)/$B$3,2))</f>
        <v>16124.25</v>
      </c>
      <c r="F13" s="78"/>
      <c r="G13" s="79">
        <f t="shared" ref="G13:G20" si="7">H13+AC13+AT13</f>
        <v>53356.880000000012</v>
      </c>
      <c r="H13" s="31">
        <f t="shared" ref="H13:H20" si="8">SUMIF(I$12:AB$12,"总值",I13:AB13)</f>
        <v>40530.710000000014</v>
      </c>
      <c r="I13" s="2487">
        <f>面积表!A8</f>
        <v>33492.110000000008</v>
      </c>
      <c r="J13" s="2487"/>
      <c r="K13" s="2487">
        <f>面积表!C24</f>
        <v>1077.73</v>
      </c>
      <c r="L13" s="2487"/>
      <c r="M13" s="2487">
        <f>面积表!C26</f>
        <v>5960.87</v>
      </c>
      <c r="N13" s="80"/>
      <c r="O13" s="80"/>
      <c r="P13" s="80"/>
      <c r="Q13" s="80"/>
      <c r="R13" s="80"/>
      <c r="S13" s="80"/>
      <c r="T13" s="80"/>
      <c r="U13" s="80"/>
      <c r="V13" s="80"/>
      <c r="W13" s="80"/>
      <c r="X13" s="80"/>
      <c r="Y13" s="80"/>
      <c r="Z13" s="80"/>
      <c r="AA13" s="80"/>
      <c r="AB13" s="80"/>
      <c r="AC13" s="25">
        <f t="shared" ref="AC13:AC20" si="9">SUMIF(AD$12:AS$12,"总值",AD13:AS13)</f>
        <v>5280.39</v>
      </c>
      <c r="AD13" s="2491"/>
      <c r="AE13" s="2491"/>
      <c r="AF13" s="2491"/>
      <c r="AG13" s="2491"/>
      <c r="AH13" s="2491"/>
      <c r="AI13" s="2491"/>
      <c r="AJ13" s="2491"/>
      <c r="AK13" s="2491"/>
      <c r="AL13" s="2491">
        <f>面积表!C16+面积表!C19+面积表!C20+面积表!C21+面积表!C22</f>
        <v>1234.6699999999998</v>
      </c>
      <c r="AM13" s="2491"/>
      <c r="AN13" s="2491">
        <f>面积表!C25+面积表!C27+面积表!C28</f>
        <v>4045.7200000000003</v>
      </c>
      <c r="AO13" s="2491"/>
      <c r="AP13" s="2491"/>
      <c r="AQ13" s="2491"/>
      <c r="AR13" s="2491"/>
      <c r="AS13" s="2491"/>
      <c r="AT13" s="2492">
        <f>面积表!C17+面积表!C18+面积表!C29</f>
        <v>7545.78</v>
      </c>
      <c r="AU13" s="2493"/>
      <c r="AV13" s="15">
        <f t="shared" ref="AV13:AX20" si="10">A13</f>
        <v>0</v>
      </c>
      <c r="AW13" s="15">
        <f t="shared" si="10"/>
        <v>0</v>
      </c>
      <c r="AX13" s="15">
        <f t="shared" si="10"/>
        <v>0</v>
      </c>
      <c r="AY13" s="958">
        <f t="shared" ref="AY13:AY20" si="11">ROUND($AY$6*AZ13/$AZ$5,2)</f>
        <v>16124.25</v>
      </c>
      <c r="AZ13" s="25">
        <f t="shared" ref="AZ13:AZ20" si="12">BA13+BL13</f>
        <v>45811.100000000013</v>
      </c>
      <c r="BA13" s="25">
        <f t="shared" ref="BA13:BA20" si="13">SUM(BB13:BK13)</f>
        <v>40530.710000000014</v>
      </c>
      <c r="BB13" s="25">
        <f t="shared" ref="BB13:BB20" si="14">IF($D13="是",I13-J13,0)</f>
        <v>33492.110000000008</v>
      </c>
      <c r="BC13" s="25">
        <f t="shared" ref="BC13:BC20" si="15">IF($D13="是",K13-L13,0)</f>
        <v>1077.73</v>
      </c>
      <c r="BD13" s="25">
        <f t="shared" ref="BD13:BD20" si="16">IF($D13="是",M13-N13,0)</f>
        <v>5960.87</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5280.39</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1234.6699999999998</v>
      </c>
      <c r="BR13" s="25">
        <f t="shared" ref="BR13:BR20" si="30">IF($D13="是",AN13-AO13,0)</f>
        <v>4045.7200000000003</v>
      </c>
      <c r="BS13" s="25">
        <f t="shared" ref="BS13:BS20" si="31">IF($D13="是",AP13-AQ13,0)</f>
        <v>0</v>
      </c>
      <c r="BT13" s="34">
        <f t="shared" ref="BT13:BT20" si="32">IF($D13="是",AR13-AS13,0)</f>
        <v>0</v>
      </c>
    </row>
    <row r="14" spans="1:72" s="16" customFormat="1" ht="12.75">
      <c r="A14" s="2485"/>
      <c r="B14" s="2485"/>
      <c r="C14" s="2485"/>
      <c r="D14" s="2486"/>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5"/>
      <c r="D15" s="2486"/>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5"/>
      <c r="D16" s="2486"/>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5"/>
      <c r="D17" s="2486"/>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2485"/>
      <c r="C18" s="2485"/>
      <c r="D18" s="2486"/>
      <c r="E18" s="83">
        <f t="shared" si="6"/>
        <v>0</v>
      </c>
      <c r="F18" s="84"/>
      <c r="G18" s="85">
        <f t="shared" si="7"/>
        <v>0</v>
      </c>
      <c r="H18" s="86">
        <f t="shared" si="8"/>
        <v>0</v>
      </c>
      <c r="I18" s="2487"/>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2485"/>
      <c r="C19" s="2485"/>
      <c r="D19" s="2486"/>
      <c r="E19" s="83">
        <f t="shared" si="6"/>
        <v>0</v>
      </c>
      <c r="F19" s="84"/>
      <c r="G19" s="85">
        <f t="shared" si="7"/>
        <v>0</v>
      </c>
      <c r="H19" s="86">
        <f t="shared" si="8"/>
        <v>0</v>
      </c>
      <c r="I19" s="2487"/>
      <c r="J19" s="87"/>
      <c r="K19" s="2487"/>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2485"/>
      <c r="C20" s="1249"/>
      <c r="D20" s="2486"/>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6"/>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3681"/>
      <c r="B22" s="1248"/>
      <c r="C22" s="1249"/>
      <c r="D22" s="2486"/>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3681"/>
      <c r="B23" s="1248"/>
      <c r="C23" s="1249"/>
      <c r="D23" s="248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3681"/>
      <c r="B24" s="1248"/>
      <c r="C24" s="1249"/>
      <c r="D24" s="2486"/>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3681"/>
      <c r="B25" s="1248"/>
      <c r="C25" s="1249"/>
      <c r="D25" s="2486"/>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3681"/>
      <c r="B26" s="1248"/>
      <c r="C26" s="1249"/>
      <c r="D26" s="2486"/>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3681"/>
      <c r="B27" s="1248"/>
      <c r="C27" s="1249"/>
      <c r="D27" s="2486"/>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3681"/>
      <c r="B28" s="1248"/>
      <c r="C28" s="1249"/>
      <c r="D28" s="2486"/>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6"/>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6"/>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6"/>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6"/>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6"/>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6"/>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6"/>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6"/>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6"/>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6"/>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6"/>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6"/>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6"/>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6"/>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6"/>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6"/>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6"/>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6"/>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6"/>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6"/>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6"/>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6"/>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6"/>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6"/>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6"/>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6"/>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6"/>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6"/>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6"/>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6"/>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6"/>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6"/>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6"/>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6"/>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6"/>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6"/>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6"/>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6"/>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6"/>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6"/>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6"/>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6"/>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6"/>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6"/>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6"/>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6"/>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6"/>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6"/>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6"/>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6"/>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6"/>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6"/>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6"/>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6"/>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6"/>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6"/>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6"/>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6"/>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6"/>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6"/>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6"/>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6"/>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6"/>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6"/>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6"/>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6"/>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6"/>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6"/>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6"/>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6"/>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6"/>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6"/>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6"/>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6"/>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6"/>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6"/>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6"/>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6"/>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6"/>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6"/>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6"/>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6"/>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6"/>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6"/>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6"/>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6"/>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6"/>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6"/>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6"/>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6"/>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6"/>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6"/>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6"/>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6"/>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6"/>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6"/>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6"/>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6"/>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6"/>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6"/>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6"/>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6"/>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6"/>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6"/>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6"/>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6"/>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6"/>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6"/>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6"/>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6"/>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6"/>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6"/>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6"/>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6"/>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6"/>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6"/>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6"/>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6"/>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6"/>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6"/>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6"/>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6"/>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6"/>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6"/>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6"/>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6"/>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6"/>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6"/>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6"/>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6"/>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6"/>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6"/>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6"/>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6"/>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6"/>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6"/>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6"/>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6"/>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6"/>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6"/>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6"/>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6"/>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6"/>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6"/>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6"/>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6"/>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6"/>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6"/>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6"/>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6"/>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6"/>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6"/>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6"/>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6"/>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6"/>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6"/>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6"/>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6"/>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6"/>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6"/>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6"/>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6"/>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6"/>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6"/>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6"/>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6"/>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6"/>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6"/>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6"/>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6"/>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6"/>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6"/>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6"/>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6"/>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6"/>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6"/>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6"/>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6"/>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6"/>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6"/>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6"/>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6"/>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6"/>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6"/>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6"/>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6"/>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6"/>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6"/>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6"/>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6"/>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6"/>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6"/>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6"/>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6"/>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6"/>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6"/>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6"/>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6"/>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6"/>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6"/>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6"/>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6"/>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Normal="70" zoomScaleSheetLayoutView="100" workbookViewId="0">
      <selection activeCell="E19" sqref="E19"/>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00" t="s">
        <v>169</v>
      </c>
      <c r="B2" s="3800"/>
      <c r="C2" s="3800"/>
      <c r="D2" s="1727" t="s">
        <v>170</v>
      </c>
      <c r="E2" s="102" t="s">
        <v>171</v>
      </c>
      <c r="F2" s="2822"/>
      <c r="G2" s="1096"/>
      <c r="H2" s="1097"/>
      <c r="I2" s="1098" t="s">
        <v>795</v>
      </c>
      <c r="J2" s="2822"/>
      <c r="K2" s="2822"/>
      <c r="L2" s="2822"/>
      <c r="M2" s="2822"/>
      <c r="N2" s="2822"/>
      <c r="O2" s="2822"/>
      <c r="P2" s="2822"/>
    </row>
    <row r="3" spans="1:16" ht="15.75" thickBot="1">
      <c r="A3" s="3801" t="s">
        <v>172</v>
      </c>
      <c r="B3" s="3801"/>
      <c r="C3" s="3801"/>
      <c r="D3" s="103">
        <f>'数据-基础表'!AY6</f>
        <v>16124.25</v>
      </c>
      <c r="E3" s="103">
        <f>'数据-基础表'!AZ5</f>
        <v>45811.100000000013</v>
      </c>
      <c r="F3" s="2822"/>
      <c r="G3" s="271" t="s">
        <v>796</v>
      </c>
      <c r="H3" s="266" t="s">
        <v>797</v>
      </c>
      <c r="I3" s="1728">
        <f>ROUND('数据-基础表'!B3/'数据-基础表'!A3,2)</f>
        <v>2.84</v>
      </c>
      <c r="J3" s="2822"/>
      <c r="K3" s="2822"/>
      <c r="L3" s="2822"/>
      <c r="M3" s="2822"/>
      <c r="N3" s="2822"/>
      <c r="O3" s="2822"/>
      <c r="P3" s="2822"/>
    </row>
    <row r="4" spans="1:16" ht="15">
      <c r="A4" s="3802"/>
      <c r="B4" s="3803"/>
      <c r="C4" s="3804"/>
      <c r="D4" s="104" t="s">
        <v>170</v>
      </c>
      <c r="E4" s="105" t="s">
        <v>171</v>
      </c>
      <c r="F4" s="2822"/>
      <c r="G4" s="1099"/>
      <c r="H4" s="266" t="s">
        <v>798</v>
      </c>
      <c r="I4" s="1728">
        <f>ROUND(SUMIF('数据-基础表'!I9:AS9,"地上",'数据-基础表'!I5:AS5)/'数据-基础表'!A3,2)</f>
        <v>2.15</v>
      </c>
      <c r="J4" s="2822"/>
      <c r="K4" s="2822"/>
      <c r="L4" s="2822"/>
      <c r="M4" s="2822"/>
      <c r="N4" s="2822"/>
      <c r="O4" s="2822"/>
      <c r="P4" s="2822"/>
    </row>
    <row r="5" spans="1:16">
      <c r="A5" s="106" t="s">
        <v>173</v>
      </c>
      <c r="B5" s="3805" t="s">
        <v>196</v>
      </c>
      <c r="C5" s="3805"/>
      <c r="D5" s="107">
        <f>ROUND($D$3*E5/$E$3,2)</f>
        <v>0</v>
      </c>
      <c r="E5" s="108">
        <f>SUMIF('数据-基础表'!$11:$11,"住宅",'数据-基础表'!$5:$5)</f>
        <v>0</v>
      </c>
      <c r="F5" s="2822"/>
      <c r="G5" s="271" t="s">
        <v>799</v>
      </c>
      <c r="H5" s="266" t="s">
        <v>797</v>
      </c>
      <c r="I5" s="1728">
        <f>ROUND(E31/D31,2)</f>
        <v>2.84</v>
      </c>
      <c r="J5" s="2822"/>
      <c r="K5" s="2822"/>
      <c r="L5" s="2822"/>
      <c r="M5" s="2822"/>
      <c r="N5" s="2822"/>
      <c r="O5" s="2822"/>
      <c r="P5" s="2822"/>
    </row>
    <row r="6" spans="1:16" ht="15" thickBot="1">
      <c r="A6" s="109"/>
      <c r="B6" s="3805" t="s">
        <v>174</v>
      </c>
      <c r="C6" s="3805"/>
      <c r="D6" s="107">
        <f>ROUND($D$3*E6/$E$3,2)</f>
        <v>16124.25</v>
      </c>
      <c r="E6" s="108">
        <f>E3-E5</f>
        <v>45811.100000000013</v>
      </c>
      <c r="F6" s="2822"/>
      <c r="G6" s="1099"/>
      <c r="H6" s="266" t="s">
        <v>798</v>
      </c>
      <c r="I6" s="1728">
        <f>ROUND(F31/D31,2)</f>
        <v>2.15</v>
      </c>
      <c r="J6" s="2822"/>
      <c r="K6" s="2822"/>
      <c r="L6" s="2822"/>
      <c r="M6" s="2822"/>
      <c r="N6" s="2822"/>
      <c r="O6" s="2822"/>
      <c r="P6" s="2822"/>
    </row>
    <row r="7" spans="1:16" ht="15">
      <c r="A7" s="3797"/>
      <c r="B7" s="3798"/>
      <c r="C7" s="3799"/>
      <c r="D7" s="104" t="s">
        <v>170</v>
      </c>
      <c r="E7" s="110" t="s">
        <v>197</v>
      </c>
      <c r="F7" s="2822"/>
      <c r="G7" s="1055" t="s">
        <v>1180</v>
      </c>
      <c r="H7" s="1056"/>
      <c r="I7" s="1629"/>
      <c r="J7" s="2822"/>
      <c r="K7" s="2822"/>
      <c r="L7" s="2822"/>
      <c r="M7" s="2822"/>
      <c r="N7" s="2822"/>
      <c r="O7" s="2822"/>
      <c r="P7" s="2822"/>
    </row>
    <row r="8" spans="1:16">
      <c r="A8" s="106" t="s">
        <v>175</v>
      </c>
      <c r="B8" s="111" t="s">
        <v>176</v>
      </c>
      <c r="C8" s="107" t="s">
        <v>177</v>
      </c>
      <c r="D8" s="107">
        <f t="shared" ref="D8:D15" si="0">ROUND($D$3*E8/$E$3,2)</f>
        <v>11788.3</v>
      </c>
      <c r="E8" s="112">
        <f>SUMIF('数据-基础表'!BB10:BK10,"地上",'数据-基础表'!BB5:BK5)</f>
        <v>33492.110000000008</v>
      </c>
      <c r="F8" s="2822"/>
      <c r="G8" s="2823"/>
      <c r="H8" s="2823"/>
      <c r="I8" s="2822"/>
      <c r="J8" s="2822"/>
      <c r="K8" s="2822"/>
      <c r="L8" s="2822"/>
      <c r="M8" s="2822"/>
      <c r="N8" s="2822"/>
      <c r="O8" s="2822"/>
      <c r="P8" s="2822"/>
    </row>
    <row r="9" spans="1:16">
      <c r="A9" s="113"/>
      <c r="B9" s="114"/>
      <c r="C9" s="107" t="s">
        <v>178</v>
      </c>
      <c r="D9" s="107">
        <f t="shared" si="0"/>
        <v>0</v>
      </c>
      <c r="E9" s="115">
        <v>0</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1683</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1690</v>
      </c>
      <c r="D13" s="107">
        <f t="shared" si="0"/>
        <v>2098.06</v>
      </c>
      <c r="E13" s="112">
        <f>SUMPRODUCT(('数据-基础表'!BB10:BK10="地下")*('数据-基础表'!BB11:BK11="车库")*('数据-基础表'!BB5:BK5))</f>
        <v>5960.87</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13886.359999999999</v>
      </c>
      <c r="E16" s="116">
        <f>SUM(E8:E15)</f>
        <v>39452.98000000001</v>
      </c>
      <c r="F16" s="2822"/>
      <c r="G16" s="2823"/>
      <c r="H16" s="930" t="s">
        <v>185</v>
      </c>
      <c r="I16" s="931"/>
      <c r="J16" s="1736"/>
      <c r="K16" s="3791" t="s">
        <v>1848</v>
      </c>
      <c r="L16" s="3792"/>
      <c r="M16" s="3792"/>
      <c r="N16" s="3792"/>
      <c r="O16" s="3792"/>
      <c r="P16" s="3793"/>
    </row>
    <row r="17" spans="1:19" ht="15">
      <c r="A17" s="117" t="s">
        <v>182</v>
      </c>
      <c r="B17" s="118" t="s">
        <v>183</v>
      </c>
      <c r="C17" s="2014" t="s">
        <v>1669</v>
      </c>
      <c r="D17" s="104" t="s">
        <v>170</v>
      </c>
      <c r="E17" s="120" t="s">
        <v>171</v>
      </c>
      <c r="F17" s="121"/>
      <c r="G17" s="1225"/>
      <c r="H17" s="932" t="s">
        <v>184</v>
      </c>
      <c r="I17" s="933" t="s">
        <v>1668</v>
      </c>
      <c r="J17" s="1736"/>
      <c r="K17" s="3794" t="s">
        <v>1849</v>
      </c>
      <c r="L17" s="3795"/>
      <c r="M17" s="3796"/>
      <c r="N17" s="3794" t="s">
        <v>1850</v>
      </c>
      <c r="O17" s="3795"/>
      <c r="P17" s="3796"/>
      <c r="R17" s="2015" t="s">
        <v>1667</v>
      </c>
      <c r="S17" s="137"/>
    </row>
    <row r="18" spans="1:19" ht="15">
      <c r="A18" s="113"/>
      <c r="B18" s="124"/>
      <c r="C18" s="125"/>
      <c r="D18" s="2245"/>
      <c r="E18" s="126" t="s">
        <v>186</v>
      </c>
      <c r="F18" s="127" t="s">
        <v>187</v>
      </c>
      <c r="G18" s="1226" t="s">
        <v>188</v>
      </c>
      <c r="H18" s="934" t="s">
        <v>189</v>
      </c>
      <c r="I18" s="935" t="s">
        <v>190</v>
      </c>
      <c r="J18" s="1736"/>
      <c r="K18" s="2210" t="s">
        <v>1851</v>
      </c>
      <c r="L18" s="2211" t="s">
        <v>1852</v>
      </c>
      <c r="M18" s="2212" t="s">
        <v>1853</v>
      </c>
      <c r="N18" s="2210" t="s">
        <v>1851</v>
      </c>
      <c r="O18" s="2211" t="s">
        <v>1852</v>
      </c>
      <c r="P18" s="2212" t="s">
        <v>1853</v>
      </c>
      <c r="R18" s="2016" t="s">
        <v>1665</v>
      </c>
      <c r="S18" s="2016" t="s">
        <v>1666</v>
      </c>
    </row>
    <row r="19" spans="1:19">
      <c r="A19" s="129"/>
      <c r="B19" s="111" t="s">
        <v>191</v>
      </c>
      <c r="C19" s="2494" t="s">
        <v>3601</v>
      </c>
      <c r="D19" s="107">
        <f t="shared" ref="D19:D26" si="1">ROUND($D$3*E19/$E$3,2)</f>
        <v>12167.63</v>
      </c>
      <c r="E19" s="130">
        <f t="shared" ref="E19:E26" si="2">SUM(F19:G19)</f>
        <v>34569.840000000011</v>
      </c>
      <c r="F19" s="2824">
        <f>'数据-基础表'!I13</f>
        <v>33492.110000000008</v>
      </c>
      <c r="G19" s="2825">
        <f>'数据-基础表'!K13</f>
        <v>1077.73</v>
      </c>
      <c r="H19" s="936">
        <f>ROUND($D$3*I19/$E$3,2)</f>
        <v>1585.21</v>
      </c>
      <c r="I19" s="112">
        <f>IF($I$17="自定义",P19,M19)</f>
        <v>4503.8</v>
      </c>
      <c r="J19" s="1736"/>
      <c r="K19" s="2213">
        <f t="shared" ref="K19:K26" si="3">ROUND(E$28*E19/E$27,2)</f>
        <v>4503.8</v>
      </c>
      <c r="L19" s="266">
        <f t="shared" ref="L19:L26" si="4">ROUND(IF(COUNTIF(C19,"*住宅*")&gt;0,E$29*E19/E$32,0),2)</f>
        <v>0</v>
      </c>
      <c r="M19" s="2214">
        <f>K19+L19</f>
        <v>4503.8</v>
      </c>
      <c r="N19" s="2215"/>
      <c r="O19" s="2216"/>
      <c r="P19" s="2217">
        <f>N19+O19</f>
        <v>0</v>
      </c>
      <c r="R19" s="266">
        <f t="shared" ref="R19:S26" si="5">D19+H19</f>
        <v>13752.84</v>
      </c>
      <c r="S19" s="2017">
        <f t="shared" si="5"/>
        <v>39073.640000000014</v>
      </c>
    </row>
    <row r="20" spans="1:19">
      <c r="A20" s="133"/>
      <c r="B20" s="111" t="s">
        <v>192</v>
      </c>
      <c r="C20" s="2494" t="s">
        <v>3602</v>
      </c>
      <c r="D20" s="107">
        <f t="shared" si="1"/>
        <v>2098.06</v>
      </c>
      <c r="E20" s="130">
        <f t="shared" si="2"/>
        <v>5960.87</v>
      </c>
      <c r="F20" s="2824"/>
      <c r="G20" s="2825">
        <f>'数据-基础表'!M13</f>
        <v>5960.87</v>
      </c>
      <c r="H20" s="936">
        <f t="shared" ref="H20:H26" si="6">ROUND($D$3*I20/$E$3,2)</f>
        <v>273.33999999999997</v>
      </c>
      <c r="I20" s="112">
        <f t="shared" ref="I20:I26" si="7">IF($I$17="自定义",P20,M20)</f>
        <v>776.59</v>
      </c>
      <c r="J20" s="1736"/>
      <c r="K20" s="2213">
        <f t="shared" si="3"/>
        <v>776.59</v>
      </c>
      <c r="L20" s="266">
        <f t="shared" si="4"/>
        <v>0</v>
      </c>
      <c r="M20" s="2214">
        <f t="shared" ref="M20:M26" si="8">K20+L20</f>
        <v>776.59</v>
      </c>
      <c r="N20" s="2215"/>
      <c r="O20" s="2216"/>
      <c r="P20" s="2217">
        <f t="shared" ref="P20:P26" si="9">N20+O20</f>
        <v>0</v>
      </c>
      <c r="R20" s="266">
        <f t="shared" si="5"/>
        <v>2371.4</v>
      </c>
      <c r="S20" s="2017">
        <f t="shared" si="5"/>
        <v>6737.46</v>
      </c>
    </row>
    <row r="21" spans="1:19">
      <c r="A21" s="133"/>
      <c r="B21" s="111" t="s">
        <v>192</v>
      </c>
      <c r="C21" s="2494"/>
      <c r="D21" s="107">
        <f t="shared" si="1"/>
        <v>0</v>
      </c>
      <c r="E21" s="130">
        <f t="shared" si="2"/>
        <v>0</v>
      </c>
      <c r="F21" s="2824"/>
      <c r="G21" s="2825"/>
      <c r="H21" s="936">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3"/>
      <c r="D22" s="107">
        <f t="shared" si="1"/>
        <v>0</v>
      </c>
      <c r="E22" s="130">
        <f t="shared" si="2"/>
        <v>0</v>
      </c>
      <c r="F22" s="2826"/>
      <c r="G22" s="2827"/>
      <c r="H22" s="936">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3"/>
      <c r="D23" s="107">
        <f>ROUND($D$3*E23/$E$3,2)</f>
        <v>0</v>
      </c>
      <c r="E23" s="130">
        <f>SUM(F23:G23)</f>
        <v>0</v>
      </c>
      <c r="F23" s="2826"/>
      <c r="G23" s="2827"/>
      <c r="H23" s="936">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3"/>
      <c r="D24" s="107">
        <f>ROUND($D$3*E24/$E$3,2)</f>
        <v>0</v>
      </c>
      <c r="E24" s="130">
        <f>SUM(F24:G24)</f>
        <v>0</v>
      </c>
      <c r="F24" s="2826"/>
      <c r="G24" s="2827"/>
      <c r="H24" s="936">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3"/>
      <c r="D25" s="107">
        <f t="shared" si="1"/>
        <v>0</v>
      </c>
      <c r="E25" s="130">
        <f t="shared" si="2"/>
        <v>0</v>
      </c>
      <c r="F25" s="2826"/>
      <c r="G25" s="2827"/>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6"/>
      <c r="G26" s="2827"/>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29.25" thickBot="1">
      <c r="A27" s="133"/>
      <c r="B27" s="107"/>
      <c r="C27" s="123" t="s">
        <v>181</v>
      </c>
      <c r="D27" s="130">
        <f>SUM(D19:D26)</f>
        <v>14265.689999999999</v>
      </c>
      <c r="E27" s="136">
        <f>IF(SUM(E19:E26)='数据-基础表'!BA5,SUM(E19:E26),IF(F27="地上面积有误","面积有误","地下面积有误"))</f>
        <v>40530.710000000014</v>
      </c>
      <c r="F27" s="130">
        <f>IF(SUM(F19:F26)=E8,SUM(F19:F26),"地上面积有误")</f>
        <v>33492.110000000008</v>
      </c>
      <c r="G27" s="108">
        <f>SUM(G19:G26)</f>
        <v>7038.6</v>
      </c>
      <c r="H27" s="937">
        <f>SUM(H19:H26)</f>
        <v>1858.55</v>
      </c>
      <c r="I27" s="938">
        <f>SUM(I19:I26)</f>
        <v>5280.39</v>
      </c>
      <c r="J27" s="1736"/>
      <c r="K27" s="2222">
        <f t="shared" ref="K27:P27" si="10">SUM(K19:K26)</f>
        <v>5280.39</v>
      </c>
      <c r="L27" s="2223">
        <f t="shared" si="10"/>
        <v>0</v>
      </c>
      <c r="M27" s="2224">
        <f t="shared" si="10"/>
        <v>5280.39</v>
      </c>
      <c r="N27" s="2222">
        <f t="shared" si="10"/>
        <v>0</v>
      </c>
      <c r="O27" s="2223">
        <f t="shared" si="10"/>
        <v>0</v>
      </c>
      <c r="P27" s="2225">
        <f t="shared" si="10"/>
        <v>0</v>
      </c>
      <c r="R27" s="2021" t="str">
        <f>IF(SUM(R19:R26)=$D$3,SUM(R19:R26),SUM(R19:R26)&amp;"误差"&amp;ROUND(SUM(R19:R26)-$D$3,2))</f>
        <v>16124.24误差-0.01</v>
      </c>
      <c r="S27" s="266">
        <f>IF(SUM(S19:S26)=$E$3,SUM(S19:S26),SUM(S19:S26)&amp;"误差"&amp;ROUND(SUM(S19:S26)-E3,2))</f>
        <v>45811.100000000013</v>
      </c>
    </row>
    <row r="28" spans="1:19">
      <c r="A28" s="133"/>
      <c r="B28" s="111" t="s">
        <v>193</v>
      </c>
      <c r="C28" s="131" t="s">
        <v>194</v>
      </c>
      <c r="D28" s="107">
        <f>ROUND($D$3*E28/$E$3,2)</f>
        <v>1858.55</v>
      </c>
      <c r="E28" s="130">
        <f>SUM(F28:G28)</f>
        <v>5280.39</v>
      </c>
      <c r="F28" s="137">
        <f>'数据-基础表'!BQ5+'数据-基础表'!BS5</f>
        <v>1234.6699999999998</v>
      </c>
      <c r="G28" s="138">
        <f>'数据-基础表'!BR5+'数据-基础表'!BT5</f>
        <v>4045.7200000000003</v>
      </c>
      <c r="H28" s="2822"/>
      <c r="I28" s="2822"/>
      <c r="J28" s="2822"/>
      <c r="K28" s="2822"/>
      <c r="L28" s="2822"/>
      <c r="M28" s="2822"/>
      <c r="N28" s="2822"/>
      <c r="O28" s="2822"/>
      <c r="P28" s="2822"/>
    </row>
    <row r="29" spans="1:19">
      <c r="A29" s="133"/>
      <c r="B29" s="111" t="s">
        <v>193</v>
      </c>
      <c r="C29" s="2029" t="s">
        <v>1676</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f>SUM(D28:D29)</f>
        <v>1858.55</v>
      </c>
      <c r="E30" s="130">
        <f>SUM(E28:E29)</f>
        <v>5280.39</v>
      </c>
      <c r="F30" s="130">
        <f>SUM(F28:F29)</f>
        <v>1234.6699999999998</v>
      </c>
      <c r="G30" s="108">
        <f>SUM(G28:G29)</f>
        <v>4045.7200000000003</v>
      </c>
      <c r="H30" s="2822"/>
      <c r="I30" s="2822"/>
      <c r="J30" s="2822"/>
      <c r="K30" s="2822"/>
      <c r="L30" s="2822"/>
      <c r="M30" s="2822"/>
      <c r="N30" s="2822"/>
      <c r="O30" s="2822"/>
      <c r="P30" s="2822"/>
    </row>
    <row r="31" spans="1:19" ht="32.25" customHeight="1" thickBot="1">
      <c r="A31" s="1227"/>
      <c r="B31" s="1228" t="s">
        <v>195</v>
      </c>
      <c r="C31" s="2046" t="s">
        <v>1678</v>
      </c>
      <c r="D31" s="1229">
        <f>D27+D30</f>
        <v>16124.239999999998</v>
      </c>
      <c r="E31" s="1229">
        <f>E27+E30</f>
        <v>45811.100000000013</v>
      </c>
      <c r="F31" s="1230">
        <f>F27+F30</f>
        <v>34726.780000000006</v>
      </c>
      <c r="G31" s="1231">
        <f>G27+G30</f>
        <v>11084.32</v>
      </c>
      <c r="H31" s="2822"/>
      <c r="I31" s="2822"/>
      <c r="J31" s="2822"/>
      <c r="K31" s="2822"/>
      <c r="L31" s="2822"/>
      <c r="M31" s="2822"/>
      <c r="N31" s="2822"/>
      <c r="O31" s="2822"/>
      <c r="P31" s="2822"/>
    </row>
    <row r="32" spans="1:19">
      <c r="A32" s="1736"/>
      <c r="B32" s="2058" t="s">
        <v>1677</v>
      </c>
      <c r="C32" s="2249"/>
      <c r="D32" s="1099"/>
      <c r="E32" s="1099">
        <f>SUMIF(C19:C26,"*住宅*",E19:E26)</f>
        <v>0</v>
      </c>
      <c r="F32" s="1099"/>
      <c r="G32" s="1099"/>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L6" activePane="bottomRight" state="frozen"/>
      <selection pane="topRight" activeCell="D1" sqref="D1"/>
      <selection pane="bottomLeft" activeCell="A4" sqref="A4"/>
      <selection pane="bottomRight" activeCell="P20" sqref="P2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6"/>
    <col min="42" max="42" width="13.75" style="1746" customWidth="1"/>
    <col min="43" max="83" width="13.75" style="1746"/>
    <col min="84" max="16384" width="13.75" style="1101"/>
  </cols>
  <sheetData>
    <row r="1" spans="1:83" ht="19.5" thickBot="1">
      <c r="A1" s="141" t="s">
        <v>200</v>
      </c>
      <c r="B1" s="1100"/>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4" customFormat="1" ht="15.75" thickBot="1">
      <c r="A2" s="142" t="s">
        <v>201</v>
      </c>
      <c r="B2" s="2054">
        <f>项目基本情况!D3</f>
        <v>45266</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4" customFormat="1" ht="15" thickBot="1">
      <c r="A3" s="1105"/>
      <c r="B3" s="1102"/>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10" customFormat="1" ht="40.5">
      <c r="A5" s="2020"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6" t="s">
        <v>1854</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1679</v>
      </c>
      <c r="AI5" s="164" t="s">
        <v>1648</v>
      </c>
      <c r="AJ5" s="164" t="s">
        <v>224</v>
      </c>
      <c r="AK5" s="152" t="s">
        <v>225</v>
      </c>
      <c r="AL5" s="152" t="s">
        <v>226</v>
      </c>
      <c r="AM5" s="165" t="s">
        <v>227</v>
      </c>
      <c r="AN5" s="2080" t="s">
        <v>1726</v>
      </c>
      <c r="AO5" s="2843"/>
      <c r="AP5" s="2828" t="s">
        <v>2258</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4" customFormat="1" ht="14.25">
      <c r="A6" s="2018" t="str">
        <f>'数据-汇总表'!C19</f>
        <v>养老</v>
      </c>
      <c r="B6" s="2053" t="str">
        <f>IF(A6=0,"","经营性")</f>
        <v>经营性</v>
      </c>
      <c r="C6" s="166" t="s">
        <v>2734</v>
      </c>
      <c r="D6" s="2024">
        <f>SUMIF(项目基本情况!C$15:I$15,C6,项目基本情况!C$18:I$18)</f>
        <v>50</v>
      </c>
      <c r="E6" s="2025">
        <f>IF(B6="","",SUMIF(项目基本情况!C$15:I$15,C6,项目基本情况!C$17:I$17))</f>
        <v>63227</v>
      </c>
      <c r="F6" s="167">
        <f>SUMIF(项目基本情况!C$15:I$15,C6,项目基本情况!C$19:I$19)</f>
        <v>49.2</v>
      </c>
      <c r="G6" s="168">
        <f t="shared" ref="G6:G13" si="0">IF(ISERROR(ROUND(POWER(1+H6,D6-F6)*(POWER(1+H6,F6)-1)/(POWER(1+H6,D6)-1),3)),0,ROUND(POWER(1+H6,D6-F6)*(POWER(1+H6,F6)-1)/(POWER(1+H6,D6)-1),3))</f>
        <v>0.996</v>
      </c>
      <c r="H6" s="2495">
        <v>0.05</v>
      </c>
      <c r="I6" s="2495">
        <v>5.5E-2</v>
      </c>
      <c r="J6" s="169">
        <v>7.0000000000000007E-2</v>
      </c>
      <c r="K6" s="172">
        <f>SUMIF('数据-汇总表'!C$19:C$33,'数据-取费表'!A6,'数据-汇总表'!E$19:E$33)</f>
        <v>34569.840000000011</v>
      </c>
      <c r="L6" s="2496">
        <v>4500</v>
      </c>
      <c r="M6" s="170">
        <f t="shared" ref="M6:M14" si="1">ROUND(K6*L6/10000,0)</f>
        <v>15556</v>
      </c>
      <c r="N6" s="2497">
        <v>0</v>
      </c>
      <c r="O6" s="170">
        <f>IF($N$5="成新度","——",ROUND(M6*N6,0))</f>
        <v>0</v>
      </c>
      <c r="P6" s="171">
        <f>IF($N$5="成新度","——",M6-O6)</f>
        <v>15556</v>
      </c>
      <c r="Q6" s="2498">
        <v>0.1</v>
      </c>
      <c r="R6" s="172">
        <f>SUMIF('数据-汇总表'!C$19:C$33,A6,'数据-汇总表'!R$19:R$33)</f>
        <v>13752.84</v>
      </c>
      <c r="S6" s="128">
        <f>IF('数据-汇总表'!$I$17="按面积比例",SUMIF('数据-汇总表'!C$19:C$33,A6,'数据-汇总表'!K$19:K$33),SUMIF('数据-汇总表'!C$19:C$33,A6,'数据-汇总表'!N$19:N$33))</f>
        <v>4503.8</v>
      </c>
      <c r="T6" s="1950">
        <f>IF($T$4="按面积比例",IF(ISERROR(ROUND($M$14*S6/S$16,0)),"0",ROUND($M$14*S6/S$16,0)),"需自行计算录入")</f>
        <v>1576</v>
      </c>
      <c r="U6" s="3716">
        <v>2.7</v>
      </c>
      <c r="V6" s="174">
        <v>0</v>
      </c>
      <c r="W6" s="174">
        <v>0.1</v>
      </c>
      <c r="X6" s="2037"/>
      <c r="Y6" s="175">
        <v>1</v>
      </c>
      <c r="Z6" s="176"/>
      <c r="AA6" s="169"/>
      <c r="AB6" s="169"/>
      <c r="AC6" s="2040"/>
      <c r="AD6" s="177"/>
      <c r="AE6" s="934">
        <f ca="1">IF(AN6="",0,SUMIF(INDIRECT("'"&amp;AN6&amp;"'"&amp;"!E:E"),$AE$5,INDIRECT("'"&amp;AN6&amp;"'"&amp;"!F:F")))</f>
        <v>47.2</v>
      </c>
      <c r="AF6" s="134"/>
      <c r="AG6" s="1111">
        <f>IF(AF6="",0,AE6-AF6)</f>
        <v>0</v>
      </c>
      <c r="AH6" s="3703"/>
      <c r="AI6" s="180">
        <v>365</v>
      </c>
      <c r="AJ6" s="181"/>
      <c r="AK6" s="3670">
        <v>0.01</v>
      </c>
      <c r="AL6" s="3671">
        <v>1.5E-3</v>
      </c>
      <c r="AM6" s="3672">
        <v>0.01</v>
      </c>
      <c r="AN6" s="2081" t="s">
        <v>3299</v>
      </c>
      <c r="AO6" s="2832"/>
      <c r="AP6" s="1102">
        <f>ROUND(1-1/(1+H6)^F6,3)</f>
        <v>0.90900000000000003</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4" customFormat="1" ht="14.25">
      <c r="A7" s="2018" t="str">
        <f>'数据-汇总表'!C20</f>
        <v>车库</v>
      </c>
      <c r="B7" s="2053" t="str">
        <f t="shared" ref="B7:B13" si="2">IF(A7=0,"","经营性")</f>
        <v>经营性</v>
      </c>
      <c r="C7" s="166" t="s">
        <v>2737</v>
      </c>
      <c r="D7" s="2024">
        <f>SUMIF(项目基本情况!C$15:I$15,C7,项目基本情况!C$18:I$18)</f>
        <v>50</v>
      </c>
      <c r="E7" s="2025">
        <f>IF(B7="","",SUMIF(项目基本情况!C$15:I$15,C7,项目基本情况!C$17:I$17))</f>
        <v>63227</v>
      </c>
      <c r="F7" s="167">
        <f>SUMIF(项目基本情况!C$15:I$15,C7,项目基本情况!C$19:I$19)</f>
        <v>49.2</v>
      </c>
      <c r="G7" s="168">
        <f t="shared" si="0"/>
        <v>0.996</v>
      </c>
      <c r="H7" s="2495">
        <v>0.05</v>
      </c>
      <c r="I7" s="2495">
        <v>5.5E-2</v>
      </c>
      <c r="J7" s="169">
        <v>7.0000000000000007E-2</v>
      </c>
      <c r="K7" s="172">
        <f>SUMIF('数据-汇总表'!C$19:C$33,'数据-取费表'!A7,'数据-汇总表'!E$19:E$33)</f>
        <v>5960.87</v>
      </c>
      <c r="L7" s="2496">
        <v>3500</v>
      </c>
      <c r="M7" s="170">
        <f t="shared" si="1"/>
        <v>2086</v>
      </c>
      <c r="N7" s="2497">
        <v>0</v>
      </c>
      <c r="O7" s="170">
        <f t="shared" ref="O7:O14" si="3">IF($N$5="成新度","——",ROUND(M7*N7,0))</f>
        <v>0</v>
      </c>
      <c r="P7" s="171">
        <f t="shared" ref="P7:P14" si="4">IF($N$5="成新度","——",M7-O7)</f>
        <v>2086</v>
      </c>
      <c r="Q7" s="2498">
        <v>0.05</v>
      </c>
      <c r="R7" s="172">
        <f>SUMIF('数据-汇总表'!C$19:C$33,A7,'数据-汇总表'!R$19:R$33)</f>
        <v>2371.4</v>
      </c>
      <c r="S7" s="128">
        <f>IF('数据-汇总表'!$I$17="按面积比例",SUMIF('数据-汇总表'!C$19:C$33,A7,'数据-汇总表'!K$19:K$33),SUMIF('数据-汇总表'!C$19:C$33,A7,'数据-汇总表'!N$19:N$33))</f>
        <v>776.59</v>
      </c>
      <c r="T7" s="1950">
        <f t="shared" ref="T7:T13" si="5">IF($T$4="按面积比例",IF(ISERROR(ROUND($M$14*S7/S$16,0)),"0",ROUND($M$14*S7/S$16,0)),"需自行计算录入")</f>
        <v>272</v>
      </c>
      <c r="U7" s="3717"/>
      <c r="V7" s="174">
        <f>V6</f>
        <v>0</v>
      </c>
      <c r="W7" s="174">
        <v>0.1</v>
      </c>
      <c r="X7" s="2037"/>
      <c r="Y7" s="175">
        <v>1</v>
      </c>
      <c r="Z7" s="176"/>
      <c r="AA7" s="169"/>
      <c r="AB7" s="169"/>
      <c r="AC7" s="2040"/>
      <c r="AD7" s="177"/>
      <c r="AE7" s="934">
        <f t="shared" ref="AE7:AE13" ca="1" si="6">IF(AN7="",0,SUMIF(INDIRECT("'"&amp;AN7&amp;"'"&amp;"!E:E"),$AE$5,INDIRECT("'"&amp;AN7&amp;"'"&amp;"!F:F")))</f>
        <v>47.2</v>
      </c>
      <c r="AF7" s="134"/>
      <c r="AG7" s="1111">
        <f t="shared" ref="AG7:AG13" si="7">IF(AF7="",0,AE7-AF7)</f>
        <v>0</v>
      </c>
      <c r="AH7" s="3669">
        <f>面积表!B32</f>
        <v>176</v>
      </c>
      <c r="AI7" s="180">
        <v>12</v>
      </c>
      <c r="AJ7" s="181"/>
      <c r="AK7" s="3670">
        <v>5.0000000000000001E-3</v>
      </c>
      <c r="AL7" s="3671">
        <v>1E-3</v>
      </c>
      <c r="AM7" s="3672">
        <v>5.0000000000000001E-3</v>
      </c>
      <c r="AN7" s="2081" t="s">
        <v>3300</v>
      </c>
      <c r="AO7" s="2832"/>
      <c r="AP7" s="1102">
        <f t="shared" ref="AP7:AP13" si="8">ROUND(1-1/(1+H7)^F7,3)</f>
        <v>0.90900000000000003</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4"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6"/>
      <c r="M8" s="170">
        <f>ROUND(K8*L8/10000,0)</f>
        <v>0</v>
      </c>
      <c r="N8" s="2497"/>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4">
        <f t="shared" ca="1" si="6"/>
        <v>0</v>
      </c>
      <c r="AF8" s="134"/>
      <c r="AG8" s="1111">
        <f t="shared" si="7"/>
        <v>0</v>
      </c>
      <c r="AH8" s="3703"/>
      <c r="AI8" s="180"/>
      <c r="AJ8" s="181"/>
      <c r="AK8" s="182"/>
      <c r="AL8" s="183"/>
      <c r="AM8" s="2507"/>
      <c r="AN8" s="2081"/>
      <c r="AO8" s="2832" t="e">
        <f>K8/AH8</f>
        <v>#DIV/0!</v>
      </c>
      <c r="AP8" s="1102">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4"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4">
        <f t="shared" ca="1" si="6"/>
        <v>0</v>
      </c>
      <c r="AF9" s="134"/>
      <c r="AG9" s="1111">
        <f t="shared" si="7"/>
        <v>0</v>
      </c>
      <c r="AH9" s="134"/>
      <c r="AI9" s="180"/>
      <c r="AJ9" s="181"/>
      <c r="AK9" s="182"/>
      <c r="AL9" s="183"/>
      <c r="AM9" s="2507"/>
      <c r="AN9" s="2081"/>
      <c r="AO9" s="2832"/>
      <c r="AP9" s="1102">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4"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4">
        <f t="shared" ca="1" si="6"/>
        <v>0</v>
      </c>
      <c r="AF10" s="134"/>
      <c r="AG10" s="1111">
        <f t="shared" si="7"/>
        <v>0</v>
      </c>
      <c r="AH10" s="134"/>
      <c r="AI10" s="180"/>
      <c r="AJ10" s="181"/>
      <c r="AK10" s="182"/>
      <c r="AL10" s="183"/>
      <c r="AM10" s="2507"/>
      <c r="AN10" s="2081"/>
      <c r="AO10" s="2832"/>
      <c r="AP10" s="1102">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4"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4">
        <f t="shared" ca="1" si="6"/>
        <v>0</v>
      </c>
      <c r="AF11" s="134"/>
      <c r="AG11" s="1111">
        <f t="shared" si="7"/>
        <v>0</v>
      </c>
      <c r="AH11" s="134"/>
      <c r="AI11" s="180"/>
      <c r="AJ11" s="181"/>
      <c r="AK11" s="182"/>
      <c r="AL11" s="183"/>
      <c r="AM11" s="2507"/>
      <c r="AN11" s="2081"/>
      <c r="AO11" s="2832"/>
      <c r="AP11" s="1102">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4"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4">
        <f t="shared" ca="1" si="6"/>
        <v>0</v>
      </c>
      <c r="AF12" s="134"/>
      <c r="AG12" s="1111">
        <f t="shared" si="7"/>
        <v>0</v>
      </c>
      <c r="AH12" s="134"/>
      <c r="AI12" s="180"/>
      <c r="AJ12" s="181"/>
      <c r="AK12" s="182"/>
      <c r="AL12" s="183"/>
      <c r="AM12" s="2507"/>
      <c r="AN12" s="2081"/>
      <c r="AO12" s="2832"/>
      <c r="AP12" s="1102">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4"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4">
        <f t="shared" ca="1" si="6"/>
        <v>0</v>
      </c>
      <c r="AF13" s="134"/>
      <c r="AG13" s="1111">
        <f t="shared" si="7"/>
        <v>0</v>
      </c>
      <c r="AH13" s="134"/>
      <c r="AI13" s="180"/>
      <c r="AJ13" s="181"/>
      <c r="AK13" s="182"/>
      <c r="AL13" s="183"/>
      <c r="AM13" s="2079"/>
      <c r="AN13" s="2081"/>
      <c r="AO13" s="2832"/>
      <c r="AP13" s="1102">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4" customFormat="1" ht="14.25">
      <c r="A14" s="2019" t="s">
        <v>1670</v>
      </c>
      <c r="B14" s="2022" t="s">
        <v>1213</v>
      </c>
      <c r="C14" s="2023" t="s">
        <v>1670</v>
      </c>
      <c r="D14" s="2024"/>
      <c r="E14" s="2025"/>
      <c r="F14" s="167"/>
      <c r="G14" s="168"/>
      <c r="H14" s="2026"/>
      <c r="I14" s="2026"/>
      <c r="J14" s="2026"/>
      <c r="K14" s="172">
        <f>SUMIF('数据-汇总表'!C$19:C$33,'数据-取费表'!A14,'数据-汇总表'!E$19:E$33)</f>
        <v>5280.39</v>
      </c>
      <c r="L14" s="186">
        <f>L7</f>
        <v>3500</v>
      </c>
      <c r="M14" s="170">
        <f t="shared" si="1"/>
        <v>1848</v>
      </c>
      <c r="N14" s="187">
        <v>0</v>
      </c>
      <c r="O14" s="170">
        <f t="shared" si="3"/>
        <v>0</v>
      </c>
      <c r="P14" s="171">
        <f t="shared" si="4"/>
        <v>1848</v>
      </c>
      <c r="Q14" s="2034"/>
      <c r="R14" s="172"/>
      <c r="S14" s="128"/>
      <c r="T14" s="2033"/>
      <c r="U14" s="936"/>
      <c r="V14" s="2036"/>
      <c r="W14" s="2036"/>
      <c r="X14" s="2037"/>
      <c r="Y14" s="2038"/>
      <c r="Z14" s="131"/>
      <c r="AA14" s="2039"/>
      <c r="AB14" s="2039"/>
      <c r="AC14" s="2040"/>
      <c r="AD14" s="2037"/>
      <c r="AE14" s="934"/>
      <c r="AF14" s="2012"/>
      <c r="AG14" s="1111"/>
      <c r="AH14" s="2012"/>
      <c r="AI14" s="1383"/>
      <c r="AJ14" s="1383"/>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4" customFormat="1" ht="27">
      <c r="A15" s="2028" t="s">
        <v>1672</v>
      </c>
      <c r="B15" s="2022" t="s">
        <v>1213</v>
      </c>
      <c r="C15" s="2023" t="s">
        <v>1671</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6"/>
      <c r="V15" s="2036"/>
      <c r="W15" s="2036"/>
      <c r="X15" s="2037"/>
      <c r="Y15" s="2038"/>
      <c r="Z15" s="131"/>
      <c r="AA15" s="2039"/>
      <c r="AB15" s="2039"/>
      <c r="AC15" s="2040"/>
      <c r="AD15" s="2037"/>
      <c r="AE15" s="934"/>
      <c r="AF15" s="2012"/>
      <c r="AG15" s="1111"/>
      <c r="AH15" s="2012"/>
      <c r="AI15" s="1383"/>
      <c r="AJ15" s="1383"/>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4" customFormat="1" ht="15.75" thickBot="1">
      <c r="A16" s="189" t="s">
        <v>228</v>
      </c>
      <c r="B16" s="190"/>
      <c r="C16" s="191"/>
      <c r="D16" s="192"/>
      <c r="E16" s="190"/>
      <c r="F16" s="190"/>
      <c r="G16" s="193">
        <f>ROUND(SUMPRODUCT(G6:G13,K6:K13)/SUMPRODUCT((G6:G13&gt;0)*(K6:K13)),3)</f>
        <v>0.996</v>
      </c>
      <c r="H16" s="194">
        <f>ROUND(SUMPRODUCT(H6:H13,K6:K13)/SUMPRODUCT((H6:H13&gt;0)*(K6:K13)),3)</f>
        <v>0.05</v>
      </c>
      <c r="I16" s="195"/>
      <c r="J16" s="195"/>
      <c r="K16" s="196">
        <f>SUM(K6:K15)</f>
        <v>45811.100000000013</v>
      </c>
      <c r="L16" s="197">
        <f>ROUND(M16*10000/SUM(K6:K14),0)</f>
        <v>4254</v>
      </c>
      <c r="M16" s="197">
        <f>SUM(M6:M14)</f>
        <v>19490</v>
      </c>
      <c r="N16" s="198">
        <f>ROUND(SUMPRODUCT(M6:M14,N6:N14)/M16,3)</f>
        <v>0</v>
      </c>
      <c r="O16" s="197">
        <f>SUM(O6:O14)</f>
        <v>0</v>
      </c>
      <c r="P16" s="197">
        <f>SUM(P6:P14)</f>
        <v>19490</v>
      </c>
      <c r="Q16" s="199">
        <f>ROUND(SUMPRODUCT(Q6:Q13,K6:K13)/SUMPRODUCT((Q6:Q13&gt;0)*(K6:K13)),2)</f>
        <v>0.09</v>
      </c>
      <c r="R16" s="2027">
        <f>SUM(R6:R13)</f>
        <v>16124.24</v>
      </c>
      <c r="S16" s="200">
        <f>SUM(S6:S13)</f>
        <v>5280.39</v>
      </c>
      <c r="T16" s="201">
        <f>IF(SUMIF(T6:T13,"&lt;9E307")=M14,SUMIF(T6:T13,"&lt;9E307"),"有误，请检查")</f>
        <v>1848</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2">
        <f>ROUND(SUMPRODUCT(AP6:AP13,K6:K13)/SUMPRODUCT((AP6:AP13&gt;0)*(K6:K13)),3)</f>
        <v>0.90900000000000003</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2"/>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3688" t="s">
        <v>3608</v>
      </c>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2270</v>
      </c>
      <c r="D19" s="2833"/>
      <c r="E19" s="2832"/>
      <c r="F19" s="2832"/>
      <c r="G19" s="2832"/>
      <c r="H19" s="2832"/>
      <c r="I19" s="2832"/>
      <c r="J19" s="3702" t="s">
        <v>3600</v>
      </c>
      <c r="K19" s="2831">
        <f>面积表!A5</f>
        <v>5503.04</v>
      </c>
      <c r="L19" s="3712">
        <v>3500</v>
      </c>
      <c r="M19" s="2829"/>
      <c r="N19" s="2829"/>
      <c r="O19" s="2829"/>
      <c r="P19" s="2829"/>
      <c r="Q19" s="2829"/>
      <c r="R19" s="2829"/>
      <c r="S19" s="2829"/>
      <c r="T19" s="2829"/>
      <c r="U19" s="3689" t="s">
        <v>3606</v>
      </c>
      <c r="V19" s="3689">
        <f>'数据-汇总表'!F19</f>
        <v>33492.110000000008</v>
      </c>
      <c r="W19" s="3688">
        <v>2.7</v>
      </c>
      <c r="X19" s="3688"/>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1691</v>
      </c>
      <c r="D20" s="2833"/>
      <c r="E20" s="2832"/>
      <c r="F20" s="2832"/>
      <c r="G20" s="2832"/>
      <c r="H20" s="2832"/>
      <c r="I20" s="2832"/>
      <c r="J20" s="3702" t="s">
        <v>3552</v>
      </c>
      <c r="K20" s="3700">
        <f>'数据-基础表'!AT13</f>
        <v>7545.78</v>
      </c>
      <c r="L20" s="3712">
        <v>3000</v>
      </c>
      <c r="M20" s="2829" t="s">
        <v>3603</v>
      </c>
      <c r="N20" s="2829"/>
      <c r="O20" s="2829" t="s">
        <v>3603</v>
      </c>
      <c r="P20" s="2829"/>
      <c r="Q20" s="2829"/>
      <c r="R20" s="2829"/>
      <c r="S20" s="2829"/>
      <c r="T20" s="2829"/>
      <c r="U20" s="3688" t="s">
        <v>3607</v>
      </c>
      <c r="V20" s="2829">
        <f>'数据-汇总表'!G19</f>
        <v>1077.73</v>
      </c>
      <c r="W20" s="2829">
        <v>1</v>
      </c>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f>ROUND((K19*L19++K20*L20)/K16,0)</f>
        <v>915</v>
      </c>
      <c r="M21" s="2829"/>
      <c r="N21" s="2829"/>
      <c r="O21" s="2829"/>
      <c r="P21" s="2829"/>
      <c r="Q21" s="2829"/>
      <c r="R21" s="2829"/>
      <c r="S21" s="2829"/>
      <c r="T21" s="2829"/>
      <c r="U21" s="2829"/>
      <c r="V21" s="2829"/>
      <c r="W21" s="2829">
        <f>ROUND((V19*W19+V20*W20)/(V19+V20),1)</f>
        <v>2.6</v>
      </c>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29"/>
      <c r="K23" s="2831"/>
      <c r="L23" s="3699"/>
      <c r="M23" s="3688"/>
      <c r="N23" s="3688"/>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3688"/>
      <c r="K24" s="3699"/>
      <c r="L24" s="2831"/>
      <c r="M24" s="2829"/>
      <c r="N24" s="2829"/>
      <c r="O24" s="2829"/>
      <c r="P24" s="2829"/>
      <c r="Q24" s="2829"/>
      <c r="R24" s="2829"/>
      <c r="S24" s="2829"/>
      <c r="T24" s="2829"/>
      <c r="U24" s="3688" t="s">
        <v>3628</v>
      </c>
      <c r="V24" s="2829"/>
      <c r="W24" s="2829">
        <f>收益依据!P17</f>
        <v>3.6050724637681162</v>
      </c>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5"/>
      <c r="B25" s="1102"/>
      <c r="C25" s="2832"/>
      <c r="D25" s="2833"/>
      <c r="E25" s="2832"/>
      <c r="F25" s="2832"/>
      <c r="G25" s="2832"/>
      <c r="H25" s="2832"/>
      <c r="I25" s="2832"/>
      <c r="J25" s="2829"/>
      <c r="K25" s="3699"/>
      <c r="L25" s="2831"/>
      <c r="M25" s="2829"/>
      <c r="N25" s="2829"/>
      <c r="O25" s="2829"/>
      <c r="P25" s="3688"/>
      <c r="Q25" s="3701"/>
      <c r="R25" s="2829"/>
      <c r="S25" s="2829"/>
      <c r="T25" s="2829"/>
      <c r="U25" s="2829"/>
      <c r="V25" s="2829"/>
      <c r="W25" s="2829">
        <f>ROUND(W24*面积表!C8/'数据-汇总表'!E19,1)</f>
        <v>2.5</v>
      </c>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3688"/>
      <c r="K26" s="2831"/>
      <c r="L26" s="3700"/>
      <c r="M26" s="2829"/>
      <c r="N26" s="2829"/>
      <c r="O26" s="2829"/>
      <c r="P26" s="3688"/>
      <c r="Q26" s="3701"/>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3" customFormat="1" ht="27.75">
      <c r="A27" s="217" t="s">
        <v>1693</v>
      </c>
      <c r="B27" s="218">
        <v>160</v>
      </c>
      <c r="C27" s="2845" t="s">
        <v>2271</v>
      </c>
      <c r="D27" s="2836"/>
      <c r="E27" s="2837"/>
      <c r="F27" s="2837"/>
      <c r="G27" s="2832"/>
      <c r="H27" s="2832"/>
      <c r="I27" s="2832"/>
      <c r="J27" s="3688"/>
      <c r="K27" s="2831"/>
      <c r="L27" s="3700"/>
      <c r="M27" s="2829"/>
      <c r="N27" s="2829"/>
      <c r="O27" s="2829"/>
      <c r="P27" s="3688"/>
      <c r="Q27" s="3701"/>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3" customFormat="1" ht="27.75">
      <c r="A28" s="219" t="s">
        <v>1694</v>
      </c>
      <c r="B28" s="220">
        <v>200</v>
      </c>
      <c r="C28" s="2838"/>
      <c r="D28" s="2836"/>
      <c r="E28" s="2837"/>
      <c r="F28" s="2837"/>
      <c r="G28" s="2832"/>
      <c r="H28" s="2832"/>
      <c r="I28" s="2832"/>
      <c r="J28" s="3688"/>
      <c r="K28" s="2831"/>
      <c r="L28" s="3700"/>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3" customFormat="1" ht="28.5" thickBot="1">
      <c r="A29" s="222" t="s">
        <v>1692</v>
      </c>
      <c r="B29" s="223">
        <v>0</v>
      </c>
      <c r="C29" s="2846" t="s">
        <v>1695</v>
      </c>
      <c r="D29" s="2836"/>
      <c r="E29" s="2837"/>
      <c r="F29" s="2837"/>
      <c r="G29" s="2832"/>
      <c r="H29" s="2832"/>
      <c r="I29" s="2832"/>
      <c r="J29" s="2829"/>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3" customFormat="1" ht="27">
      <c r="A30" s="226" t="s">
        <v>239</v>
      </c>
      <c r="B30" s="940">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3" customFormat="1" ht="27">
      <c r="A31" s="219" t="s">
        <v>240</v>
      </c>
      <c r="B31" s="221">
        <f>B30-B32</f>
        <v>200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3" customFormat="1" ht="27.75" thickBot="1">
      <c r="A32" s="228" t="s">
        <v>241</v>
      </c>
      <c r="B32" s="1235">
        <v>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3" customFormat="1" ht="14.25">
      <c r="A33" s="217" t="s">
        <v>244</v>
      </c>
      <c r="B33" s="1236">
        <v>0.03</v>
      </c>
      <c r="C33" s="2847" t="s">
        <v>2259</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7" t="s">
        <v>2260</v>
      </c>
      <c r="D34" s="2848" t="s">
        <v>2267</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f>B30</f>
        <v>200</v>
      </c>
      <c r="C35" s="2847" t="s">
        <v>2261</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2262</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v>0.02</v>
      </c>
      <c r="C37" s="2847" t="s">
        <v>2263</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v>0.02</v>
      </c>
      <c r="C38" s="2847" t="s">
        <v>2263</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1800</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2285</v>
      </c>
      <c r="B40" s="2127">
        <f ca="1">IF(A40="利息：取LPR",存贷款利率!E2,存贷款利率!E2+C40)</f>
        <v>3.4500000000000003E-2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41"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41"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v>0.05</v>
      </c>
      <c r="C44" s="2847" t="s">
        <v>2268</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v>0.03</v>
      </c>
      <c r="C45" s="2850" t="s">
        <v>2264</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v>0.02</v>
      </c>
      <c r="C46" s="2850" t="s">
        <v>2265</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2272</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v>0.03</v>
      </c>
      <c r="C48" s="2850" t="s">
        <v>2264</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2266</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t="s">
        <v>1153</v>
      </c>
      <c r="C53" s="2840" t="s">
        <v>2165</v>
      </c>
      <c r="D53" s="2851" t="s">
        <v>2269</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2166</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2167</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2168</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2169</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2170</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2171</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2172</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2173</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2174</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2175</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onditionalFormatting>
  <conditionalFormatting sqref="T6:T13">
    <cfRule type="containsText" dxfId="204" priority="10" stopIfTrue="1" operator="containsText" text="自行计算">
      <formula>NOT(ISERROR(SEARCH("自行计算",T6)))</formula>
    </cfRule>
    <cfRule type="containsText" dxfId="203" priority="11" stopIfTrue="1" operator="containsText" text="自行计算">
      <formula>NOT(ISERROR(SEARCH("自行计算",T6)))</formula>
    </cfRule>
  </conditionalFormatting>
  <conditionalFormatting sqref="T12:T13">
    <cfRule type="containsText" dxfId="202" priority="4" stopIfTrue="1" operator="containsText" text="自行计算">
      <formula>NOT(ISERROR(SEARCH("自行计算",T12)))</formula>
    </cfRule>
    <cfRule type="containsText" dxfId="201" priority="5" stopIfTrue="1" operator="containsText" text="自行计算">
      <formula>NOT(ISERROR(SEARCH("自行计算",T12)))</formula>
    </cfRule>
  </conditionalFormatting>
  <conditionalFormatting sqref="T12:T13">
    <cfRule type="containsText" dxfId="200" priority="2" stopIfTrue="1" operator="containsText" text="自行计算">
      <formula>NOT(ISERROR(SEARCH("自行计算",T12)))</formula>
    </cfRule>
    <cfRule type="containsText" dxfId="199" priority="3" stopIfTrue="1" operator="containsText" text="自行计算">
      <formula>NOT(ISERROR(SEARCH("自行计算",T12)))</formula>
    </cfRule>
  </conditionalFormatting>
  <conditionalFormatting sqref="T6:T15">
    <cfRule type="expression" dxfId="19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3"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3"/>
  </cols>
  <sheetData>
    <row r="1" spans="1:18" s="2857" customFormat="1" ht="19.5" thickBot="1">
      <c r="A1" s="3806" t="s">
        <v>1198</v>
      </c>
      <c r="B1" s="3807"/>
      <c r="C1" s="3807"/>
      <c r="D1" s="3807"/>
      <c r="E1" s="3807"/>
      <c r="F1" s="3807"/>
      <c r="G1" s="3807"/>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28.5">
      <c r="A3" s="2864" t="s">
        <v>1201</v>
      </c>
      <c r="B3" s="2865" t="s">
        <v>1188</v>
      </c>
      <c r="C3" s="3713" t="s">
        <v>3604</v>
      </c>
      <c r="D3" s="2866"/>
      <c r="E3" s="2867" t="s">
        <v>1201</v>
      </c>
      <c r="F3" s="2868" t="s">
        <v>1189</v>
      </c>
      <c r="G3" s="2869" t="s">
        <v>2180</v>
      </c>
      <c r="H3" s="2863"/>
      <c r="I3" s="2863"/>
      <c r="J3" s="2863"/>
      <c r="K3" s="2863"/>
      <c r="L3" s="2863"/>
      <c r="M3" s="2863"/>
      <c r="N3" s="2863"/>
      <c r="O3" s="2863"/>
      <c r="P3" s="2863"/>
      <c r="Q3" s="2863"/>
      <c r="R3" s="2863"/>
    </row>
    <row r="4" spans="1:18" ht="40.5">
      <c r="A4" s="2867"/>
      <c r="B4" s="2870" t="s">
        <v>1202</v>
      </c>
      <c r="C4" s="3714" t="s">
        <v>3604</v>
      </c>
      <c r="D4" s="2866"/>
      <c r="E4" s="2871"/>
      <c r="F4" s="2872" t="s">
        <v>1203</v>
      </c>
      <c r="G4" s="2873" t="s">
        <v>2177</v>
      </c>
      <c r="H4" s="2863"/>
      <c r="I4" s="2863"/>
      <c r="J4" s="2863"/>
      <c r="K4" s="2863"/>
      <c r="L4" s="2863"/>
      <c r="M4" s="2863"/>
      <c r="N4" s="2863"/>
      <c r="O4" s="2863"/>
      <c r="P4" s="2863"/>
      <c r="Q4" s="2863"/>
      <c r="R4" s="2863"/>
    </row>
    <row r="5" spans="1:18" ht="27">
      <c r="A5" s="2867"/>
      <c r="B5" s="2870" t="s">
        <v>1204</v>
      </c>
      <c r="C5" s="3714" t="s">
        <v>3604</v>
      </c>
      <c r="D5" s="2866"/>
      <c r="E5" s="2871"/>
      <c r="F5" s="2870" t="s">
        <v>1828</v>
      </c>
      <c r="G5" s="2873" t="s">
        <v>2178</v>
      </c>
      <c r="H5" s="2863"/>
      <c r="I5" s="2863"/>
      <c r="J5" s="2863"/>
      <c r="K5" s="2863"/>
      <c r="L5" s="2863"/>
      <c r="M5" s="2863"/>
      <c r="N5" s="2863"/>
      <c r="O5" s="2863"/>
      <c r="P5" s="2863"/>
      <c r="Q5" s="2863"/>
      <c r="R5" s="2863"/>
    </row>
    <row r="6" spans="1:18">
      <c r="A6" s="2867"/>
      <c r="B6" s="2870" t="s">
        <v>1190</v>
      </c>
      <c r="C6" s="3715" t="s">
        <v>3604</v>
      </c>
      <c r="D6" s="2866"/>
      <c r="E6" s="2871"/>
      <c r="F6" s="2870" t="s">
        <v>1829</v>
      </c>
      <c r="G6" s="2873" t="s">
        <v>2176</v>
      </c>
      <c r="H6" s="2863"/>
      <c r="I6" s="2863"/>
      <c r="J6" s="2863"/>
      <c r="K6" s="2863"/>
      <c r="L6" s="2863"/>
      <c r="M6" s="2863"/>
      <c r="N6" s="2863"/>
      <c r="O6" s="2863"/>
      <c r="P6" s="2863"/>
      <c r="Q6" s="2863"/>
      <c r="R6" s="2863"/>
    </row>
    <row r="7" spans="1:18" ht="27.75" thickBot="1">
      <c r="A7" s="2867"/>
      <c r="B7" s="2870" t="s">
        <v>1828</v>
      </c>
      <c r="C7" s="3715" t="s">
        <v>3604</v>
      </c>
      <c r="D7" s="2874"/>
      <c r="E7" s="2875"/>
      <c r="F7" s="2876" t="s">
        <v>1205</v>
      </c>
      <c r="G7" s="2877" t="s">
        <v>2179</v>
      </c>
      <c r="H7" s="2863"/>
      <c r="I7" s="2863"/>
      <c r="J7" s="2863"/>
      <c r="K7" s="2863"/>
      <c r="L7" s="2863"/>
      <c r="M7" s="2863"/>
      <c r="N7" s="2863"/>
      <c r="O7" s="2863"/>
      <c r="P7" s="2863"/>
      <c r="Q7" s="2863"/>
      <c r="R7" s="2863"/>
    </row>
    <row r="8" spans="1:18">
      <c r="A8" s="2867"/>
      <c r="B8" s="2870" t="s">
        <v>1829</v>
      </c>
      <c r="C8" s="3715" t="s">
        <v>3605</v>
      </c>
      <c r="D8" s="2874"/>
      <c r="E8" s="2874"/>
      <c r="F8" s="2878"/>
      <c r="G8" s="2878"/>
      <c r="H8" s="2863"/>
      <c r="I8" s="2863"/>
      <c r="J8" s="2863"/>
      <c r="K8" s="2863"/>
      <c r="L8" s="2863"/>
      <c r="M8" s="2863"/>
      <c r="N8" s="2863"/>
      <c r="O8" s="2863"/>
      <c r="P8" s="2863"/>
      <c r="Q8" s="2863"/>
      <c r="R8" s="2863"/>
    </row>
    <row r="9" spans="1:18">
      <c r="A9" s="2867"/>
      <c r="B9" s="2870" t="s">
        <v>1191</v>
      </c>
      <c r="C9" s="3714" t="s">
        <v>3604</v>
      </c>
      <c r="D9" s="2866"/>
      <c r="E9" s="2874"/>
      <c r="F9" s="2878"/>
      <c r="G9" s="2878"/>
      <c r="H9" s="2863"/>
      <c r="I9" s="2863"/>
      <c r="J9" s="2863"/>
      <c r="K9" s="2863"/>
      <c r="L9" s="2863"/>
      <c r="M9" s="2863"/>
      <c r="N9" s="2863"/>
      <c r="O9" s="2863"/>
      <c r="P9" s="2863"/>
      <c r="Q9" s="2863"/>
      <c r="R9" s="2863"/>
    </row>
    <row r="10" spans="1:18" s="2885" customFormat="1" ht="15" thickBot="1">
      <c r="A10" s="2879"/>
      <c r="B10" s="2880" t="s">
        <v>1206</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8.75">
      <c r="A12" s="2886"/>
      <c r="B12" s="2874"/>
      <c r="C12" s="2866"/>
      <c r="D12" s="2888"/>
      <c r="E12" s="2866"/>
      <c r="F12" s="2874"/>
      <c r="G12" s="2887"/>
      <c r="H12" s="2889"/>
      <c r="I12" s="2890"/>
      <c r="J12" s="2889"/>
      <c r="K12" s="2889"/>
      <c r="L12" s="2891"/>
      <c r="M12" s="2889"/>
      <c r="N12" s="2892"/>
      <c r="O12" s="2893"/>
      <c r="P12" s="2894"/>
      <c r="Q12" s="2892"/>
      <c r="R12" s="2856"/>
    </row>
    <row r="13" spans="1:18" ht="19.5" thickBot="1">
      <c r="A13" s="2895" t="s">
        <v>1207</v>
      </c>
      <c r="B13" s="2888"/>
      <c r="C13" s="2888"/>
      <c r="D13" s="2861"/>
      <c r="E13" s="2888"/>
      <c r="F13" s="2888"/>
      <c r="G13" s="2888"/>
    </row>
    <row r="14" spans="1:18" ht="14.25" thickBot="1">
      <c r="A14" s="2900"/>
      <c r="B14" s="2900"/>
      <c r="C14" s="2901" t="s">
        <v>1199</v>
      </c>
      <c r="D14" s="2866"/>
      <c r="E14" s="2902"/>
      <c r="F14" s="2902"/>
      <c r="G14" s="2860" t="s">
        <v>1200</v>
      </c>
    </row>
    <row r="15" spans="1:18" ht="27">
      <c r="A15" s="2903" t="s">
        <v>1192</v>
      </c>
      <c r="B15" s="2904" t="s">
        <v>1188</v>
      </c>
      <c r="C15" s="2905" t="str">
        <f>C3</f>
        <v>一般</v>
      </c>
      <c r="D15" s="2866"/>
      <c r="E15" s="2906" t="s">
        <v>1193</v>
      </c>
      <c r="F15" s="2904" t="s">
        <v>1208</v>
      </c>
      <c r="G15" s="2907" t="str">
        <f>G3</f>
        <v>估价对象位于XX开发区，园区建设成熟度XX，产业集聚程度XX</v>
      </c>
    </row>
    <row r="16" spans="1:18" ht="40.5">
      <c r="A16" s="2908"/>
      <c r="B16" s="2909" t="s">
        <v>1202</v>
      </c>
      <c r="C16" s="2910" t="str">
        <f>C4</f>
        <v>一般</v>
      </c>
      <c r="D16" s="2866"/>
      <c r="E16" s="2911"/>
      <c r="F16" s="2912" t="s">
        <v>1203</v>
      </c>
      <c r="G16" s="2913" t="str">
        <f>G4</f>
        <v>估价对象周边道路状况、公共交通通达情况、停车便捷程度，综合评价交通便捷度较好</v>
      </c>
    </row>
    <row r="17" spans="1:7" ht="14.25">
      <c r="A17" s="2908"/>
      <c r="B17" s="2909" t="s">
        <v>1204</v>
      </c>
      <c r="C17" s="2910" t="str">
        <f>C5</f>
        <v>一般</v>
      </c>
      <c r="D17" s="2874"/>
      <c r="E17" s="2911"/>
      <c r="F17" s="2912" t="s">
        <v>1209</v>
      </c>
      <c r="G17" s="2914"/>
    </row>
    <row r="18" spans="1:7" ht="27">
      <c r="A18" s="2908"/>
      <c r="B18" s="2912" t="s">
        <v>1190</v>
      </c>
      <c r="C18" s="2913" t="str">
        <f>C6</f>
        <v>一般</v>
      </c>
      <c r="D18" s="2874"/>
      <c r="E18" s="2911"/>
      <c r="F18" s="2912" t="s">
        <v>1205</v>
      </c>
      <c r="G18" s="2913" t="str">
        <f>G7</f>
        <v>该园区内是否有污染型企业，绿化情况，卫生条件，整体环境状况判断</v>
      </c>
    </row>
    <row r="19" spans="1:7" ht="27">
      <c r="A19" s="2908"/>
      <c r="B19" s="2912" t="s">
        <v>1194</v>
      </c>
      <c r="C19" s="2914"/>
      <c r="D19" s="2866"/>
      <c r="E19" s="2911"/>
      <c r="F19" s="2870" t="s">
        <v>1828</v>
      </c>
      <c r="G19" s="2913" t="str">
        <f>G5</f>
        <v>估价对象所在区域公共配套设施齐备情况</v>
      </c>
    </row>
    <row r="20" spans="1:7">
      <c r="A20" s="2908"/>
      <c r="B20" s="2912" t="s">
        <v>1195</v>
      </c>
      <c r="C20" s="2910" t="str">
        <f>C9</f>
        <v>一般</v>
      </c>
      <c r="D20" s="2874"/>
      <c r="E20" s="2911"/>
      <c r="F20" s="2870" t="s">
        <v>1829</v>
      </c>
      <c r="G20" s="2913" t="str">
        <f>G6</f>
        <v>估价对象所在区域基础设施水平</v>
      </c>
    </row>
    <row r="21" spans="1:7" ht="14.25">
      <c r="A21" s="2908"/>
      <c r="B21" s="2870" t="s">
        <v>1828</v>
      </c>
      <c r="C21" s="2913" t="str">
        <f>C7</f>
        <v>一般</v>
      </c>
      <c r="D21" s="2866"/>
      <c r="E21" s="2911"/>
      <c r="F21" s="2912" t="s">
        <v>1196</v>
      </c>
      <c r="G21" s="2915"/>
    </row>
    <row r="22" spans="1:7" ht="14.25">
      <c r="A22" s="2908"/>
      <c r="B22" s="2870" t="s">
        <v>1829</v>
      </c>
      <c r="C22" s="2913" t="str">
        <f>C8</f>
        <v>七通</v>
      </c>
      <c r="D22" s="2866"/>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M28" sqref="M28"/>
    </sheetView>
  </sheetViews>
  <sheetFormatPr defaultColWidth="14.625" defaultRowHeight="13.5"/>
  <cols>
    <col min="1" max="1" width="24.375" style="2924" customWidth="1"/>
    <col min="2" max="16384" width="14.625" style="2924"/>
  </cols>
  <sheetData>
    <row r="1" spans="1:10" ht="16.5">
      <c r="A1" s="2923" t="s">
        <v>2117</v>
      </c>
      <c r="B1" s="2923">
        <f>SUM(B14:B23)</f>
        <v>45811.100000000013</v>
      </c>
      <c r="C1" s="2932"/>
      <c r="D1" s="2932"/>
      <c r="E1" s="2932"/>
      <c r="F1" s="2932"/>
      <c r="G1" s="2933"/>
      <c r="H1" s="2933"/>
      <c r="I1" s="2933"/>
      <c r="J1" s="2933"/>
    </row>
    <row r="2" spans="1:10" ht="16.5">
      <c r="A2" s="2923" t="s">
        <v>2118</v>
      </c>
      <c r="B2" s="2923">
        <f>SUM(C14:C23)</f>
        <v>16124.25</v>
      </c>
      <c r="C2" s="2932"/>
      <c r="D2" s="2932"/>
      <c r="E2" s="2932"/>
      <c r="F2" s="2932"/>
      <c r="G2" s="2933"/>
      <c r="H2" s="2933"/>
      <c r="I2" s="2933"/>
      <c r="J2" s="2933"/>
    </row>
    <row r="3" spans="1:10" ht="16.5">
      <c r="A3" s="2923" t="s">
        <v>2119</v>
      </c>
      <c r="B3" s="2925">
        <f>项目基本情况!D3</f>
        <v>45266</v>
      </c>
      <c r="C3" s="2932"/>
      <c r="D3" s="2932"/>
      <c r="E3" s="2932"/>
      <c r="F3" s="2932"/>
      <c r="G3" s="2933"/>
      <c r="H3" s="2933"/>
      <c r="I3" s="2933"/>
      <c r="J3" s="2933"/>
    </row>
    <row r="4" spans="1:10" ht="33">
      <c r="A4" s="2923" t="s">
        <v>2120</v>
      </c>
      <c r="B4" s="2923" t="s">
        <v>2121</v>
      </c>
      <c r="C4" s="2923" t="s">
        <v>2122</v>
      </c>
      <c r="D4" s="2923" t="s">
        <v>2123</v>
      </c>
      <c r="E4" s="2932"/>
      <c r="F4" s="2932"/>
      <c r="G4" s="2933"/>
      <c r="H4" s="2933"/>
      <c r="I4" s="2933"/>
      <c r="J4" s="2933"/>
    </row>
    <row r="5" spans="1:10" ht="16.5">
      <c r="A5" s="2923" t="s">
        <v>2124</v>
      </c>
      <c r="B5" s="2923">
        <f ca="1">SUM(D14:D23)</f>
        <v>21661</v>
      </c>
      <c r="C5" s="2923">
        <f ca="1">ROUND(B5*10000/$B$1,0)</f>
        <v>4728</v>
      </c>
      <c r="D5" s="2923">
        <f ca="1">ROUND(B5*10000/$B$2,0)</f>
        <v>13434</v>
      </c>
      <c r="E5" s="2932"/>
      <c r="F5" s="2932"/>
      <c r="G5" s="2933"/>
      <c r="H5" s="2933"/>
      <c r="I5" s="2933"/>
      <c r="J5" s="2933"/>
    </row>
    <row r="6" spans="1:10" ht="16.5">
      <c r="A6" s="2923" t="s">
        <v>2125</v>
      </c>
      <c r="B6" s="2923">
        <f ca="1">SUM(G14:G23)</f>
        <v>21487</v>
      </c>
      <c r="C6" s="2923">
        <f ca="1">ROUND(B6*10000/$B$1,0)</f>
        <v>4690</v>
      </c>
      <c r="D6" s="2923">
        <f ca="1">ROUND(B6*10000/$B$2,0)</f>
        <v>13326</v>
      </c>
      <c r="E6" s="2932"/>
      <c r="F6" s="2932"/>
      <c r="G6" s="2933"/>
      <c r="H6" s="2933"/>
      <c r="I6" s="2933"/>
      <c r="J6" s="2933"/>
    </row>
    <row r="7" spans="1:10" ht="16.5">
      <c r="A7" s="2923" t="s">
        <v>2126</v>
      </c>
      <c r="B7" s="2923">
        <f>SUM(H14:H23)</f>
        <v>0</v>
      </c>
      <c r="C7" s="2923">
        <f>ROUND(B7*10000/$B$1,0)</f>
        <v>0</v>
      </c>
      <c r="D7" s="2923">
        <f>ROUND(B7*10000/$B$2,0)</f>
        <v>0</v>
      </c>
      <c r="E7" s="2932"/>
      <c r="F7" s="2932"/>
      <c r="G7" s="2933"/>
      <c r="H7" s="2933"/>
      <c r="I7" s="2933"/>
      <c r="J7" s="2933"/>
    </row>
    <row r="8" spans="1:10" ht="16.5">
      <c r="A8" s="2923" t="s">
        <v>2127</v>
      </c>
      <c r="B8" s="2923">
        <f>SUM(I14:I23)</f>
        <v>0</v>
      </c>
      <c r="C8" s="2923">
        <f>ROUND(B8*10000/$B$1,0)</f>
        <v>0</v>
      </c>
      <c r="D8" s="2923">
        <f>ROUND(B8*10000/$B$2,0)</f>
        <v>0</v>
      </c>
      <c r="E8" s="2932"/>
      <c r="F8" s="2932"/>
      <c r="G8" s="2933"/>
      <c r="H8" s="2933"/>
      <c r="I8" s="2933"/>
      <c r="J8" s="2933"/>
    </row>
    <row r="9" spans="1:10" ht="16.5">
      <c r="A9" s="2923" t="s">
        <v>2128</v>
      </c>
      <c r="B9" s="2931"/>
      <c r="C9" s="2932"/>
      <c r="D9" s="2932"/>
      <c r="E9" s="2932"/>
      <c r="F9" s="2932"/>
      <c r="G9" s="2933"/>
      <c r="H9" s="2933"/>
      <c r="I9" s="2933"/>
      <c r="J9" s="2933"/>
    </row>
    <row r="10" spans="1:10" ht="16.5">
      <c r="A10" s="2923" t="s">
        <v>2129</v>
      </c>
      <c r="B10" s="2931"/>
      <c r="C10" s="2932"/>
      <c r="D10" s="2932"/>
      <c r="E10" s="2932"/>
      <c r="F10" s="2932"/>
      <c r="G10" s="2933"/>
      <c r="H10" s="2933"/>
      <c r="I10" s="2933"/>
      <c r="J10" s="2933"/>
    </row>
    <row r="11" spans="1:10" ht="16.5">
      <c r="A11" s="2923" t="s">
        <v>2146</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2145</v>
      </c>
      <c r="B13" s="2927" t="s">
        <v>2117</v>
      </c>
      <c r="C13" s="2927" t="s">
        <v>2118</v>
      </c>
      <c r="D13" s="2927" t="s">
        <v>2130</v>
      </c>
      <c r="E13" s="2923" t="s">
        <v>2144</v>
      </c>
      <c r="F13" s="2923" t="s">
        <v>2123</v>
      </c>
      <c r="G13" s="2927" t="s">
        <v>2131</v>
      </c>
      <c r="H13" s="2927" t="s">
        <v>2132</v>
      </c>
      <c r="I13" s="2927" t="s">
        <v>2133</v>
      </c>
      <c r="J13" s="2933"/>
    </row>
    <row r="14" spans="1:10" ht="16.5">
      <c r="A14" s="2928" t="s">
        <v>2143</v>
      </c>
      <c r="B14" s="2929">
        <f>结果表!L38</f>
        <v>45811.100000000013</v>
      </c>
      <c r="C14" s="2929">
        <f>结果表!K38</f>
        <v>16124.25</v>
      </c>
      <c r="D14" s="2929">
        <f ca="1">结果表!O38</f>
        <v>21661</v>
      </c>
      <c r="E14" s="2929">
        <f ca="1">ROUND(D14*10000/B14,0)</f>
        <v>4728</v>
      </c>
      <c r="F14" s="2929">
        <f ca="1">ROUND(D14*10000/C14,0)</f>
        <v>13434</v>
      </c>
      <c r="G14" s="2929">
        <f ca="1">结果表!O39</f>
        <v>21487</v>
      </c>
      <c r="H14" s="2929"/>
      <c r="I14" s="2929"/>
      <c r="J14" s="2933"/>
    </row>
    <row r="15" spans="1:10" ht="16.5">
      <c r="A15" s="2928" t="s">
        <v>2134</v>
      </c>
      <c r="B15" s="2930"/>
      <c r="C15" s="2930"/>
      <c r="D15" s="2930"/>
      <c r="E15" s="2929" t="e">
        <f t="shared" ref="E15:E23" si="0">ROUND(D15*10000/B15,0)</f>
        <v>#DIV/0!</v>
      </c>
      <c r="F15" s="2929" t="e">
        <f t="shared" ref="F15:F23" si="1">ROUND(D15*10000/C15,0)</f>
        <v>#DIV/0!</v>
      </c>
      <c r="G15" s="2511"/>
      <c r="H15" s="2511"/>
      <c r="I15" s="2930"/>
      <c r="J15" s="2933"/>
    </row>
    <row r="16" spans="1:10" ht="16.5">
      <c r="A16" s="2928" t="s">
        <v>2135</v>
      </c>
      <c r="B16" s="2930"/>
      <c r="C16" s="2930"/>
      <c r="D16" s="2930"/>
      <c r="E16" s="2929" t="e">
        <f t="shared" si="0"/>
        <v>#DIV/0!</v>
      </c>
      <c r="F16" s="2929" t="e">
        <f t="shared" si="1"/>
        <v>#DIV/0!</v>
      </c>
      <c r="G16" s="2511"/>
      <c r="H16" s="2511"/>
      <c r="I16" s="2930"/>
      <c r="J16" s="2933"/>
    </row>
    <row r="17" spans="1:10" ht="16.5">
      <c r="A17" s="2928" t="s">
        <v>2136</v>
      </c>
      <c r="B17" s="2930"/>
      <c r="C17" s="2930"/>
      <c r="D17" s="2930"/>
      <c r="E17" s="2929" t="e">
        <f t="shared" si="0"/>
        <v>#DIV/0!</v>
      </c>
      <c r="F17" s="2929" t="e">
        <f t="shared" si="1"/>
        <v>#DIV/0!</v>
      </c>
      <c r="G17" s="2511"/>
      <c r="H17" s="2511"/>
      <c r="I17" s="2930"/>
      <c r="J17" s="2933"/>
    </row>
    <row r="18" spans="1:10" ht="16.5">
      <c r="A18" s="2928" t="s">
        <v>2137</v>
      </c>
      <c r="B18" s="2930"/>
      <c r="C18" s="2930"/>
      <c r="D18" s="2930"/>
      <c r="E18" s="2929" t="e">
        <f t="shared" si="0"/>
        <v>#DIV/0!</v>
      </c>
      <c r="F18" s="2929" t="e">
        <f t="shared" si="1"/>
        <v>#DIV/0!</v>
      </c>
      <c r="G18" s="2930"/>
      <c r="H18" s="2930"/>
      <c r="I18" s="2930"/>
      <c r="J18" s="2933"/>
    </row>
    <row r="19" spans="1:10" ht="16.5">
      <c r="A19" s="2928" t="s">
        <v>2138</v>
      </c>
      <c r="B19" s="2930"/>
      <c r="C19" s="2930"/>
      <c r="D19" s="2930"/>
      <c r="E19" s="2929" t="e">
        <f t="shared" si="0"/>
        <v>#DIV/0!</v>
      </c>
      <c r="F19" s="2929" t="e">
        <f t="shared" si="1"/>
        <v>#DIV/0!</v>
      </c>
      <c r="G19" s="2930"/>
      <c r="H19" s="2930"/>
      <c r="I19" s="2930"/>
      <c r="J19" s="2933"/>
    </row>
    <row r="20" spans="1:10" ht="16.5">
      <c r="A20" s="2928" t="s">
        <v>2139</v>
      </c>
      <c r="B20" s="2930"/>
      <c r="C20" s="2930"/>
      <c r="D20" s="2930"/>
      <c r="E20" s="2929" t="e">
        <f t="shared" si="0"/>
        <v>#DIV/0!</v>
      </c>
      <c r="F20" s="2929" t="e">
        <f t="shared" si="1"/>
        <v>#DIV/0!</v>
      </c>
      <c r="G20" s="2930"/>
      <c r="H20" s="2930"/>
      <c r="I20" s="2930"/>
      <c r="J20" s="2933"/>
    </row>
    <row r="21" spans="1:10" ht="16.5">
      <c r="A21" s="2928" t="s">
        <v>2140</v>
      </c>
      <c r="B21" s="2930"/>
      <c r="C21" s="2930"/>
      <c r="D21" s="2930"/>
      <c r="E21" s="2929" t="e">
        <f t="shared" si="0"/>
        <v>#DIV/0!</v>
      </c>
      <c r="F21" s="2929" t="e">
        <f t="shared" si="1"/>
        <v>#DIV/0!</v>
      </c>
      <c r="G21" s="2930"/>
      <c r="H21" s="2930"/>
      <c r="I21" s="2930"/>
      <c r="J21" s="2933"/>
    </row>
    <row r="22" spans="1:10" ht="16.5">
      <c r="A22" s="2928" t="s">
        <v>2141</v>
      </c>
      <c r="B22" s="2930"/>
      <c r="C22" s="2930"/>
      <c r="D22" s="2930"/>
      <c r="E22" s="2929" t="e">
        <f t="shared" si="0"/>
        <v>#DIV/0!</v>
      </c>
      <c r="F22" s="2929" t="e">
        <f t="shared" si="1"/>
        <v>#DIV/0!</v>
      </c>
      <c r="G22" s="2930"/>
      <c r="H22" s="2930"/>
      <c r="I22" s="2930"/>
      <c r="J22" s="2933"/>
    </row>
    <row r="23" spans="1:10" ht="16.5">
      <c r="A23" s="2928" t="s">
        <v>2142</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4" sqref="G24"/>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1" t="s">
        <v>1572</v>
      </c>
      <c r="B1" s="1562"/>
      <c r="C1" s="1590" t="s">
        <v>1573</v>
      </c>
      <c r="D1" s="1591"/>
      <c r="E1" s="1590" t="s">
        <v>1574</v>
      </c>
      <c r="F1" s="1592"/>
      <c r="G1" s="302"/>
      <c r="H1" s="302"/>
      <c r="I1" s="302"/>
      <c r="J1" s="1750"/>
      <c r="K1" s="1750"/>
      <c r="L1" s="1750"/>
      <c r="M1" s="1750"/>
      <c r="N1" s="1750"/>
      <c r="O1" s="1750"/>
      <c r="P1" s="1750"/>
      <c r="Q1" s="1750"/>
      <c r="R1" s="1750"/>
      <c r="S1" s="1750"/>
      <c r="T1" s="1750"/>
      <c r="U1" s="1750"/>
      <c r="V1" s="1750"/>
    </row>
    <row r="2" spans="1:22" ht="21.75" customHeight="1" thickBot="1">
      <c r="A2" s="3852" t="str">
        <f>项目基本情况!K2</f>
        <v>北京市通州区梨园镇东小马土地一级开发项目出让国有建设用地使用权</v>
      </c>
      <c r="B2" s="3853"/>
      <c r="C2" s="3854"/>
      <c r="D2" s="3854"/>
      <c r="E2" s="3854"/>
      <c r="F2" s="3854"/>
      <c r="G2" s="3853"/>
      <c r="H2" s="3853"/>
      <c r="I2" s="3855"/>
      <c r="J2" s="1751"/>
      <c r="K2" s="1750"/>
      <c r="L2" s="1750"/>
      <c r="M2" s="1750"/>
      <c r="N2" s="1750"/>
      <c r="O2" s="1750"/>
      <c r="P2" s="1750"/>
      <c r="Q2" s="1750"/>
      <c r="R2" s="1750"/>
      <c r="S2" s="1750"/>
      <c r="T2" s="1750"/>
      <c r="U2" s="1750"/>
      <c r="V2" s="1750"/>
    </row>
    <row r="3" spans="1:22" ht="14.25">
      <c r="A3" s="3863" t="s">
        <v>264</v>
      </c>
      <c r="B3" s="3864"/>
      <c r="C3" s="3864"/>
      <c r="D3" s="3864"/>
      <c r="E3" s="3864"/>
      <c r="F3" s="3864"/>
      <c r="G3" s="3864"/>
      <c r="H3" s="3864"/>
      <c r="I3" s="3864"/>
      <c r="J3" s="1751"/>
      <c r="K3" s="1750"/>
      <c r="L3" s="1750"/>
      <c r="M3" s="1750"/>
      <c r="N3" s="1750"/>
      <c r="O3" s="1750"/>
      <c r="P3" s="1750"/>
      <c r="Q3" s="1750"/>
      <c r="R3" s="1750"/>
      <c r="S3" s="1750"/>
      <c r="T3" s="1750"/>
      <c r="U3" s="1750"/>
      <c r="V3" s="1750"/>
    </row>
    <row r="4" spans="1:22" ht="14.25">
      <c r="A4" s="249" t="s">
        <v>265</v>
      </c>
      <c r="B4" s="250" t="s">
        <v>266</v>
      </c>
      <c r="C4" s="251" t="s">
        <v>3551</v>
      </c>
      <c r="D4" s="251" t="s">
        <v>3274</v>
      </c>
      <c r="E4" s="3827" t="s">
        <v>267</v>
      </c>
      <c r="F4" s="3869"/>
      <c r="G4" s="3869"/>
      <c r="H4" s="3869"/>
      <c r="I4" s="3828"/>
      <c r="J4" s="1751"/>
      <c r="K4" s="1750"/>
      <c r="L4" s="2934"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56" t="s">
        <v>268</v>
      </c>
      <c r="B5" s="3857">
        <v>25</v>
      </c>
      <c r="C5" s="3865"/>
      <c r="D5" s="3868"/>
      <c r="E5" s="252" t="s">
        <v>269</v>
      </c>
      <c r="F5" s="253"/>
      <c r="G5" s="253"/>
      <c r="H5" s="253"/>
      <c r="I5" s="254"/>
      <c r="J5" s="1751"/>
      <c r="K5" s="1750"/>
      <c r="L5" s="1750"/>
      <c r="M5" s="1750"/>
      <c r="N5" s="1750"/>
      <c r="O5" s="1750"/>
      <c r="P5" s="1750"/>
      <c r="Q5" s="1750"/>
      <c r="R5" s="1750"/>
      <c r="S5" s="1750"/>
      <c r="T5" s="1750"/>
      <c r="U5" s="1750"/>
      <c r="V5" s="1750"/>
    </row>
    <row r="6" spans="1:22" ht="14.25">
      <c r="A6" s="3856"/>
      <c r="B6" s="3857"/>
      <c r="C6" s="3866"/>
      <c r="D6" s="3868"/>
      <c r="E6" s="252" t="s">
        <v>270</v>
      </c>
      <c r="F6" s="253"/>
      <c r="G6" s="253"/>
      <c r="H6" s="253"/>
      <c r="I6" s="254"/>
      <c r="J6" s="1751"/>
      <c r="K6" s="1750"/>
      <c r="L6" s="1750"/>
      <c r="M6" s="1750"/>
      <c r="N6" s="1750"/>
      <c r="O6" s="1750"/>
      <c r="P6" s="1750"/>
      <c r="Q6" s="1750"/>
      <c r="R6" s="1750"/>
      <c r="S6" s="1750"/>
      <c r="T6" s="1750"/>
      <c r="U6" s="1750"/>
      <c r="V6" s="1750"/>
    </row>
    <row r="7" spans="1:22" ht="14.25">
      <c r="A7" s="3856"/>
      <c r="B7" s="3857"/>
      <c r="C7" s="3867"/>
      <c r="D7" s="3868"/>
      <c r="E7" s="252" t="s">
        <v>271</v>
      </c>
      <c r="F7" s="253"/>
      <c r="G7" s="253"/>
      <c r="H7" s="253"/>
      <c r="I7" s="254"/>
      <c r="J7" s="1751"/>
      <c r="K7" s="1750"/>
      <c r="L7" s="1750"/>
      <c r="M7" s="1750"/>
      <c r="N7" s="1750"/>
      <c r="O7" s="1750"/>
      <c r="P7" s="1750"/>
      <c r="Q7" s="1750"/>
      <c r="R7" s="1750"/>
      <c r="S7" s="1750"/>
      <c r="T7" s="1750"/>
      <c r="U7" s="1750"/>
      <c r="V7" s="1750"/>
    </row>
    <row r="8" spans="1:22" ht="14.25">
      <c r="A8" s="3856" t="s">
        <v>272</v>
      </c>
      <c r="B8" s="3857">
        <v>15</v>
      </c>
      <c r="C8" s="3865"/>
      <c r="D8" s="3868"/>
      <c r="E8" s="252" t="s">
        <v>273</v>
      </c>
      <c r="F8" s="253"/>
      <c r="G8" s="253"/>
      <c r="H8" s="253"/>
      <c r="I8" s="254"/>
      <c r="J8" s="1751"/>
      <c r="K8" s="1750"/>
      <c r="L8" s="1750"/>
      <c r="M8" s="1750"/>
      <c r="N8" s="1750"/>
      <c r="O8" s="1750"/>
      <c r="P8" s="1750"/>
      <c r="Q8" s="1750"/>
      <c r="R8" s="1750"/>
      <c r="S8" s="1750"/>
      <c r="T8" s="1750"/>
      <c r="U8" s="1750"/>
      <c r="V8" s="1750"/>
    </row>
    <row r="9" spans="1:22" ht="14.25">
      <c r="A9" s="3856"/>
      <c r="B9" s="3857"/>
      <c r="C9" s="3867"/>
      <c r="D9" s="3868"/>
      <c r="E9" s="252" t="s">
        <v>274</v>
      </c>
      <c r="F9" s="253"/>
      <c r="G9" s="253"/>
      <c r="H9" s="253"/>
      <c r="I9" s="254"/>
      <c r="J9" s="1751"/>
      <c r="K9" s="1750"/>
      <c r="L9" s="1750"/>
      <c r="M9" s="1750"/>
      <c r="N9" s="1750"/>
      <c r="O9" s="1750"/>
      <c r="P9" s="1750"/>
      <c r="Q9" s="1750"/>
      <c r="R9" s="1750"/>
      <c r="S9" s="1750"/>
      <c r="T9" s="1750"/>
      <c r="U9" s="1750"/>
      <c r="V9" s="1750"/>
    </row>
    <row r="10" spans="1:22" ht="14.25">
      <c r="A10" s="3856" t="s">
        <v>275</v>
      </c>
      <c r="B10" s="3857">
        <v>15</v>
      </c>
      <c r="C10" s="3865"/>
      <c r="D10" s="3868"/>
      <c r="E10" s="252" t="s">
        <v>276</v>
      </c>
      <c r="F10" s="253"/>
      <c r="G10" s="253"/>
      <c r="H10" s="253"/>
      <c r="I10" s="254"/>
      <c r="J10" s="1751"/>
      <c r="K10" s="1750"/>
      <c r="L10" s="1750"/>
      <c r="M10" s="1750"/>
      <c r="N10" s="1750"/>
      <c r="O10" s="1750"/>
      <c r="P10" s="1750"/>
      <c r="Q10" s="1750"/>
      <c r="R10" s="1750"/>
      <c r="S10" s="1750"/>
      <c r="T10" s="1750"/>
      <c r="U10" s="1750"/>
      <c r="V10" s="1750"/>
    </row>
    <row r="11" spans="1:22" ht="14.25">
      <c r="A11" s="3856"/>
      <c r="B11" s="3857"/>
      <c r="C11" s="3867"/>
      <c r="D11" s="3868"/>
      <c r="E11" s="252" t="s">
        <v>277</v>
      </c>
      <c r="F11" s="253"/>
      <c r="G11" s="253"/>
      <c r="H11" s="253"/>
      <c r="I11" s="254"/>
      <c r="J11" s="1751"/>
      <c r="K11" s="1750"/>
      <c r="L11" s="1750"/>
      <c r="M11" s="1750"/>
      <c r="N11" s="1750"/>
      <c r="O11" s="1750"/>
      <c r="P11" s="1750"/>
      <c r="Q11" s="1750"/>
      <c r="R11" s="1750"/>
      <c r="S11" s="1750"/>
      <c r="T11" s="1750"/>
      <c r="U11" s="1750"/>
      <c r="V11" s="1750"/>
    </row>
    <row r="12" spans="1:22" ht="14.25">
      <c r="A12" s="3856" t="s">
        <v>278</v>
      </c>
      <c r="B12" s="3857">
        <v>15</v>
      </c>
      <c r="C12" s="3865"/>
      <c r="D12" s="3868"/>
      <c r="E12" s="252" t="s">
        <v>279</v>
      </c>
      <c r="F12" s="253"/>
      <c r="G12" s="253"/>
      <c r="H12" s="253"/>
      <c r="I12" s="254"/>
      <c r="J12" s="1751"/>
      <c r="K12" s="1750"/>
      <c r="L12" s="1750"/>
      <c r="M12" s="1750"/>
      <c r="N12" s="1750"/>
      <c r="O12" s="1750"/>
      <c r="P12" s="1750"/>
      <c r="Q12" s="1750"/>
      <c r="R12" s="1750"/>
      <c r="S12" s="1750"/>
      <c r="T12" s="1750"/>
      <c r="U12" s="1750"/>
      <c r="V12" s="1750"/>
    </row>
    <row r="13" spans="1:22" ht="14.25">
      <c r="A13" s="3856"/>
      <c r="B13" s="3857"/>
      <c r="C13" s="3867"/>
      <c r="D13" s="3868"/>
      <c r="E13" s="252" t="s">
        <v>280</v>
      </c>
      <c r="F13" s="253"/>
      <c r="G13" s="253"/>
      <c r="H13" s="253"/>
      <c r="I13" s="254"/>
      <c r="J13" s="1751"/>
      <c r="K13" s="1750"/>
      <c r="L13" s="1750"/>
      <c r="M13" s="1750"/>
      <c r="N13" s="1750"/>
      <c r="O13" s="1750"/>
      <c r="P13" s="1750"/>
      <c r="Q13" s="1750"/>
      <c r="R13" s="1750"/>
      <c r="S13" s="1750"/>
      <c r="T13" s="1750"/>
      <c r="U13" s="1750"/>
      <c r="V13" s="1750"/>
    </row>
    <row r="14" spans="1:22" ht="14.25">
      <c r="A14" s="3856" t="s">
        <v>281</v>
      </c>
      <c r="B14" s="3857">
        <v>30</v>
      </c>
      <c r="C14" s="3865">
        <v>5</v>
      </c>
      <c r="D14" s="3868">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56"/>
      <c r="B15" s="3857"/>
      <c r="C15" s="3866"/>
      <c r="D15" s="3868"/>
      <c r="E15" s="252" t="s">
        <v>283</v>
      </c>
      <c r="F15" s="253"/>
      <c r="G15" s="253"/>
      <c r="H15" s="253"/>
      <c r="I15" s="254"/>
      <c r="J15" s="1751"/>
      <c r="K15" s="1750"/>
      <c r="L15" s="1750"/>
      <c r="M15" s="1750"/>
      <c r="N15" s="1750"/>
      <c r="O15" s="1750"/>
      <c r="P15" s="1750"/>
      <c r="Q15" s="1750"/>
      <c r="R15" s="1750"/>
      <c r="S15" s="1750"/>
      <c r="T15" s="1750"/>
      <c r="U15" s="1750"/>
      <c r="V15" s="1750"/>
    </row>
    <row r="16" spans="1:22" ht="14.25">
      <c r="A16" s="3856"/>
      <c r="B16" s="3857"/>
      <c r="C16" s="3867"/>
      <c r="D16" s="3868"/>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70" t="s">
        <v>2248</v>
      </c>
      <c r="F18" s="3871"/>
      <c r="G18" s="3871"/>
      <c r="H18" s="3871"/>
      <c r="I18" s="3871"/>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35441</v>
      </c>
      <c r="D19" s="262">
        <f ca="1">SUMIF(INDIRECT("'"&amp;D4&amp;"'"&amp;"!A:A"),结果表!B19,INDIRECT("'"&amp;D4&amp;"'"&amp;"!B:B"))</f>
        <v>7880</v>
      </c>
      <c r="E19" s="259" t="s">
        <v>289</v>
      </c>
      <c r="F19" s="260" t="s">
        <v>288</v>
      </c>
      <c r="G19" s="263">
        <f ca="1">ROUND(C19*$C$18+D19*$D$18,0)</f>
        <v>21661</v>
      </c>
      <c r="H19" s="264" t="s">
        <v>290</v>
      </c>
      <c r="I19" s="302"/>
      <c r="J19" s="1750"/>
      <c r="K19" s="1750">
        <f ca="1">G19*10000/'数据-汇总表'!F31</f>
        <v>6237.5492343373026</v>
      </c>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7736</v>
      </c>
      <c r="D20" s="268">
        <f ca="1">SUMIF(INDIRECT("'"&amp;D4&amp;"'"&amp;"!A:A"),结果表!B20,INDIRECT("'"&amp;D4&amp;"'"&amp;"!B:B"))</f>
        <v>1720</v>
      </c>
      <c r="E20" s="265"/>
      <c r="F20" s="266" t="s">
        <v>291</v>
      </c>
      <c r="G20" s="269">
        <f ca="1">ROUND(C20*$C$18+D20*$D$18,0)</f>
        <v>4728</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21980</v>
      </c>
      <c r="D21" s="144">
        <f ca="1">SUMIF(INDIRECT("'"&amp;D4&amp;"'"&amp;"!A:A"),结果表!B21,INDIRECT("'"&amp;D4&amp;"'"&amp;"!B:B"))</f>
        <v>4887</v>
      </c>
      <c r="E21" s="265"/>
      <c r="F21" s="271" t="s">
        <v>293</v>
      </c>
      <c r="G21" s="273">
        <f ca="1">ROUND(C21*$C$18+D21*$D$18,0)</f>
        <v>13434</v>
      </c>
      <c r="H21" s="1120" t="s">
        <v>292</v>
      </c>
      <c r="I21" s="302"/>
      <c r="J21" s="1750"/>
      <c r="K21" s="1750"/>
      <c r="L21" s="1750"/>
      <c r="M21" s="1750"/>
      <c r="N21" s="1750"/>
      <c r="O21" s="1750"/>
      <c r="P21" s="1750"/>
      <c r="Q21" s="1750"/>
      <c r="R21" s="1750"/>
      <c r="S21" s="1750"/>
      <c r="T21" s="1750"/>
      <c r="U21" s="1750"/>
      <c r="V21" s="1750"/>
    </row>
    <row r="22" spans="1:26" ht="15.75" thickBot="1">
      <c r="A22" s="122" t="s">
        <v>294</v>
      </c>
      <c r="B22" s="1121"/>
      <c r="C22" s="1122"/>
      <c r="D22" s="274">
        <f ca="1">IF(C19&lt;D19,D19/C19-1,C19/D19-1)</f>
        <v>3.4975888324873097</v>
      </c>
      <c r="E22" s="275"/>
      <c r="F22" s="276"/>
      <c r="G22" s="277">
        <f ca="1">ROUND(G19/('数据-汇总表'!D3/666.67),0)</f>
        <v>896</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29"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76"/>
      <c r="B25" s="1190" t="s">
        <v>297</v>
      </c>
      <c r="C25" s="281">
        <f>IF(B30=0,0,C30)</f>
        <v>0</v>
      </c>
      <c r="D25" s="282"/>
      <c r="E25" s="302"/>
      <c r="F25" s="302"/>
      <c r="G25" s="302"/>
      <c r="H25" s="302"/>
      <c r="I25" s="302"/>
      <c r="J25" s="1750"/>
      <c r="K25" s="1124" t="str">
        <f ca="1">项目基本情况!A17&amp;"国有建设用地使用权价格："&amp;O38&amp;"万元"</f>
        <v>出让国有建设用地使用权价格：21661万元</v>
      </c>
      <c r="L25" s="1125"/>
      <c r="M25" s="1125"/>
      <c r="N25" s="1125"/>
      <c r="O25" s="1126"/>
      <c r="P25" s="1750"/>
      <c r="Q25" s="1750"/>
      <c r="R25" s="1750"/>
      <c r="S25" s="1750"/>
      <c r="T25" s="1750"/>
      <c r="U25" s="1750"/>
      <c r="V25" s="1750"/>
    </row>
    <row r="26" spans="1:26" s="1123" customFormat="1" ht="18">
      <c r="A26" s="284" t="s">
        <v>298</v>
      </c>
      <c r="B26" s="285" t="s">
        <v>299</v>
      </c>
      <c r="C26" s="285" t="s">
        <v>300</v>
      </c>
      <c r="D26" s="286" t="s">
        <v>301</v>
      </c>
      <c r="E26" s="302"/>
      <c r="F26" s="302"/>
      <c r="G26" s="302"/>
      <c r="H26" s="302"/>
      <c r="I26" s="302"/>
      <c r="J26" s="1750"/>
      <c r="K26" s="1127" t="str">
        <f ca="1">"大写金额：人民币"&amp;NUMBERSTRING(INT(O38*10000),2)&amp;"元整"</f>
        <v>大写金额：人民币贰亿壹仟陆佰陆拾壹万元整</v>
      </c>
      <c r="L26" s="1121"/>
      <c r="M26" s="1121"/>
      <c r="N26" s="1121"/>
      <c r="O26" s="1120"/>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7" t="str">
        <f ca="1">"单位面积地价："&amp;M38&amp;"元/平方米"</f>
        <v>单位面积地价：13434元/平方米</v>
      </c>
      <c r="L27" s="1121"/>
      <c r="M27" s="1121"/>
      <c r="N27" s="1121"/>
      <c r="O27" s="1120"/>
      <c r="P27" s="1750"/>
      <c r="Q27" s="1750"/>
      <c r="R27" s="1750"/>
      <c r="S27" s="1750"/>
      <c r="T27" s="1750"/>
      <c r="U27" s="1750"/>
      <c r="V27" s="1750"/>
    </row>
    <row r="28" spans="1:26" ht="18.75" customHeight="1">
      <c r="A28" s="284"/>
      <c r="B28" s="285"/>
      <c r="C28" s="285"/>
      <c r="D28" s="286"/>
      <c r="E28" s="302"/>
      <c r="F28" s="302"/>
      <c r="G28" s="302"/>
      <c r="H28" s="302"/>
      <c r="I28" s="302"/>
      <c r="J28" s="1750"/>
      <c r="K28" s="1127" t="str">
        <f ca="1">"楼面地价："&amp;N38&amp;"元/平方米"</f>
        <v>楼面地价：4728元/平方米</v>
      </c>
      <c r="L28" s="1121"/>
      <c r="M28" s="1121"/>
      <c r="N28" s="1121"/>
      <c r="O28" s="1120"/>
      <c r="P28" s="1750"/>
      <c r="V28" s="1750"/>
    </row>
    <row r="29" spans="1:26" ht="18">
      <c r="A29" s="284"/>
      <c r="B29" s="285"/>
      <c r="C29" s="285"/>
      <c r="D29" s="286"/>
      <c r="E29" s="302"/>
      <c r="F29" s="302"/>
      <c r="G29" s="302"/>
      <c r="H29" s="302"/>
      <c r="I29" s="302"/>
      <c r="J29" s="1750"/>
      <c r="K29" s="1127" t="str">
        <f ca="1">IF(OR(项目基本情况!E8="抵押价格",项目基本情况!E8="已注销及未注销"),"抵押价格："&amp;O39&amp;"万元","——")</f>
        <v>抵押价格：21487万元</v>
      </c>
      <c r="L29" s="1121"/>
      <c r="M29" s="1121"/>
      <c r="N29" s="1121"/>
      <c r="O29" s="1120"/>
      <c r="P29" s="1750"/>
      <c r="V29" s="1750"/>
    </row>
    <row r="30" spans="1:26" ht="18.75" thickBot="1">
      <c r="A30" s="2552" t="s">
        <v>302</v>
      </c>
      <c r="B30" s="300"/>
      <c r="C30" s="300"/>
      <c r="D30" s="301"/>
      <c r="E30" s="2743" t="s">
        <v>2249</v>
      </c>
      <c r="F30" s="302"/>
      <c r="G30" s="302"/>
      <c r="H30" s="302"/>
      <c r="I30" s="302"/>
      <c r="J30" s="1750"/>
      <c r="K30" s="1127" t="str">
        <f ca="1">IF(K29="——","——","大写金额：人民币"&amp;NUMBERSTRING(INT(O39*10000),2)&amp;"元整")</f>
        <v>大写金额：人民币贰亿壹仟肆佰捌拾柒万元整</v>
      </c>
      <c r="L30" s="1121"/>
      <c r="M30" s="1121"/>
      <c r="N30" s="1121"/>
      <c r="O30" s="1120"/>
      <c r="P30" s="1750"/>
      <c r="V30" s="1750"/>
    </row>
    <row r="31" spans="1:26" ht="24" customHeight="1" thickBot="1">
      <c r="A31" s="3872" t="s">
        <v>2250</v>
      </c>
      <c r="B31" s="3872"/>
      <c r="C31" s="3872"/>
      <c r="D31" s="3872"/>
      <c r="E31" s="3872"/>
      <c r="F31" s="3872"/>
      <c r="G31" s="3872"/>
      <c r="H31" s="3872"/>
      <c r="I31" s="3872"/>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4" t="s">
        <v>1221</v>
      </c>
      <c r="C32" s="257">
        <f ca="1">G19-C24</f>
        <v>21661</v>
      </c>
      <c r="D32" s="2745"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9" t="s">
        <v>1223</v>
      </c>
      <c r="C33" s="255">
        <f ca="1">ROUND(C32*10000/'数据-汇总表'!E3,0)</f>
        <v>4728</v>
      </c>
      <c r="D33" s="1240" t="s">
        <v>1224</v>
      </c>
      <c r="E33" s="3829" t="s">
        <v>304</v>
      </c>
      <c r="F33" s="287" t="s">
        <v>305</v>
      </c>
      <c r="G33" s="288"/>
      <c r="H33" s="942"/>
      <c r="I33" s="1128"/>
      <c r="J33" s="1750"/>
      <c r="K33" s="1127" t="str">
        <f>IF(项目基本情况!E9="——","——","抵押净值："&amp;C46&amp;"万元")</f>
        <v>——</v>
      </c>
      <c r="L33" s="1121"/>
      <c r="M33" s="1121"/>
      <c r="N33" s="1121"/>
      <c r="O33" s="1120"/>
      <c r="P33" s="1750"/>
      <c r="V33" s="1750"/>
    </row>
    <row r="34" spans="1:26" s="1123" customFormat="1" ht="18.75" thickBot="1">
      <c r="A34" s="291"/>
      <c r="B34" s="1241" t="s">
        <v>1225</v>
      </c>
      <c r="C34" s="255">
        <f ca="1">ROUND(C32*10000/'数据-汇总表'!D3,0)</f>
        <v>13434</v>
      </c>
      <c r="D34" s="1242" t="s">
        <v>1224</v>
      </c>
      <c r="E34" s="3830"/>
      <c r="F34" s="123" t="s">
        <v>307</v>
      </c>
      <c r="G34" s="290"/>
      <c r="H34" s="101"/>
      <c r="I34" s="302"/>
      <c r="J34" s="1750"/>
      <c r="K34" s="1130" t="str">
        <f>IF(K33="——","——","大写金额：人民币"&amp;NUMBERSTRING(INT(O41*10000),2)&amp;"元整")</f>
        <v>——</v>
      </c>
      <c r="L34" s="1131"/>
      <c r="M34" s="1131"/>
      <c r="N34" s="1131"/>
      <c r="O34" s="1132"/>
      <c r="P34" s="1750"/>
      <c r="Q34" s="283"/>
      <c r="R34" s="283"/>
      <c r="S34" s="283"/>
      <c r="T34" s="283"/>
      <c r="U34" s="283"/>
      <c r="V34" s="1750"/>
      <c r="W34" s="283"/>
      <c r="X34" s="283"/>
      <c r="Y34" s="283"/>
      <c r="Z34" s="283"/>
    </row>
    <row r="35" spans="1:26" ht="15.75" thickBot="1">
      <c r="A35" s="275"/>
      <c r="B35" s="1243"/>
      <c r="C35" s="1244">
        <f ca="1">ROUND(C32/('数据-汇总表'!D3/666.67),0)</f>
        <v>896</v>
      </c>
      <c r="D35" s="1245" t="s">
        <v>1226</v>
      </c>
      <c r="E35" s="3831"/>
      <c r="F35" s="292" t="s">
        <v>308</v>
      </c>
      <c r="G35" s="944">
        <f>E37+E38+E39</f>
        <v>174</v>
      </c>
      <c r="H35" s="943" t="s">
        <v>309</v>
      </c>
      <c r="I35" s="302"/>
      <c r="J35" s="1750"/>
      <c r="K35" s="3835" t="s">
        <v>316</v>
      </c>
      <c r="L35" s="3835" t="s">
        <v>317</v>
      </c>
      <c r="M35" s="1133" t="s">
        <v>318</v>
      </c>
      <c r="N35" s="3835" t="s">
        <v>319</v>
      </c>
      <c r="O35" s="3835" t="s">
        <v>320</v>
      </c>
      <c r="P35" s="1750"/>
      <c r="V35" s="1750"/>
    </row>
    <row r="36" spans="1:26" ht="16.5" customHeight="1">
      <c r="A36" s="294" t="s">
        <v>310</v>
      </c>
      <c r="B36" s="295" t="s">
        <v>299</v>
      </c>
      <c r="C36" s="296" t="s">
        <v>311</v>
      </c>
      <c r="D36" s="296" t="s">
        <v>312</v>
      </c>
      <c r="E36" s="297" t="s">
        <v>313</v>
      </c>
      <c r="F36" s="302"/>
      <c r="G36" s="302"/>
      <c r="H36" s="302"/>
      <c r="I36" s="302"/>
      <c r="J36" s="1752"/>
      <c r="K36" s="3836"/>
      <c r="L36" s="3836"/>
      <c r="M36" s="1135" t="s">
        <v>321</v>
      </c>
      <c r="N36" s="3836"/>
      <c r="O36" s="3836"/>
      <c r="P36" s="1750"/>
      <c r="V36" s="1750"/>
    </row>
    <row r="37" spans="1:26" ht="16.5" customHeight="1" thickBot="1">
      <c r="A37" s="1129" t="s">
        <v>314</v>
      </c>
      <c r="B37" s="298">
        <f>'数据-汇总表'!G20</f>
        <v>5960.87</v>
      </c>
      <c r="C37" s="285">
        <f>5826*0.25*0.15</f>
        <v>218.47499999999999</v>
      </c>
      <c r="D37" s="285">
        <v>1.0305</v>
      </c>
      <c r="E37" s="286">
        <f>ROUND(B37*C37*D37/10000,0)</f>
        <v>134</v>
      </c>
      <c r="F37" s="302"/>
      <c r="G37" s="302"/>
      <c r="H37" s="302"/>
      <c r="I37" s="302"/>
      <c r="J37" s="1752"/>
      <c r="K37" s="3837"/>
      <c r="L37" s="3837"/>
      <c r="M37" s="1136"/>
      <c r="N37" s="3837"/>
      <c r="O37" s="3837"/>
      <c r="P37" s="1750"/>
      <c r="V37" s="1750"/>
    </row>
    <row r="38" spans="1:26" ht="16.5" customHeight="1" thickBot="1">
      <c r="A38" s="1129" t="s">
        <v>315</v>
      </c>
      <c r="B38" s="298">
        <f>'数据-汇总表'!G19</f>
        <v>1077.73</v>
      </c>
      <c r="C38" s="285">
        <f>5826*0.25*0.25</f>
        <v>364.125</v>
      </c>
      <c r="D38" s="285">
        <v>1.0305</v>
      </c>
      <c r="E38" s="286">
        <f>ROUND(B38*C38*D38/10000,0)</f>
        <v>40</v>
      </c>
      <c r="F38" s="302"/>
      <c r="G38" s="302"/>
      <c r="H38" s="302"/>
      <c r="I38" s="302"/>
      <c r="J38" s="1752"/>
      <c r="K38" s="1137">
        <f>'数据-汇总表'!D3</f>
        <v>16124.25</v>
      </c>
      <c r="L38" s="1138">
        <f>'数据-汇总表'!E3</f>
        <v>45811.100000000013</v>
      </c>
      <c r="M38" s="1138">
        <f ca="1">C34</f>
        <v>13434</v>
      </c>
      <c r="N38" s="1138">
        <f ca="1">C33</f>
        <v>4728</v>
      </c>
      <c r="O38" s="1139">
        <f ca="1">C32</f>
        <v>21661</v>
      </c>
      <c r="P38" s="1750">
        <v>187944</v>
      </c>
      <c r="V38" s="1750"/>
    </row>
    <row r="39" spans="1:26" ht="16.5" customHeight="1" thickBot="1">
      <c r="A39" s="1134"/>
      <c r="B39" s="299">
        <f>基准地价!D40</f>
        <v>465</v>
      </c>
      <c r="C39" s="300">
        <f>ROUND('数据-基础表'!B28*0.25*0.25,0)</f>
        <v>0</v>
      </c>
      <c r="D39" s="285">
        <v>1.0305</v>
      </c>
      <c r="E39" s="286">
        <f>ROUND(B39*C39*D39/10000,0)</f>
        <v>0</v>
      </c>
      <c r="F39" s="302"/>
      <c r="G39" s="302"/>
      <c r="H39" s="302"/>
      <c r="I39" s="302"/>
      <c r="J39" s="1752"/>
      <c r="K39" s="3848" t="str">
        <f>MID(A44,3,LEN(A44)-2)</f>
        <v>抵押价格</v>
      </c>
      <c r="L39" s="3849"/>
      <c r="M39" s="3849"/>
      <c r="N39" s="3850"/>
      <c r="O39" s="1247">
        <f ca="1">C44</f>
        <v>21487</v>
      </c>
      <c r="P39" s="1750">
        <v>185076</v>
      </c>
      <c r="V39" s="1750"/>
    </row>
    <row r="40" spans="1:26" ht="19.5" thickBot="1">
      <c r="A40" s="100" t="s">
        <v>810</v>
      </c>
      <c r="B40" s="302"/>
      <c r="C40" s="302"/>
      <c r="D40" s="302"/>
      <c r="E40" s="302"/>
      <c r="F40" s="302"/>
      <c r="G40" s="302"/>
      <c r="H40" s="302"/>
      <c r="I40" s="302"/>
      <c r="J40" s="1752"/>
      <c r="K40" s="3848" t="str">
        <f>MID(A45,3,LEN(A45)-2)</f>
        <v/>
      </c>
      <c r="L40" s="3849"/>
      <c r="M40" s="3849"/>
      <c r="N40" s="3850"/>
      <c r="O40" s="1247" t="str">
        <f>C45</f>
        <v>——</v>
      </c>
      <c r="P40" s="1750"/>
      <c r="V40" s="1750"/>
    </row>
    <row r="41" spans="1:26" ht="16.5" thickBot="1">
      <c r="A41" s="303" t="s">
        <v>322</v>
      </c>
      <c r="B41" s="304"/>
      <c r="C41" s="305" t="s">
        <v>323</v>
      </c>
      <c r="D41" s="306" t="s">
        <v>324</v>
      </c>
      <c r="E41" s="306" t="s">
        <v>325</v>
      </c>
      <c r="F41" s="307" t="s">
        <v>326</v>
      </c>
      <c r="G41" s="302"/>
      <c r="H41" s="302"/>
      <c r="I41" s="302"/>
      <c r="J41" s="1752"/>
      <c r="K41" s="3848" t="str">
        <f>MID(A46,3,LEN(A46)-2)</f>
        <v/>
      </c>
      <c r="L41" s="3849"/>
      <c r="M41" s="3849"/>
      <c r="N41" s="3850"/>
      <c r="O41" s="1247" t="str">
        <f>C46</f>
        <v>——</v>
      </c>
      <c r="P41" s="1750"/>
      <c r="V41" s="1750"/>
    </row>
    <row r="42" spans="1:26" ht="29.25">
      <c r="A42" s="3877" t="s">
        <v>1584</v>
      </c>
      <c r="B42" s="3878"/>
      <c r="C42" s="255">
        <f ca="1">C32</f>
        <v>21661</v>
      </c>
      <c r="D42" s="308">
        <f ca="1">C33</f>
        <v>4728</v>
      </c>
      <c r="E42" s="308">
        <f ca="1">C34</f>
        <v>13434</v>
      </c>
      <c r="F42" s="309">
        <f ca="1">C35</f>
        <v>896</v>
      </c>
      <c r="G42" s="302"/>
      <c r="H42" s="302"/>
      <c r="I42" s="310"/>
      <c r="J42" s="1752"/>
      <c r="K42" s="1140" t="s">
        <v>327</v>
      </c>
      <c r="L42" s="1769" t="s">
        <v>328</v>
      </c>
      <c r="M42" s="1141" t="s">
        <v>329</v>
      </c>
      <c r="N42" s="1770" t="s">
        <v>330</v>
      </c>
      <c r="O42" s="1771" t="s">
        <v>331</v>
      </c>
      <c r="P42" s="1750"/>
      <c r="V42" s="1750"/>
    </row>
    <row r="43" spans="1:26" ht="30">
      <c r="A43" s="3887" t="s">
        <v>2011</v>
      </c>
      <c r="B43" s="3888"/>
      <c r="C43" s="255">
        <f>IF(H33="正常操作",G33+G34+G35,G34+G35)</f>
        <v>174</v>
      </c>
      <c r="D43" s="308" t="s">
        <v>17</v>
      </c>
      <c r="E43" s="308" t="s">
        <v>18</v>
      </c>
      <c r="F43" s="309" t="s">
        <v>18</v>
      </c>
      <c r="G43" s="2344" t="s">
        <v>877</v>
      </c>
      <c r="H43" s="302"/>
      <c r="I43" s="310"/>
      <c r="J43" s="1752"/>
      <c r="K43" s="1142" t="str">
        <f>C4</f>
        <v>比较法-住宅、综合</v>
      </c>
      <c r="L43" s="1143">
        <f ca="1">IF(L42="估价结果/万元",C19,C20)</f>
        <v>35441</v>
      </c>
      <c r="M43" s="1144">
        <f>C18</f>
        <v>0.5</v>
      </c>
      <c r="N43" s="1145">
        <f ca="1">IF(N42="测算结果/万元",G19,G20)</f>
        <v>21661</v>
      </c>
      <c r="O43" s="1146">
        <f ca="1">IF(O42="最终结果/万元",C32,C33)</f>
        <v>21661</v>
      </c>
      <c r="P43" s="1750"/>
      <c r="V43" s="1750"/>
    </row>
    <row r="44" spans="1:26" ht="30.75" thickBot="1">
      <c r="A44" s="3877" t="str">
        <f>IF(OR(项目基本情况!E8="抵押价格",项目基本情况!E8="已注销及未注销"),"3.抵押价格","——")</f>
        <v>3.抵押价格</v>
      </c>
      <c r="B44" s="3878"/>
      <c r="C44" s="255">
        <f ca="1">IF(A44="——","——",C42-C43)</f>
        <v>21487</v>
      </c>
      <c r="D44" s="308">
        <f ca="1">ROUND(C44*10000/'数据-汇总表'!E3,0)</f>
        <v>4690</v>
      </c>
      <c r="E44" s="308">
        <f ca="1">ROUND(C44*10000/'数据-汇总表'!D3,0)</f>
        <v>13326</v>
      </c>
      <c r="F44" s="309">
        <f ca="1">ROUND(C44/('数据-汇总表'!D3/666.67),0)</f>
        <v>888</v>
      </c>
      <c r="G44" s="302"/>
      <c r="H44" s="302"/>
      <c r="I44" s="310"/>
      <c r="J44" s="1752"/>
      <c r="K44" s="1147" t="str">
        <f>D4</f>
        <v>剩余法-待开发</v>
      </c>
      <c r="L44" s="1148">
        <f ca="1">IF(L42="估价结果/万元",D19,D20)</f>
        <v>7880</v>
      </c>
      <c r="M44" s="1149">
        <f>D18</f>
        <v>0.5</v>
      </c>
      <c r="N44" s="1150"/>
      <c r="O44" s="1151"/>
      <c r="P44" s="1750"/>
      <c r="V44" s="1750"/>
    </row>
    <row r="45" spans="1:26" ht="15">
      <c r="A45" s="3882" t="str">
        <f>IF(项目基本情况!E8="已注销及未注销","4.抵押担保权已注销时的抵押价格",IF(项目基本情况!E8="已注销","3.抵押担保权已注销时的抵押价格","——"))</f>
        <v>——</v>
      </c>
      <c r="B45" s="3883"/>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79" t="str">
        <f>IF(项目基本情况!E9="抵押净值",IF(A45="——","4.抵押净值","5.抵押净值"),"——")</f>
        <v>——</v>
      </c>
      <c r="B46" s="3880"/>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2"/>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本次评估估价师知悉的法定优先受偿款为人民币174万元整。</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3" t="s">
        <v>339</v>
      </c>
      <c r="B62" s="1154"/>
      <c r="C62" s="1154"/>
      <c r="D62" s="1155"/>
      <c r="E62" s="1155"/>
      <c r="F62" s="1156"/>
      <c r="G62" s="1156"/>
      <c r="H62" s="1156"/>
      <c r="I62" s="1156"/>
      <c r="J62" s="1754"/>
      <c r="K62" s="1750"/>
      <c r="L62" s="1750"/>
      <c r="M62" s="1750"/>
      <c r="N62" s="1750"/>
      <c r="O62" s="1750"/>
      <c r="P62" s="1750"/>
      <c r="Q62" s="1750"/>
      <c r="R62" s="1750"/>
      <c r="S62" s="1750"/>
      <c r="T62" s="1750"/>
      <c r="U62" s="1750"/>
      <c r="V62" s="1750"/>
    </row>
    <row r="63" spans="1:22" ht="14.25" customHeight="1" thickBot="1">
      <c r="A63" s="3840" t="s">
        <v>340</v>
      </c>
      <c r="B63" s="3841"/>
      <c r="C63" s="3842"/>
      <c r="D63" s="332">
        <f ca="1">ROUND(C42*F63,0)</f>
        <v>21661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84" t="s">
        <v>344</v>
      </c>
      <c r="B64" s="3885"/>
      <c r="C64" s="3885"/>
      <c r="D64" s="3885"/>
      <c r="E64" s="3885"/>
      <c r="F64" s="3885"/>
      <c r="G64" s="3886"/>
      <c r="H64" s="1157"/>
      <c r="I64" s="911"/>
      <c r="J64" s="1741"/>
      <c r="K64" s="1376"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7"/>
      <c r="I65" s="911"/>
      <c r="J65" s="1741"/>
      <c r="K65" s="1158"/>
      <c r="L65" s="1159"/>
      <c r="M65" s="1159"/>
      <c r="N65" s="1191" t="s">
        <v>345</v>
      </c>
      <c r="O65" s="1192"/>
      <c r="P65" s="1193"/>
      <c r="Q65" s="1750"/>
      <c r="R65" s="1750"/>
      <c r="S65" s="1750"/>
      <c r="T65" s="1750"/>
      <c r="U65" s="1750"/>
      <c r="V65" s="1750"/>
    </row>
    <row r="66" spans="1:22" ht="25.5">
      <c r="A66" s="3881" t="s">
        <v>352</v>
      </c>
      <c r="B66" s="3847"/>
      <c r="C66" s="384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6"/>
      <c r="K66" s="1160">
        <v>1</v>
      </c>
      <c r="L66" s="3808" t="s">
        <v>351</v>
      </c>
      <c r="M66" s="3809"/>
      <c r="N66" s="2108"/>
      <c r="O66" s="2109"/>
      <c r="P66" s="2110"/>
      <c r="Q66" s="1750"/>
      <c r="R66" s="1750"/>
      <c r="S66" s="1750"/>
      <c r="T66" s="1750"/>
      <c r="U66" s="1750"/>
      <c r="V66" s="1750"/>
    </row>
    <row r="67" spans="1:22" ht="25.5" customHeight="1">
      <c r="A67" s="343" t="s">
        <v>355</v>
      </c>
      <c r="B67" s="3859" t="s">
        <v>356</v>
      </c>
      <c r="C67" s="3859"/>
      <c r="D67" s="344">
        <v>0</v>
      </c>
      <c r="E67" s="39" t="s">
        <v>357</v>
      </c>
      <c r="F67" s="60" t="s">
        <v>15</v>
      </c>
      <c r="G67" s="3843"/>
      <c r="H67" s="2746" t="s">
        <v>2251</v>
      </c>
      <c r="I67" s="2748"/>
      <c r="J67" s="1757"/>
      <c r="K67" s="1729">
        <v>2</v>
      </c>
      <c r="L67" s="3813" t="s">
        <v>354</v>
      </c>
      <c r="M67" s="3813"/>
      <c r="N67" s="1194">
        <f>'数据-取费表'!B2</f>
        <v>45266</v>
      </c>
      <c r="O67" s="1194"/>
      <c r="P67" s="1194"/>
      <c r="Q67" s="1750"/>
      <c r="R67" s="1750"/>
      <c r="S67" s="1750"/>
      <c r="T67" s="1750"/>
      <c r="U67" s="1750"/>
      <c r="V67" s="1750"/>
    </row>
    <row r="68" spans="1:22" ht="25.5" customHeight="1">
      <c r="A68" s="345"/>
      <c r="B68" s="3859" t="s">
        <v>359</v>
      </c>
      <c r="C68" s="3859"/>
      <c r="D68" s="346"/>
      <c r="E68" s="75"/>
      <c r="F68" s="347"/>
      <c r="G68" s="3844"/>
      <c r="H68" s="2747" t="s">
        <v>2252</v>
      </c>
      <c r="I68" s="2748"/>
      <c r="J68" s="1757"/>
      <c r="K68" s="1729">
        <v>3</v>
      </c>
      <c r="L68" s="3813" t="s">
        <v>358</v>
      </c>
      <c r="M68" s="3813"/>
      <c r="N68" s="1162">
        <f ca="1">C42</f>
        <v>21661</v>
      </c>
      <c r="O68" s="1162"/>
      <c r="P68" s="1162"/>
      <c r="Q68" s="1750"/>
      <c r="R68" s="1750"/>
      <c r="S68" s="1750"/>
      <c r="T68" s="1750"/>
      <c r="U68" s="1750"/>
      <c r="V68" s="1750"/>
    </row>
    <row r="69" spans="1:22" ht="23.45" customHeight="1">
      <c r="A69" s="348"/>
      <c r="B69" s="3859" t="s">
        <v>360</v>
      </c>
      <c r="C69" s="3859"/>
      <c r="D69" s="349"/>
      <c r="E69" s="71"/>
      <c r="F69" s="347"/>
      <c r="G69" s="3845"/>
      <c r="H69" s="2747" t="s">
        <v>2253</v>
      </c>
      <c r="I69" s="2748"/>
      <c r="J69" s="1757"/>
      <c r="K69" s="1163">
        <v>4</v>
      </c>
      <c r="L69" s="3814" t="s">
        <v>2156</v>
      </c>
      <c r="M69" s="3815"/>
      <c r="N69" s="1164">
        <f ca="1">C44</f>
        <v>21487</v>
      </c>
      <c r="O69" s="1164"/>
      <c r="P69" s="1164"/>
      <c r="Q69" s="1750"/>
      <c r="R69" s="1750"/>
      <c r="S69" s="1750"/>
      <c r="T69" s="1750"/>
      <c r="U69" s="1750"/>
      <c r="V69" s="1750"/>
    </row>
    <row r="70" spans="1:22" ht="24" customHeight="1">
      <c r="A70" s="350" t="s">
        <v>361</v>
      </c>
      <c r="B70" s="3859" t="s">
        <v>362</v>
      </c>
      <c r="C70" s="3859"/>
      <c r="D70" s="349">
        <f ca="1">ROUND(D63*'数据-取费表'!B41/(1+'数据-取费表'!C42),0)</f>
        <v>1135</v>
      </c>
      <c r="E70" s="15" t="s">
        <v>363</v>
      </c>
      <c r="F70" s="351">
        <f>'数据-取费表'!B41</f>
        <v>5.5000000000000007E-2</v>
      </c>
      <c r="G70" s="352"/>
      <c r="H70" s="302"/>
      <c r="I70" s="1161"/>
      <c r="J70" s="1757"/>
      <c r="K70" s="2519"/>
      <c r="L70" s="2520"/>
      <c r="M70" s="2520"/>
      <c r="N70" s="2521" t="s">
        <v>2160</v>
      </c>
      <c r="O70" s="2520"/>
      <c r="P70" s="2522"/>
      <c r="Q70" s="1750"/>
      <c r="R70" s="1750"/>
      <c r="S70" s="1750"/>
      <c r="T70" s="1750"/>
      <c r="U70" s="1750"/>
      <c r="V70" s="1750"/>
    </row>
    <row r="71" spans="1:22" ht="12" customHeight="1">
      <c r="A71" s="350" t="s">
        <v>369</v>
      </c>
      <c r="B71" s="3858" t="s">
        <v>2280</v>
      </c>
      <c r="C71" s="3875"/>
      <c r="D71" s="349">
        <f ca="1">ROUND(D63*'数据-取费表'!B41/(1+'数据-取费表'!C42),0)</f>
        <v>1135</v>
      </c>
      <c r="E71" s="15" t="s">
        <v>363</v>
      </c>
      <c r="F71" s="351">
        <f>'数据-取费表'!B41</f>
        <v>5.5000000000000007E-2</v>
      </c>
      <c r="G71" s="352"/>
      <c r="H71" s="302"/>
      <c r="I71" s="1161"/>
      <c r="J71" s="1757"/>
      <c r="K71" s="2518" t="s">
        <v>364</v>
      </c>
      <c r="L71" s="3816" t="s">
        <v>365</v>
      </c>
      <c r="M71" s="3816"/>
      <c r="N71" s="2518" t="s">
        <v>366</v>
      </c>
      <c r="O71" s="2518" t="s">
        <v>367</v>
      </c>
      <c r="P71" s="2518" t="s">
        <v>368</v>
      </c>
      <c r="Q71" s="1750"/>
      <c r="R71" s="1750"/>
      <c r="S71" s="1750"/>
      <c r="T71" s="1750"/>
      <c r="U71" s="1750"/>
      <c r="V71" s="1750"/>
    </row>
    <row r="72" spans="1:22" ht="12" customHeight="1">
      <c r="A72" s="350" t="s">
        <v>371</v>
      </c>
      <c r="B72" s="3858" t="s">
        <v>2281</v>
      </c>
      <c r="C72" s="3875"/>
      <c r="D72" s="349">
        <f ca="1">C86</f>
        <v>1135</v>
      </c>
      <c r="E72" s="71" t="s">
        <v>372</v>
      </c>
      <c r="F72" s="351">
        <f>'数据-取费表'!B41</f>
        <v>5.5000000000000007E-2</v>
      </c>
      <c r="G72" s="352"/>
      <c r="H72" s="1167"/>
      <c r="I72" s="1161"/>
      <c r="J72" s="1757"/>
      <c r="K72" s="1729">
        <v>1</v>
      </c>
      <c r="L72" s="3812" t="s">
        <v>370</v>
      </c>
      <c r="M72" s="3812"/>
      <c r="N72" s="1165" t="b">
        <f>D66</f>
        <v>0</v>
      </c>
      <c r="O72" s="1634" t="str">
        <f>E66</f>
        <v>销售额×税（费）率</v>
      </c>
      <c r="P72" s="1166">
        <f>F66</f>
        <v>5.5000000000000007E-2</v>
      </c>
      <c r="Q72" s="1750"/>
      <c r="R72" s="1750"/>
      <c r="S72" s="1750"/>
      <c r="T72" s="1750"/>
      <c r="U72" s="1750"/>
      <c r="V72" s="1750"/>
    </row>
    <row r="73" spans="1:22" ht="24" customHeight="1">
      <c r="A73" s="3846" t="s">
        <v>374</v>
      </c>
      <c r="B73" s="3847"/>
      <c r="C73" s="3847"/>
      <c r="D73" s="353">
        <f ca="1">IF(H73="个人住宅",0,ROUND(D63*I73,0))</f>
        <v>11</v>
      </c>
      <c r="E73" s="15" t="s">
        <v>375</v>
      </c>
      <c r="F73" s="351" t="str">
        <f>IF(H73="正常",I73,"免征")</f>
        <v>免征</v>
      </c>
      <c r="G73" s="352"/>
      <c r="H73" s="184"/>
      <c r="I73" s="351">
        <f>'数据-取费表'!B49</f>
        <v>5.0000000000000001E-4</v>
      </c>
      <c r="J73" s="1757"/>
      <c r="K73" s="1729">
        <v>2</v>
      </c>
      <c r="L73" s="3812" t="s">
        <v>373</v>
      </c>
      <c r="M73" s="3812"/>
      <c r="N73" s="1165">
        <f t="shared" ref="N73:P74" ca="1" si="0">D73</f>
        <v>11</v>
      </c>
      <c r="O73" s="1634" t="str">
        <f t="shared" si="0"/>
        <v>销售额×税（费）率</v>
      </c>
      <c r="P73" s="1166" t="str">
        <f t="shared" si="0"/>
        <v>免征</v>
      </c>
      <c r="Q73" s="1750"/>
      <c r="R73" s="1750"/>
      <c r="S73" s="1750"/>
      <c r="T73" s="1750"/>
      <c r="U73" s="1750"/>
      <c r="V73" s="1750"/>
    </row>
    <row r="74" spans="1:22" ht="24.75">
      <c r="A74" s="3846" t="s">
        <v>377</v>
      </c>
      <c r="B74" s="3847"/>
      <c r="C74" s="3847"/>
      <c r="D74" s="353">
        <f ca="1">IF(H74="个人住宅",D75,D76)</f>
        <v>12280</v>
      </c>
      <c r="E74" s="15" t="s">
        <v>378</v>
      </c>
      <c r="F74" s="351" t="str">
        <f>IF(H74="正常",F76,"免征")</f>
        <v>免征</v>
      </c>
      <c r="G74" s="945" t="s">
        <v>379</v>
      </c>
      <c r="H74" s="354"/>
      <c r="I74" s="40"/>
      <c r="J74" s="1757"/>
      <c r="K74" s="1729">
        <v>3</v>
      </c>
      <c r="L74" s="3812" t="s">
        <v>376</v>
      </c>
      <c r="M74" s="3812"/>
      <c r="N74" s="1165">
        <f t="shared" ca="1" si="0"/>
        <v>12280</v>
      </c>
      <c r="O74" s="1634" t="str">
        <f t="shared" si="0"/>
        <v>增值额×税（费）率</v>
      </c>
      <c r="P74" s="1168" t="str">
        <f t="shared" si="0"/>
        <v>免征</v>
      </c>
      <c r="Q74" s="1750"/>
      <c r="R74" s="1750"/>
      <c r="S74" s="1750"/>
      <c r="T74" s="1750"/>
      <c r="U74" s="1750"/>
      <c r="V74" s="1750"/>
    </row>
    <row r="75" spans="1:22" ht="12.75">
      <c r="A75" s="350" t="s">
        <v>380</v>
      </c>
      <c r="B75" s="3827" t="s">
        <v>381</v>
      </c>
      <c r="C75" s="3828"/>
      <c r="D75" s="355">
        <v>0</v>
      </c>
      <c r="E75" s="39" t="s">
        <v>382</v>
      </c>
      <c r="F75" s="356"/>
      <c r="G75" s="352"/>
      <c r="H75" s="40"/>
      <c r="I75" s="40"/>
      <c r="J75" s="1757"/>
      <c r="K75" s="2512">
        <f>IF(H77="非个人房产","",4)</f>
        <v>4</v>
      </c>
      <c r="L75" s="3812" t="str">
        <f>IF(H77="非个人房产","——","个人所得税")</f>
        <v>个人所得税</v>
      </c>
      <c r="M75" s="3812"/>
      <c r="N75" s="1169">
        <f>D77</f>
        <v>0</v>
      </c>
      <c r="O75" s="1635" t="str">
        <f>E77</f>
        <v>差额计税</v>
      </c>
      <c r="P75" s="1170">
        <f>F77</f>
        <v>0.01</v>
      </c>
      <c r="Q75" s="1750"/>
      <c r="R75" s="1750"/>
      <c r="S75" s="1750"/>
      <c r="T75" s="1750"/>
      <c r="U75" s="1750"/>
      <c r="V75" s="1750"/>
    </row>
    <row r="76" spans="1:22" ht="24.75">
      <c r="A76" s="350" t="s">
        <v>361</v>
      </c>
      <c r="B76" s="3827" t="s">
        <v>384</v>
      </c>
      <c r="C76" s="3869"/>
      <c r="D76" s="353">
        <f ca="1">IF(H76="转让取得",C99,C115)</f>
        <v>12280</v>
      </c>
      <c r="E76" s="15" t="s">
        <v>385</v>
      </c>
      <c r="F76" s="51" t="s">
        <v>15</v>
      </c>
      <c r="G76" s="352"/>
      <c r="H76" s="354"/>
      <c r="I76" s="40"/>
      <c r="J76" s="1757"/>
      <c r="K76" s="2512" t="str">
        <f>IF(项目基本情况!K6="上海银行",IF(K75="",4,K75+1),"")</f>
        <v/>
      </c>
      <c r="L76" s="3823" t="str">
        <f>IF(项目基本情况!K6="上海银行","其他处置费用","")</f>
        <v/>
      </c>
      <c r="M76" s="3824"/>
      <c r="N76" s="1165" t="str">
        <f>IF(项目基本情况!K6="上海银行",N89,"")</f>
        <v/>
      </c>
      <c r="O76" s="3825" t="str">
        <f>IF(项目基本情况!K6="上海银行","包含处置中涉及的律师、诉讼、拍卖、评估等费用","")</f>
        <v/>
      </c>
      <c r="P76" s="3826"/>
      <c r="Q76" s="1750"/>
      <c r="R76" s="1750"/>
      <c r="S76" s="1750"/>
      <c r="T76" s="1750"/>
      <c r="U76" s="1750"/>
      <c r="V76" s="1750"/>
    </row>
    <row r="77" spans="1:22" ht="24.75" thickBot="1">
      <c r="A77" s="3838" t="s">
        <v>387</v>
      </c>
      <c r="B77" s="3839"/>
      <c r="C77" s="3839"/>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6" t="s">
        <v>379</v>
      </c>
      <c r="H77" s="2750"/>
      <c r="I77" s="2749" t="s">
        <v>2254</v>
      </c>
      <c r="J77" s="1757"/>
      <c r="K77" s="3834">
        <f>IF(AND(K75="",K76=""),4,IF(项目基本情况!K6="上海银行",K76+1,K75+1))</f>
        <v>5</v>
      </c>
      <c r="L77" s="3812" t="s">
        <v>2157</v>
      </c>
      <c r="M77" s="2517" t="s">
        <v>383</v>
      </c>
      <c r="N77" s="1171"/>
      <c r="O77" s="1172">
        <f ca="1">SUMIF(N72:N76,"&lt;9e307")</f>
        <v>12291</v>
      </c>
      <c r="P77" s="1173"/>
      <c r="Q77" s="2515">
        <f ca="1">O77/N69</f>
        <v>0.57202029133894916</v>
      </c>
      <c r="R77" s="1750"/>
      <c r="S77" s="1750"/>
      <c r="T77" s="1750"/>
      <c r="U77" s="1750"/>
      <c r="V77" s="1750"/>
    </row>
    <row r="78" spans="1:22" ht="12" customHeight="1">
      <c r="A78" s="1174"/>
      <c r="B78" s="302"/>
      <c r="C78" s="302"/>
      <c r="D78" s="302"/>
      <c r="E78" s="40"/>
      <c r="F78" s="40"/>
      <c r="G78" s="40"/>
      <c r="H78" s="965"/>
      <c r="I78" s="302"/>
      <c r="J78" s="1757"/>
      <c r="K78" s="3834"/>
      <c r="L78" s="3812"/>
      <c r="M78" s="2517" t="s">
        <v>386</v>
      </c>
      <c r="N78" s="1171"/>
      <c r="O78" s="1172" t="str">
        <f ca="1">NUMBERSTRING(INT(O77*10000),2)&amp;"元整"</f>
        <v>壹亿贰仟贰佰玖拾壹万元整</v>
      </c>
      <c r="P78" s="1173"/>
      <c r="Q78" s="1750"/>
      <c r="R78" s="1750"/>
      <c r="S78" s="1750"/>
      <c r="T78" s="1750"/>
      <c r="U78" s="1750"/>
      <c r="V78" s="1750"/>
    </row>
    <row r="79" spans="1:22" ht="13.5" thickBot="1">
      <c r="A79" s="3889" t="s">
        <v>388</v>
      </c>
      <c r="B79" s="3889"/>
      <c r="C79" s="3889"/>
      <c r="D79" s="3889"/>
      <c r="E79" s="3889"/>
      <c r="F79" s="40"/>
      <c r="G79" s="40"/>
      <c r="H79" s="965"/>
      <c r="I79" s="302"/>
      <c r="J79" s="1757"/>
      <c r="K79" s="3810">
        <f>K77+1</f>
        <v>6</v>
      </c>
      <c r="L79" s="3812" t="s">
        <v>2158</v>
      </c>
      <c r="M79" s="2517" t="s">
        <v>383</v>
      </c>
      <c r="N79" s="1171"/>
      <c r="O79" s="1172">
        <f ca="1">N69-O77</f>
        <v>9196</v>
      </c>
      <c r="P79" s="1173"/>
      <c r="Q79" s="1750"/>
      <c r="R79" s="1750"/>
      <c r="S79" s="1750"/>
      <c r="T79" s="1750"/>
      <c r="U79" s="1750"/>
      <c r="V79" s="1750"/>
    </row>
    <row r="80" spans="1:22" ht="12.75">
      <c r="A80" s="3820" t="s">
        <v>389</v>
      </c>
      <c r="B80" s="3821"/>
      <c r="C80" s="956"/>
      <c r="D80" s="956" t="s">
        <v>390</v>
      </c>
      <c r="E80" s="357" t="s">
        <v>391</v>
      </c>
      <c r="F80" s="40"/>
      <c r="G80" s="40"/>
      <c r="H80" s="965"/>
      <c r="I80" s="302"/>
      <c r="J80" s="1750"/>
      <c r="K80" s="3811"/>
      <c r="L80" s="3812"/>
      <c r="M80" s="2517" t="s">
        <v>386</v>
      </c>
      <c r="N80" s="1171"/>
      <c r="O80" s="1172" t="str">
        <f ca="1">NUMBERSTRING(INT(O79*10000),2)&amp;"元整"</f>
        <v>玖仟壹佰玖拾陆万元整</v>
      </c>
      <c r="P80" s="1173"/>
      <c r="Q80" s="1750"/>
      <c r="R80" s="1750"/>
      <c r="S80" s="1750"/>
      <c r="T80" s="1750"/>
      <c r="U80" s="1750"/>
      <c r="V80" s="1750"/>
    </row>
    <row r="81" spans="1:26" ht="13.5" thickBot="1">
      <c r="A81" s="368" t="s">
        <v>1352</v>
      </c>
      <c r="B81" s="358" t="s">
        <v>392</v>
      </c>
      <c r="C81" s="359">
        <f ca="1">ROUND((C82+C83)/(1+'数据-取费表'!C42),0)</f>
        <v>20630</v>
      </c>
      <c r="D81" s="360"/>
      <c r="E81" s="361"/>
      <c r="F81" s="40"/>
      <c r="G81" s="40"/>
      <c r="H81" s="965"/>
      <c r="I81" s="302"/>
      <c r="J81" s="1750"/>
      <c r="K81" s="2512">
        <f>K79+1</f>
        <v>7</v>
      </c>
      <c r="L81" s="3832" t="s">
        <v>2159</v>
      </c>
      <c r="M81" s="3833"/>
      <c r="N81" s="1175"/>
      <c r="O81" s="1176">
        <f ca="1">ROUND(O79*10000/'数据-汇总表'!E3,0)</f>
        <v>2007</v>
      </c>
      <c r="P81" s="1177"/>
      <c r="Q81" s="1750"/>
      <c r="R81" s="1750"/>
      <c r="S81" s="1750"/>
      <c r="T81" s="1750"/>
      <c r="U81" s="1750"/>
      <c r="V81" s="1750"/>
    </row>
    <row r="82" spans="1:26" ht="13.5" thickTop="1">
      <c r="A82" s="362" t="s">
        <v>1353</v>
      </c>
      <c r="B82" s="363" t="s">
        <v>393</v>
      </c>
      <c r="C82" s="364">
        <f ca="1">D63</f>
        <v>21661</v>
      </c>
      <c r="D82" s="365" t="s">
        <v>13</v>
      </c>
      <c r="E82" s="366"/>
      <c r="F82" s="40"/>
      <c r="G82" s="40"/>
      <c r="H82" s="965"/>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5"/>
      <c r="I83" s="302"/>
      <c r="J83" s="1750"/>
      <c r="K83" s="3822" t="s">
        <v>2147</v>
      </c>
      <c r="L83" s="2523" t="s">
        <v>2148</v>
      </c>
      <c r="M83" s="2513">
        <f ca="1">IF(N69&gt;10000,N69*0.5%,IF(AND(N69&gt;1000,N69&lt;=10000),N69*1%,IF(AND(N69&gt;100,N69&lt;=1000),N69*3%,IF(AND(N69&gt;10,N69&lt;=100),N69*5%,N69*8%))))</f>
        <v>107.435</v>
      </c>
      <c r="N83" s="51">
        <f ca="1">ROUND(M83,1)</f>
        <v>107.4</v>
      </c>
      <c r="O83" s="2516"/>
      <c r="P83" s="1750"/>
      <c r="Q83" s="1750"/>
      <c r="R83" s="1750"/>
      <c r="S83" s="1750"/>
      <c r="T83" s="1750"/>
      <c r="U83" s="1750"/>
      <c r="V83" s="1750"/>
    </row>
    <row r="84" spans="1:26" ht="12.75">
      <c r="A84" s="368" t="s">
        <v>1355</v>
      </c>
      <c r="B84" s="369" t="s">
        <v>395</v>
      </c>
      <c r="C84" s="370"/>
      <c r="D84" s="371" t="s">
        <v>13</v>
      </c>
      <c r="E84" s="2539" t="s">
        <v>2197</v>
      </c>
      <c r="F84" s="40"/>
      <c r="G84" s="40"/>
      <c r="H84" s="965"/>
      <c r="I84" s="302"/>
      <c r="J84" s="1750"/>
      <c r="K84" s="3822"/>
      <c r="L84" s="2523" t="s">
        <v>2149</v>
      </c>
      <c r="M84" s="2513">
        <f ca="1">IF(N69&gt;2000,N69*0.5%,IF(AND(N69&gt;1000,N69&lt;=2000),N69*0.6%,IF(AND(N69&gt;500,N69&lt;=1000),N69*0.7%,IF(AND(N69&gt;200,N69&lt;=500),N69*0.8%,IF(AND(N69&gt;100,N69&lt;=200),N69*0.9%,IF(AND(N69&gt;50,N69&lt;=100),N69*1%,IF(AND(N69&gt;20,N69&lt;=50),N69*1.5%,IF(AND(N69&gt;10,N69&lt;=20),N69*2%,IF(AND(N69&gt;1,N69&lt;=10),N69*2.5%)))))))))</f>
        <v>107.435</v>
      </c>
      <c r="N84" s="51">
        <f ca="1">ROUND(M84,1)</f>
        <v>107.4</v>
      </c>
      <c r="O84" s="1750" t="s">
        <v>2150</v>
      </c>
      <c r="P84" s="1750"/>
      <c r="Q84" s="1750"/>
      <c r="R84" s="1750"/>
      <c r="S84" s="1750"/>
      <c r="T84" s="1750"/>
      <c r="U84" s="1750"/>
      <c r="V84" s="1750"/>
    </row>
    <row r="85" spans="1:26" ht="12.75">
      <c r="A85" s="368" t="s">
        <v>1356</v>
      </c>
      <c r="B85" s="369" t="s">
        <v>396</v>
      </c>
      <c r="C85" s="372">
        <f ca="1">C81-C84</f>
        <v>20630</v>
      </c>
      <c r="D85" s="365" t="s">
        <v>13</v>
      </c>
      <c r="E85" s="366"/>
      <c r="F85" s="40"/>
      <c r="G85" s="40"/>
      <c r="H85" s="965"/>
      <c r="I85" s="302"/>
      <c r="J85" s="1750"/>
      <c r="K85" s="3822"/>
      <c r="L85" s="2523" t="s">
        <v>2151</v>
      </c>
      <c r="M85" s="2513">
        <f ca="1">IF(N69&gt;1000,N69*0.1%,IF(AND(N69&gt;500,N69&lt;=1000),N69*0.5%,IF(AND(N69&gt;50,N69&lt;=500),N69*1%,IF(AND(N69&gt;1,N69&lt;=50),N69*1.5%))))</f>
        <v>21.487000000000002</v>
      </c>
      <c r="N85" s="51">
        <f ca="1">ROUND(M85,1)</f>
        <v>21.5</v>
      </c>
      <c r="O85" s="1750" t="s">
        <v>2150</v>
      </c>
      <c r="P85" s="1750"/>
      <c r="Q85" s="1750"/>
      <c r="R85" s="1750"/>
      <c r="S85" s="1750"/>
      <c r="T85" s="1750"/>
      <c r="U85" s="1750"/>
      <c r="V85" s="1750"/>
    </row>
    <row r="86" spans="1:26" ht="13.5" thickBot="1">
      <c r="A86" s="373" t="s">
        <v>1357</v>
      </c>
      <c r="B86" s="374" t="s">
        <v>397</v>
      </c>
      <c r="C86" s="375">
        <f ca="1">IF(C85&lt;=0,0,ROUND(C85*D86,0))</f>
        <v>1135</v>
      </c>
      <c r="D86" s="376">
        <f>'数据-取费表'!B41</f>
        <v>5.5000000000000007E-2</v>
      </c>
      <c r="E86" s="377"/>
      <c r="F86" s="40"/>
      <c r="G86" s="40"/>
      <c r="H86" s="965"/>
      <c r="I86" s="302"/>
      <c r="J86" s="1750"/>
      <c r="K86" s="3822"/>
      <c r="L86" s="2523" t="s">
        <v>2152</v>
      </c>
      <c r="M86" s="2513">
        <f ca="1">N69*0.5%</f>
        <v>107.435</v>
      </c>
      <c r="N86" s="51">
        <f ca="1">IF(M86&gt;0.5,0.5,ROUND(M86,0))</f>
        <v>0.5</v>
      </c>
      <c r="O86" s="1750" t="s">
        <v>2153</v>
      </c>
      <c r="P86" s="1750"/>
      <c r="Q86" s="1750"/>
      <c r="R86" s="1750"/>
      <c r="S86" s="1750"/>
      <c r="T86" s="1750"/>
      <c r="U86" s="1750"/>
      <c r="V86" s="1750"/>
    </row>
    <row r="87" spans="1:26" s="1123" customFormat="1" ht="14.25" customHeight="1">
      <c r="A87" s="1178"/>
      <c r="B87" s="1179"/>
      <c r="C87" s="1180"/>
      <c r="D87" s="1181"/>
      <c r="E87" s="1182"/>
      <c r="F87" s="40"/>
      <c r="G87" s="40"/>
      <c r="H87" s="965"/>
      <c r="I87" s="302"/>
      <c r="J87" s="1750"/>
      <c r="K87" s="3822"/>
      <c r="L87" s="2523" t="s">
        <v>2154</v>
      </c>
      <c r="M87" s="2513">
        <f ca="1">IF(N69&gt;=10000,(8.25+(N69-10000)*0.01%),IF(AND(N69&gt;=8000,N69&lt;10000),(7.85+(N69-8000)*0.02%),IF(AND(N69&gt;=5000,N69&lt;8000),(6.65+(N69-5000)*0.04%),IF(AND(N69&gt;=2000,N69&lt;5000),(4.25+(PN69-2000)*0.08%),IF(AND(N69&gt;=1000,N69&lt;2000),(2.75+(N69-1000)*0.15%),IF(AND(N69&gt;=100,N69&lt;1000),(0.5+(N69-100)*0.25%),IF(AND(N69&gt;0,N69&lt;100),N69*0.5%)))))))</f>
        <v>9.3986999999999998</v>
      </c>
      <c r="N87" s="51">
        <f ca="1">ROUND(M87*0.9,1)</f>
        <v>8.5</v>
      </c>
      <c r="O87" s="2516"/>
      <c r="P87" s="1750"/>
      <c r="Q87" s="1750"/>
      <c r="R87" s="1750"/>
      <c r="S87" s="1750"/>
      <c r="T87" s="1750"/>
      <c r="U87" s="1750"/>
      <c r="V87" s="1750"/>
      <c r="W87" s="283"/>
      <c r="X87" s="283"/>
      <c r="Y87" s="283"/>
      <c r="Z87" s="283"/>
    </row>
    <row r="88" spans="1:26" s="1183" customFormat="1" ht="15" thickBot="1">
      <c r="A88" s="3861" t="s">
        <v>398</v>
      </c>
      <c r="B88" s="3862"/>
      <c r="C88" s="3862"/>
      <c r="D88" s="3862"/>
      <c r="E88" s="3862"/>
      <c r="F88" s="3862"/>
      <c r="G88" s="3862"/>
      <c r="H88" s="3862"/>
      <c r="I88" s="1184"/>
      <c r="J88" s="1758"/>
      <c r="K88" s="3822"/>
      <c r="L88" s="2523" t="s">
        <v>2155</v>
      </c>
      <c r="M88" s="2513">
        <f ca="1">IF(N69&gt;10000,N69*0.5%,IF(AND(N69&gt;5000,N69&lt;=10000),N69*1%,IF(AND(N69&gt;1000,N69&lt;=5000),N69*2%,IF(AND(N69&gt;200,N69&lt;=1000),N69*3%,N69*5%))))</f>
        <v>107.435</v>
      </c>
      <c r="N88" s="51">
        <f ca="1">ROUND(M88,1)</f>
        <v>107.4</v>
      </c>
      <c r="O88" s="2516"/>
      <c r="P88" s="1755"/>
      <c r="Q88" s="1755"/>
      <c r="R88" s="1755"/>
      <c r="S88" s="1755"/>
      <c r="T88" s="1755"/>
      <c r="U88" s="1755"/>
      <c r="V88" s="1755"/>
      <c r="W88" s="1759"/>
      <c r="X88" s="1759"/>
      <c r="Y88" s="1759"/>
      <c r="Z88" s="1759"/>
    </row>
    <row r="89" spans="1:26" s="1183" customFormat="1" ht="14.25">
      <c r="A89" s="3820" t="s">
        <v>389</v>
      </c>
      <c r="B89" s="3821"/>
      <c r="C89" s="956"/>
      <c r="D89" s="956" t="s">
        <v>390</v>
      </c>
      <c r="E89" s="378" t="s">
        <v>399</v>
      </c>
      <c r="F89" s="379"/>
      <c r="G89" s="379"/>
      <c r="H89" s="380"/>
      <c r="I89" s="1185"/>
      <c r="J89" s="1760"/>
      <c r="K89" s="3822"/>
      <c r="L89" s="2523" t="s">
        <v>16</v>
      </c>
      <c r="M89" s="2514"/>
      <c r="N89" s="51">
        <f ca="1">ROUND(SUM(N83:N88),0)</f>
        <v>353</v>
      </c>
      <c r="O89" s="2524">
        <f ca="1">N89/N69</f>
        <v>1.6428538185879835E-2</v>
      </c>
      <c r="P89" s="1755"/>
      <c r="Q89" s="1755"/>
      <c r="R89" s="1755"/>
      <c r="S89" s="1755"/>
      <c r="T89" s="1755"/>
      <c r="U89" s="1755"/>
      <c r="V89" s="1755"/>
      <c r="W89" s="1759"/>
      <c r="X89" s="1759"/>
      <c r="Y89" s="1759"/>
      <c r="Z89" s="1759"/>
    </row>
    <row r="90" spans="1:26" s="1183" customFormat="1" ht="14.25">
      <c r="A90" s="368" t="s">
        <v>1352</v>
      </c>
      <c r="B90" s="369" t="s">
        <v>400</v>
      </c>
      <c r="C90" s="372">
        <f ca="1">ROUND(D63/(1+'数据-取费表'!C42),0)</f>
        <v>20630</v>
      </c>
      <c r="D90" s="365" t="s">
        <v>13</v>
      </c>
      <c r="E90" s="953"/>
      <c r="F90" s="952"/>
      <c r="G90" s="952"/>
      <c r="H90" s="381"/>
      <c r="I90" s="1185"/>
      <c r="J90" s="1760"/>
      <c r="K90" s="1755"/>
      <c r="L90" s="1755"/>
      <c r="M90" s="1755"/>
      <c r="N90" s="1755"/>
      <c r="O90" s="1755"/>
      <c r="P90" s="1755"/>
      <c r="Q90" s="1755"/>
      <c r="R90" s="1755"/>
      <c r="S90" s="1755"/>
      <c r="T90" s="1755"/>
      <c r="U90" s="1755"/>
      <c r="V90" s="1755"/>
      <c r="W90" s="1759"/>
      <c r="X90" s="1759"/>
      <c r="Y90" s="1759"/>
      <c r="Z90" s="1759"/>
    </row>
    <row r="91" spans="1:26" s="1183" customFormat="1" ht="14.25">
      <c r="A91" s="368" t="s">
        <v>1358</v>
      </c>
      <c r="B91" s="339" t="s">
        <v>401</v>
      </c>
      <c r="C91" s="372">
        <f ca="1">C92+C96</f>
        <v>103</v>
      </c>
      <c r="D91" s="365" t="s">
        <v>13</v>
      </c>
      <c r="E91" s="953"/>
      <c r="F91" s="952"/>
      <c r="G91" s="952"/>
      <c r="H91" s="381"/>
      <c r="I91" s="1185"/>
      <c r="J91" s="1760"/>
      <c r="K91" s="1755"/>
      <c r="L91" s="1755"/>
      <c r="M91" s="1755"/>
      <c r="N91" s="1755"/>
      <c r="O91" s="1755"/>
      <c r="P91" s="1755"/>
      <c r="Q91" s="1755"/>
      <c r="R91" s="1755"/>
      <c r="S91" s="1755"/>
      <c r="T91" s="1755"/>
      <c r="U91" s="1755"/>
      <c r="V91" s="1755"/>
      <c r="W91" s="1759"/>
      <c r="X91" s="1759"/>
      <c r="Y91" s="1759"/>
      <c r="Z91" s="1759"/>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0"/>
      <c r="K92" s="1755"/>
      <c r="L92" s="1755"/>
      <c r="M92" s="1755"/>
      <c r="N92" s="1755"/>
      <c r="O92" s="1755"/>
      <c r="P92" s="1755"/>
      <c r="Q92" s="1755"/>
      <c r="R92" s="1755"/>
      <c r="S92" s="1755"/>
      <c r="T92" s="1755"/>
      <c r="U92" s="1755"/>
      <c r="V92" s="1755"/>
      <c r="W92" s="1759"/>
      <c r="X92" s="1759"/>
      <c r="Y92" s="1759"/>
      <c r="Z92" s="1759"/>
    </row>
    <row r="93" spans="1:26" s="1183"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3" customFormat="1" ht="24.75" customHeight="1">
      <c r="A94" s="382" t="s">
        <v>1361</v>
      </c>
      <c r="B94" s="387" t="s">
        <v>406</v>
      </c>
      <c r="C94" s="365">
        <f>IF(F93="购房发票",ROUND(C93*H93*5%,0),0)</f>
        <v>0</v>
      </c>
      <c r="D94" s="388">
        <v>0.05</v>
      </c>
      <c r="E94" s="3858" t="s">
        <v>407</v>
      </c>
      <c r="F94" s="3859"/>
      <c r="G94" s="3859"/>
      <c r="H94" s="3860"/>
      <c r="I94" s="1185"/>
      <c r="J94" s="1760"/>
      <c r="K94" s="1755"/>
      <c r="L94" s="1755"/>
      <c r="M94" s="1755"/>
      <c r="N94" s="1755"/>
      <c r="O94" s="1755"/>
      <c r="P94" s="1755"/>
      <c r="Q94" s="1755"/>
      <c r="R94" s="1755"/>
      <c r="S94" s="1755"/>
      <c r="T94" s="1755"/>
      <c r="U94" s="1755"/>
      <c r="V94" s="1755"/>
      <c r="W94" s="1759"/>
      <c r="X94" s="1759"/>
      <c r="Y94" s="1759"/>
      <c r="Z94" s="1759"/>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0"/>
      <c r="K95" s="1755"/>
      <c r="L95" s="1755"/>
      <c r="M95" s="1755"/>
      <c r="N95" s="1755"/>
      <c r="O95" s="1755"/>
      <c r="P95" s="1755"/>
      <c r="Q95" s="1755"/>
      <c r="R95" s="1755"/>
      <c r="S95" s="1755"/>
      <c r="T95" s="1755"/>
      <c r="U95" s="1755"/>
      <c r="V95" s="1755"/>
      <c r="W95" s="1759"/>
      <c r="X95" s="1759"/>
      <c r="Y95" s="1759"/>
      <c r="Z95" s="1759"/>
    </row>
    <row r="96" spans="1:26" s="1183" customFormat="1" ht="24.75" customHeight="1">
      <c r="A96" s="382" t="s">
        <v>1363</v>
      </c>
      <c r="B96" s="363" t="s">
        <v>410</v>
      </c>
      <c r="C96" s="392">
        <f ca="1">ROUND(D63*D96/(1+'数据-取费表'!C42),0)</f>
        <v>103</v>
      </c>
      <c r="D96" s="393">
        <f>'数据-取费表'!B43</f>
        <v>5.000000000000001E-3</v>
      </c>
      <c r="E96" s="3817" t="s">
        <v>1779</v>
      </c>
      <c r="F96" s="3818"/>
      <c r="G96" s="3818"/>
      <c r="H96" s="3819"/>
      <c r="I96" s="1186"/>
      <c r="J96" s="1761"/>
      <c r="K96" s="1755"/>
      <c r="L96" s="1755"/>
      <c r="M96" s="1755"/>
      <c r="N96" s="1755"/>
      <c r="O96" s="1755"/>
      <c r="P96" s="1755"/>
      <c r="Q96" s="1755"/>
      <c r="R96" s="1755"/>
      <c r="S96" s="1755"/>
      <c r="T96" s="1755"/>
      <c r="U96" s="1755"/>
      <c r="V96" s="1755"/>
      <c r="W96" s="1759"/>
      <c r="X96" s="1759"/>
      <c r="Y96" s="1759"/>
      <c r="Z96" s="1759"/>
    </row>
    <row r="97" spans="1:26" s="1183" customFormat="1" ht="14.25">
      <c r="A97" s="1423" t="s">
        <v>1364</v>
      </c>
      <c r="B97" s="369" t="s">
        <v>411</v>
      </c>
      <c r="C97" s="372">
        <f ca="1">C90-C91</f>
        <v>20527</v>
      </c>
      <c r="D97" s="365" t="s">
        <v>13</v>
      </c>
      <c r="E97" s="953"/>
      <c r="F97" s="952"/>
      <c r="G97" s="952"/>
      <c r="H97" s="381"/>
      <c r="I97" s="1185"/>
      <c r="J97" s="1760"/>
      <c r="K97" s="1755"/>
      <c r="L97" s="1755"/>
      <c r="M97" s="1755"/>
      <c r="N97" s="1755"/>
      <c r="O97" s="1755"/>
      <c r="P97" s="1755"/>
      <c r="Q97" s="1755"/>
      <c r="R97" s="1755"/>
      <c r="S97" s="1755"/>
      <c r="T97" s="1755"/>
      <c r="U97" s="1755"/>
      <c r="V97" s="1755"/>
      <c r="W97" s="1759"/>
      <c r="X97" s="1759"/>
      <c r="Y97" s="1759"/>
      <c r="Z97" s="1759"/>
    </row>
    <row r="98" spans="1:26" s="1183" customFormat="1" ht="24">
      <c r="A98" s="1423" t="s">
        <v>1365</v>
      </c>
      <c r="B98" s="369" t="s">
        <v>412</v>
      </c>
      <c r="C98" s="394">
        <f ca="1">IF(C97&lt;=0,0,C97/C91)</f>
        <v>199.29126213592232</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0"/>
      <c r="K98" s="1755"/>
      <c r="L98" s="1755"/>
      <c r="M98" s="1755"/>
      <c r="N98" s="1755"/>
      <c r="O98" s="1755"/>
      <c r="P98" s="1755"/>
      <c r="Q98" s="1755"/>
      <c r="R98" s="1755"/>
      <c r="S98" s="1755"/>
      <c r="T98" s="1755"/>
      <c r="U98" s="1755"/>
      <c r="V98" s="1755"/>
      <c r="W98" s="1759"/>
      <c r="X98" s="1759"/>
      <c r="Y98" s="1759"/>
      <c r="Z98" s="1759"/>
    </row>
    <row r="99" spans="1:26" s="1183" customFormat="1" ht="24.75" thickBot="1">
      <c r="A99" s="1424" t="s">
        <v>1366</v>
      </c>
      <c r="B99" s="374" t="s">
        <v>413</v>
      </c>
      <c r="C99" s="395">
        <f ca="1">ROUND(IF(C97&lt;=0,0,IF(C98&gt;=200%,C97*60%-C91*35%,IF(C98&gt;=100%,C97*50%-C91*15%,IF(C98&gt;=50%,C97*40%-C91*5%,IF(C98&lt;50%,C97*30%,0))))),0)</f>
        <v>12280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0"/>
      <c r="K99" s="1755"/>
      <c r="L99" s="1755"/>
      <c r="M99" s="1755"/>
      <c r="N99" s="1755"/>
      <c r="O99" s="1755"/>
      <c r="P99" s="1755"/>
      <c r="Q99" s="1755"/>
      <c r="R99" s="1755"/>
      <c r="S99" s="1755"/>
      <c r="T99" s="1755"/>
      <c r="U99" s="1755"/>
      <c r="V99" s="1755"/>
      <c r="W99" s="1759"/>
      <c r="X99" s="1759"/>
      <c r="Y99" s="1759"/>
      <c r="Z99" s="1759"/>
    </row>
    <row r="100" spans="1:26" s="1183" customFormat="1" ht="7.5" customHeight="1">
      <c r="A100" s="1187"/>
      <c r="B100" s="1188"/>
      <c r="C100" s="9"/>
      <c r="D100" s="9"/>
      <c r="E100" s="1188"/>
      <c r="F100" s="1188"/>
      <c r="G100" s="1188"/>
      <c r="H100" s="1189"/>
      <c r="I100" s="1186"/>
      <c r="J100" s="1761"/>
      <c r="K100" s="1755"/>
      <c r="L100" s="1755"/>
      <c r="M100" s="1755"/>
      <c r="N100" s="1755"/>
      <c r="O100" s="1755"/>
      <c r="P100" s="1755"/>
      <c r="Q100" s="1755"/>
      <c r="R100" s="1755"/>
      <c r="S100" s="1755"/>
      <c r="T100" s="1755"/>
      <c r="U100" s="1755"/>
      <c r="V100" s="1755"/>
      <c r="W100" s="1759"/>
      <c r="X100" s="1759"/>
      <c r="Y100" s="1759"/>
      <c r="Z100" s="1759"/>
    </row>
    <row r="101" spans="1:26" s="1183" customFormat="1" ht="15" thickBot="1">
      <c r="A101" s="3861" t="s">
        <v>414</v>
      </c>
      <c r="B101" s="3862"/>
      <c r="C101" s="3862"/>
      <c r="D101" s="3862"/>
      <c r="E101" s="3862"/>
      <c r="F101" s="3862"/>
      <c r="G101" s="3862"/>
      <c r="H101" s="3862"/>
      <c r="I101" s="9"/>
      <c r="J101" s="1755"/>
      <c r="K101" s="1755"/>
      <c r="L101" s="1755"/>
      <c r="M101" s="1755"/>
      <c r="N101" s="1755"/>
      <c r="O101" s="1755"/>
      <c r="P101" s="1755"/>
      <c r="Q101" s="1755"/>
      <c r="R101" s="1755"/>
      <c r="S101" s="1755"/>
      <c r="T101" s="1755"/>
      <c r="U101" s="1755"/>
      <c r="V101" s="1755"/>
      <c r="W101" s="1759"/>
      <c r="X101" s="1759"/>
      <c r="Y101" s="1759"/>
      <c r="Z101" s="1759"/>
    </row>
    <row r="102" spans="1:26" s="1183" customFormat="1" ht="14.25">
      <c r="A102" s="3820" t="s">
        <v>389</v>
      </c>
      <c r="B102" s="3821"/>
      <c r="C102" s="956"/>
      <c r="D102" s="956"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3" customFormat="1" ht="14.25">
      <c r="A103" s="368" t="s">
        <v>1352</v>
      </c>
      <c r="B103" s="369" t="s">
        <v>400</v>
      </c>
      <c r="C103" s="372">
        <f ca="1">ROUND(D63/(1+'数据-取费表'!C42),0)</f>
        <v>20630</v>
      </c>
      <c r="D103" s="365" t="s">
        <v>13</v>
      </c>
      <c r="E103" s="953"/>
      <c r="F103" s="952"/>
      <c r="G103" s="952"/>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3" customFormat="1" ht="14.25">
      <c r="A104" s="368" t="s">
        <v>1358</v>
      </c>
      <c r="B104" s="339" t="s">
        <v>401</v>
      </c>
      <c r="C104" s="372">
        <f ca="1">IF(H106="仅含出让金",C105+C108+C109+C110+C111+C112,C105+C109+C110+C111+C112)</f>
        <v>103</v>
      </c>
      <c r="D104" s="402"/>
      <c r="E104" s="953"/>
      <c r="F104" s="952"/>
      <c r="G104" s="952"/>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3" customFormat="1" ht="14.25">
      <c r="A105" s="382" t="s">
        <v>1359</v>
      </c>
      <c r="B105" s="363" t="s">
        <v>415</v>
      </c>
      <c r="C105" s="392">
        <f>C106+C107</f>
        <v>0</v>
      </c>
      <c r="D105" s="393"/>
      <c r="E105" s="947"/>
      <c r="F105" s="948"/>
      <c r="G105" s="948"/>
      <c r="H105" s="949"/>
      <c r="I105" s="9"/>
      <c r="J105" s="1755"/>
      <c r="K105" s="1755"/>
      <c r="L105" s="1755"/>
      <c r="M105" s="1755"/>
      <c r="N105" s="1755"/>
      <c r="O105" s="1755"/>
      <c r="P105" s="1755"/>
      <c r="Q105" s="1755"/>
      <c r="R105" s="1755"/>
      <c r="S105" s="1755"/>
      <c r="T105" s="1755"/>
      <c r="U105" s="1755"/>
      <c r="V105" s="1755"/>
      <c r="W105" s="1759"/>
      <c r="X105" s="1759"/>
      <c r="Y105" s="1759"/>
      <c r="Z105" s="1759"/>
    </row>
    <row r="106" spans="1:26" s="1183" customFormat="1" ht="14.25">
      <c r="A106" s="382" t="s">
        <v>1360</v>
      </c>
      <c r="B106" s="363" t="s">
        <v>416</v>
      </c>
      <c r="C106" s="403"/>
      <c r="D106" s="393"/>
      <c r="E106" s="404" t="s">
        <v>417</v>
      </c>
      <c r="F106" s="948"/>
      <c r="G106" s="405" t="s">
        <v>418</v>
      </c>
      <c r="H106" s="406"/>
      <c r="I106" s="9"/>
      <c r="J106" s="1755"/>
      <c r="K106" s="2981" t="s">
        <v>2274</v>
      </c>
      <c r="L106" s="1755"/>
      <c r="M106" s="1755"/>
      <c r="N106" s="1755"/>
      <c r="O106" s="1755"/>
      <c r="P106" s="1755"/>
      <c r="Q106" s="1755"/>
      <c r="R106" s="1755"/>
      <c r="S106" s="1755"/>
      <c r="T106" s="1755"/>
      <c r="U106" s="1755"/>
      <c r="V106" s="1755"/>
      <c r="W106" s="1759"/>
      <c r="X106" s="1759"/>
      <c r="Y106" s="1759"/>
      <c r="Z106" s="1759"/>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5"/>
      <c r="K107" s="1755"/>
      <c r="L107" s="1755"/>
      <c r="M107" s="1755"/>
      <c r="N107" s="1755"/>
      <c r="O107" s="1755"/>
      <c r="P107" s="1755"/>
      <c r="Q107" s="1755"/>
      <c r="R107" s="1755"/>
      <c r="S107" s="1755"/>
      <c r="T107" s="1755"/>
      <c r="U107" s="1755"/>
      <c r="V107" s="1755"/>
      <c r="W107" s="1759"/>
      <c r="X107" s="1759"/>
      <c r="Y107" s="1759"/>
      <c r="Z107" s="1759"/>
    </row>
    <row r="108" spans="1:26" s="1183" customFormat="1" ht="14.25">
      <c r="A108" s="382" t="s">
        <v>1363</v>
      </c>
      <c r="B108" s="363" t="s">
        <v>420</v>
      </c>
      <c r="C108" s="403"/>
      <c r="D108" s="393"/>
      <c r="E108" s="404" t="str">
        <f>IF(H106="-","土地取得成本中已包含该笔费用"," ")</f>
        <v xml:space="preserve"> </v>
      </c>
      <c r="F108" s="948"/>
      <c r="G108" s="3873" t="s">
        <v>2246</v>
      </c>
      <c r="H108" s="3874"/>
      <c r="I108" s="2609"/>
      <c r="J108" s="1755"/>
      <c r="K108" s="2981" t="s">
        <v>2275</v>
      </c>
      <c r="L108" s="1755"/>
      <c r="M108" s="1755"/>
      <c r="N108" s="1755"/>
      <c r="O108" s="1755"/>
      <c r="P108" s="1755"/>
      <c r="Q108" s="1755"/>
      <c r="R108" s="1755"/>
      <c r="S108" s="1755"/>
      <c r="T108" s="1755"/>
      <c r="U108" s="1755"/>
      <c r="V108" s="1755"/>
      <c r="W108" s="1759"/>
      <c r="X108" s="1759"/>
      <c r="Y108" s="1759"/>
      <c r="Z108" s="1759"/>
    </row>
    <row r="109" spans="1:26" s="1183" customFormat="1" ht="24" customHeight="1">
      <c r="A109" s="1425" t="s">
        <v>1367</v>
      </c>
      <c r="B109" s="363" t="s">
        <v>421</v>
      </c>
      <c r="C109" s="392">
        <f>IF(H109="——",IF(F1="现房",'剩余法-现房'!C18,0),I109)</f>
        <v>0</v>
      </c>
      <c r="D109" s="393"/>
      <c r="E109" s="3851" t="s">
        <v>422</v>
      </c>
      <c r="F109" s="3818"/>
      <c r="G109" s="3818"/>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3" customFormat="1" ht="25.5" customHeight="1">
      <c r="A110" s="1425" t="s">
        <v>1368</v>
      </c>
      <c r="B110" s="363" t="s">
        <v>423</v>
      </c>
      <c r="C110" s="392">
        <f>ROUND((C105+C108+C109)*D110,0)</f>
        <v>0</v>
      </c>
      <c r="D110" s="3012">
        <v>0</v>
      </c>
      <c r="E110" s="3851" t="s">
        <v>424</v>
      </c>
      <c r="F110" s="3818"/>
      <c r="G110" s="3818"/>
      <c r="H110" s="3819"/>
      <c r="I110" s="9"/>
      <c r="J110" s="1755"/>
      <c r="K110" s="2982" t="s">
        <v>2276</v>
      </c>
      <c r="L110" s="1755"/>
      <c r="M110" s="1755"/>
      <c r="N110" s="1755"/>
      <c r="O110" s="1755"/>
      <c r="P110" s="1755"/>
      <c r="Q110" s="1755"/>
      <c r="R110" s="1755"/>
      <c r="S110" s="1755"/>
      <c r="T110" s="1755"/>
      <c r="U110" s="1755"/>
      <c r="V110" s="1755"/>
      <c r="W110" s="1759"/>
      <c r="X110" s="1759"/>
      <c r="Y110" s="1759"/>
      <c r="Z110" s="1759"/>
    </row>
    <row r="111" spans="1:26" s="1183" customFormat="1" ht="25.5" customHeight="1">
      <c r="A111" s="1425" t="s">
        <v>1369</v>
      </c>
      <c r="B111" s="363" t="s">
        <v>410</v>
      </c>
      <c r="C111" s="392">
        <f ca="1">ROUND(D63*D111/(1+'数据-取费表'!C42),0)</f>
        <v>103</v>
      </c>
      <c r="D111" s="393">
        <f>'数据-取费表'!B43</f>
        <v>5.000000000000001E-3</v>
      </c>
      <c r="E111" s="3817" t="s">
        <v>1779</v>
      </c>
      <c r="F111" s="3818"/>
      <c r="G111" s="3818"/>
      <c r="H111" s="3819"/>
      <c r="I111" s="9"/>
      <c r="J111" s="1755"/>
      <c r="K111" s="1755"/>
      <c r="L111" s="1755"/>
      <c r="M111" s="1755"/>
      <c r="N111" s="1755"/>
      <c r="O111" s="1755"/>
      <c r="P111" s="1755"/>
      <c r="Q111" s="1755"/>
      <c r="R111" s="1755"/>
      <c r="S111" s="1755"/>
      <c r="T111" s="1755"/>
      <c r="U111" s="1755"/>
      <c r="V111" s="1755"/>
      <c r="W111" s="1759"/>
      <c r="X111" s="1759"/>
      <c r="Y111" s="1759"/>
      <c r="Z111" s="1759"/>
    </row>
    <row r="112" spans="1:26" s="1183" customFormat="1" ht="25.5" customHeight="1">
      <c r="A112" s="1425" t="s">
        <v>1370</v>
      </c>
      <c r="B112" s="363" t="s">
        <v>425</v>
      </c>
      <c r="C112" s="392">
        <f>ROUND(C108*D112,0)</f>
        <v>0</v>
      </c>
      <c r="D112" s="393">
        <v>0.2</v>
      </c>
      <c r="E112" s="3851" t="s">
        <v>1798</v>
      </c>
      <c r="F112" s="3818"/>
      <c r="G112" s="3818"/>
      <c r="H112" s="3819"/>
      <c r="I112" s="9"/>
      <c r="J112" s="1755"/>
      <c r="K112" s="1755"/>
      <c r="L112" s="1755"/>
      <c r="M112" s="1755"/>
      <c r="N112" s="1755"/>
      <c r="O112" s="1755"/>
      <c r="P112" s="1755"/>
      <c r="Q112" s="1755"/>
      <c r="R112" s="1755"/>
      <c r="S112" s="1755"/>
      <c r="T112" s="1755"/>
      <c r="U112" s="1755"/>
      <c r="V112" s="1755"/>
      <c r="W112" s="1759"/>
      <c r="X112" s="1759"/>
      <c r="Y112" s="1759"/>
      <c r="Z112" s="1759"/>
    </row>
    <row r="113" spans="1:26" s="1183" customFormat="1" ht="14.25">
      <c r="A113" s="1423" t="s">
        <v>1364</v>
      </c>
      <c r="B113" s="369" t="s">
        <v>411</v>
      </c>
      <c r="C113" s="372">
        <f ca="1">ROUND(C103-C104,0)</f>
        <v>20527</v>
      </c>
      <c r="D113" s="365" t="s">
        <v>13</v>
      </c>
      <c r="E113" s="953"/>
      <c r="F113" s="952"/>
      <c r="G113" s="952"/>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3" customFormat="1" ht="24">
      <c r="A114" s="1423" t="s">
        <v>1365</v>
      </c>
      <c r="B114" s="369" t="s">
        <v>412</v>
      </c>
      <c r="C114" s="394">
        <f ca="1">IF(C113&lt;=0,0,C113/C104)</f>
        <v>199.29126213592232</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3" customFormat="1" ht="24.75" thickBot="1">
      <c r="A115" s="1424" t="s">
        <v>1366</v>
      </c>
      <c r="B115" s="374" t="s">
        <v>413</v>
      </c>
      <c r="C115" s="395">
        <f ca="1">ROUND(IF(C113&lt;=0,0,IF(C114&gt;=200%,C113*60%-C104*35%,IF(C114&gt;=100%,C113*50%-C104*15%,IF(C114&gt;=50%,C113*40%-C104*5%,IF(C114&lt;50%,C113*30%,0))))),0)</f>
        <v>12280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108">
    <cfRule type="expression" dxfId="190" priority="3" stopIfTrue="1">
      <formula>$H$106&lt;&gt;"仅含出让金"</formula>
    </cfRule>
  </conditionalFormatting>
  <conditionalFormatting sqref="C109">
    <cfRule type="expression" dxfId="189" priority="2" stopIfTrue="1">
      <formula>$H$109="由企业提供"</formula>
    </cfRule>
  </conditionalFormatting>
  <conditionalFormatting sqref="I33">
    <cfRule type="expression" dxfId="18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6" zoomScale="85" zoomScaleNormal="95" zoomScaleSheetLayoutView="85" workbookViewId="0">
      <selection activeCell="D78" sqref="D7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8"/>
      <c r="M1" s="2949"/>
      <c r="N1" s="2949"/>
      <c r="O1" s="2949"/>
      <c r="P1" s="1853"/>
      <c r="Q1" s="1853"/>
      <c r="R1" s="1853"/>
      <c r="S1" s="1853"/>
      <c r="T1" s="1853"/>
      <c r="U1" s="1853"/>
      <c r="V1" s="1853"/>
      <c r="W1" s="1853"/>
      <c r="X1" s="1853"/>
      <c r="Y1" s="1853"/>
      <c r="Z1" s="1853"/>
      <c r="AA1" s="1853"/>
      <c r="AB1" s="1853"/>
      <c r="AC1" s="2950"/>
      <c r="AD1" s="1196"/>
    </row>
    <row r="2" spans="1:30" s="1197" customFormat="1" ht="28.5" customHeight="1">
      <c r="A2" s="410" t="s">
        <v>427</v>
      </c>
      <c r="B2" s="478">
        <f>F67</f>
        <v>35441</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6"/>
    </row>
    <row r="3" spans="1:30" s="1197" customFormat="1" ht="28.5" customHeight="1">
      <c r="A3" s="1237" t="s">
        <v>1217</v>
      </c>
      <c r="B3" s="480">
        <f>ROUND(B2*10000/'数据-汇总表'!E3,0)</f>
        <v>7736</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7" customFormat="1" ht="28.5" customHeight="1">
      <c r="A4" s="481" t="s">
        <v>469</v>
      </c>
      <c r="B4" s="414">
        <f>IF(B48="单位面积地价",C50,ROUND(B2*10000/'数据-汇总表'!D3,0))</f>
        <v>21980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7" customFormat="1" ht="28.5" customHeight="1" thickBot="1">
      <c r="A5" s="416"/>
      <c r="B5" s="417">
        <f>ROUND(B2/('数据-汇总表'!D3/666.67),0)</f>
        <v>1465</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913" t="s">
        <v>471</v>
      </c>
      <c r="D6" s="3914"/>
      <c r="E6" s="3913" t="s">
        <v>472</v>
      </c>
      <c r="F6" s="3914"/>
      <c r="G6" s="3913" t="s">
        <v>473</v>
      </c>
      <c r="H6" s="3914"/>
      <c r="I6" s="3913" t="s">
        <v>474</v>
      </c>
      <c r="J6" s="3914"/>
      <c r="K6" s="484" t="s">
        <v>475</v>
      </c>
      <c r="L6" s="1854"/>
      <c r="M6" s="1853"/>
      <c r="N6" s="1853"/>
      <c r="O6" s="1855"/>
      <c r="P6" s="3915" t="s">
        <v>476</v>
      </c>
      <c r="Q6" s="3916"/>
      <c r="R6" s="3899" t="s">
        <v>472</v>
      </c>
      <c r="S6" s="3900"/>
      <c r="T6" s="3899" t="s">
        <v>473</v>
      </c>
      <c r="U6" s="3900"/>
      <c r="V6" s="3921" t="s">
        <v>474</v>
      </c>
      <c r="W6" s="3921"/>
      <c r="X6" s="1379"/>
      <c r="Y6" s="3899" t="s">
        <v>476</v>
      </c>
      <c r="Z6" s="3900"/>
      <c r="AA6" s="3894" t="s">
        <v>472</v>
      </c>
      <c r="AB6" s="3895" t="s">
        <v>473</v>
      </c>
      <c r="AC6" s="3894" t="s">
        <v>474</v>
      </c>
    </row>
    <row r="7" spans="1:30" ht="45.75" customHeight="1">
      <c r="A7" s="485"/>
      <c r="B7" s="486"/>
      <c r="C7" s="3924" t="str">
        <f>土地案例!A15</f>
        <v>通州区宋庄镇0301-1201地块</v>
      </c>
      <c r="D7" s="3925"/>
      <c r="E7" s="3924" t="str">
        <f>土地案例!A3</f>
        <v>北京城市副中心0403街区FZX-0403-0146、0148地块F3 其他类多功能用地</v>
      </c>
      <c r="F7" s="3925"/>
      <c r="G7" s="3924" t="str">
        <f>土地案例!A4</f>
        <v>北京市通州区永顺镇0401街区 46号地块(西马庄收储) B4综合性商业金融服务业用地</v>
      </c>
      <c r="H7" s="3925"/>
      <c r="I7" s="3924" t="str">
        <f>土地案例!A10</f>
        <v>北京城市副中心FZX-0902-0229、0230地块</v>
      </c>
      <c r="J7" s="3925"/>
      <c r="K7" s="484"/>
      <c r="L7" s="1854"/>
      <c r="M7" s="1853"/>
      <c r="N7" s="1853"/>
      <c r="O7" s="1855"/>
      <c r="P7" s="3917"/>
      <c r="Q7" s="3918"/>
      <c r="R7" s="3901"/>
      <c r="S7" s="3902"/>
      <c r="T7" s="3901"/>
      <c r="U7" s="3902"/>
      <c r="V7" s="3921"/>
      <c r="W7" s="3921"/>
      <c r="X7" s="1379"/>
      <c r="Y7" s="3901"/>
      <c r="Z7" s="3902"/>
      <c r="AA7" s="3895"/>
      <c r="AB7" s="3895"/>
      <c r="AC7" s="3895"/>
    </row>
    <row r="8" spans="1:30" ht="21" thickBot="1">
      <c r="A8" s="485"/>
      <c r="B8" s="486"/>
      <c r="C8" s="3926" t="s">
        <v>2190</v>
      </c>
      <c r="D8" s="3927"/>
      <c r="E8" s="3926" t="s">
        <v>2190</v>
      </c>
      <c r="F8" s="3927"/>
      <c r="G8" s="3922" t="s">
        <v>2190</v>
      </c>
      <c r="H8" s="3923"/>
      <c r="I8" s="3922" t="s">
        <v>2190</v>
      </c>
      <c r="J8" s="3923"/>
      <c r="K8" s="484" t="s">
        <v>477</v>
      </c>
      <c r="L8" s="1854"/>
      <c r="M8" s="1853"/>
      <c r="N8" s="1853"/>
      <c r="O8" s="1855"/>
      <c r="P8" s="3919"/>
      <c r="Q8" s="3920"/>
      <c r="R8" s="3901"/>
      <c r="S8" s="3902"/>
      <c r="T8" s="3903"/>
      <c r="U8" s="3904"/>
      <c r="V8" s="3921"/>
      <c r="W8" s="3921"/>
      <c r="X8" s="1379"/>
      <c r="Y8" s="3903"/>
      <c r="Z8" s="3904"/>
      <c r="AA8" s="3896"/>
      <c r="AB8" s="3896"/>
      <c r="AC8" s="3896"/>
    </row>
    <row r="9" spans="1:30" s="1118" customFormat="1" ht="21" thickBot="1">
      <c r="A9" s="2390"/>
      <c r="B9" s="2397" t="s">
        <v>478</v>
      </c>
      <c r="C9" s="2389">
        <f>'数据-取费表'!B2</f>
        <v>45266</v>
      </c>
      <c r="D9" s="490">
        <v>100</v>
      </c>
      <c r="E9" s="491">
        <f>土地案例!J3</f>
        <v>45114.000497685185</v>
      </c>
      <c r="F9" s="492">
        <f>SUMIF(71:71,YEAR(E9)&amp;"-"&amp;INT((MONTH(E9)+2)/3),72:72)</f>
        <v>99.8</v>
      </c>
      <c r="G9" s="493">
        <f>土地案例!J4</f>
        <v>45030.000497685185</v>
      </c>
      <c r="H9" s="490">
        <f>SUMIF(71:71,YEAR(G9)&amp;"-"&amp;INT((MONTH(G9)+2)/3),72:72)</f>
        <v>99.6</v>
      </c>
      <c r="I9" s="493">
        <f>土地案例!J10</f>
        <v>44335.000497685185</v>
      </c>
      <c r="J9" s="490">
        <f>SUMIF(71:71,YEAR(I9)&amp;"-"&amp;INT((MONTH(I9)+2)/3),72:72)</f>
        <v>97.999999999999972</v>
      </c>
      <c r="K9" s="494"/>
      <c r="L9" s="1856"/>
      <c r="M9" s="1853"/>
      <c r="N9" s="1853"/>
      <c r="O9" s="1857"/>
      <c r="P9" s="3897" t="s">
        <v>479</v>
      </c>
      <c r="Q9" s="3906"/>
      <c r="R9" s="1380" t="s">
        <v>5</v>
      </c>
      <c r="S9" s="1381">
        <f t="shared" ref="S9:S17" si="0">F9</f>
        <v>99.8</v>
      </c>
      <c r="T9" s="1380" t="s">
        <v>5</v>
      </c>
      <c r="U9" s="1381">
        <f t="shared" ref="U9:U17" si="1">H9</f>
        <v>99.6</v>
      </c>
      <c r="V9" s="1380" t="s">
        <v>5</v>
      </c>
      <c r="W9" s="1381">
        <f t="shared" ref="W9:W17" si="2">J9</f>
        <v>97.999999999999972</v>
      </c>
      <c r="X9" s="1382"/>
      <c r="Y9" s="3897" t="s">
        <v>479</v>
      </c>
      <c r="Z9" s="3898"/>
      <c r="AA9" s="1383">
        <f>D9/F9</f>
        <v>1.0020040080160322</v>
      </c>
      <c r="AB9" s="1383">
        <f>D9/H9</f>
        <v>1.0040160642570282</v>
      </c>
      <c r="AC9" s="1383">
        <f>D9/J9</f>
        <v>1.0204081632653064</v>
      </c>
    </row>
    <row r="10" spans="1:30" s="1118" customFormat="1" ht="21" thickBot="1">
      <c r="A10" s="2391"/>
      <c r="B10" s="2398" t="s">
        <v>480</v>
      </c>
      <c r="C10" s="821" t="s">
        <v>481</v>
      </c>
      <c r="D10" s="490">
        <v>100</v>
      </c>
      <c r="E10" s="495" t="s">
        <v>3313</v>
      </c>
      <c r="F10" s="492">
        <f>SUMIF(74:74,E10,75:75)-SUMIF(74:74,C10,75:75)+100</f>
        <v>100</v>
      </c>
      <c r="G10" s="495" t="s">
        <v>3313</v>
      </c>
      <c r="H10" s="490">
        <f>SUMIF(74:74,G10,75:75)-SUMIF(74:74,C10,75:75)+100</f>
        <v>100</v>
      </c>
      <c r="I10" s="495" t="s">
        <v>3313</v>
      </c>
      <c r="J10" s="490">
        <f>SUMIF(74:74,I10,75:75)-SUMIF(74:74,C10,75:75)+100</f>
        <v>100</v>
      </c>
      <c r="K10" s="494"/>
      <c r="L10" s="1856"/>
      <c r="M10" s="1853"/>
      <c r="N10" s="1853"/>
      <c r="O10" s="1857"/>
      <c r="P10" s="3897" t="s">
        <v>482</v>
      </c>
      <c r="Q10" s="3898"/>
      <c r="R10" s="1380" t="s">
        <v>5</v>
      </c>
      <c r="S10" s="1381">
        <f t="shared" si="0"/>
        <v>100</v>
      </c>
      <c r="T10" s="1380" t="s">
        <v>5</v>
      </c>
      <c r="U10" s="1381">
        <f t="shared" si="1"/>
        <v>100</v>
      </c>
      <c r="V10" s="1380" t="s">
        <v>5</v>
      </c>
      <c r="W10" s="1381">
        <f t="shared" si="2"/>
        <v>100</v>
      </c>
      <c r="X10" s="1382"/>
      <c r="Y10" s="3897" t="s">
        <v>482</v>
      </c>
      <c r="Z10" s="3898"/>
      <c r="AA10" s="1383">
        <f t="shared" ref="AA10:AA47" si="3">D10/F10</f>
        <v>1</v>
      </c>
      <c r="AB10" s="1383">
        <f t="shared" ref="AB10:AB47" si="4">D10/H10</f>
        <v>1</v>
      </c>
      <c r="AC10" s="1383">
        <f t="shared" ref="AC10:AC47" si="5">D10/J10</f>
        <v>1</v>
      </c>
    </row>
    <row r="11" spans="1:30" s="1118" customFormat="1" ht="28.5">
      <c r="A11" s="2392"/>
      <c r="B11" s="2399" t="s">
        <v>2037</v>
      </c>
      <c r="C11" s="2386" t="s">
        <v>3407</v>
      </c>
      <c r="D11" s="245">
        <v>100</v>
      </c>
      <c r="E11" s="496" t="s">
        <v>3407</v>
      </c>
      <c r="F11" s="245">
        <f>SUMIF(76:76,E11,77:77)-SUMIF(76:76,C11,77:77)+100</f>
        <v>100</v>
      </c>
      <c r="G11" s="496" t="s">
        <v>3350</v>
      </c>
      <c r="H11" s="245">
        <f>SUMIF(76:76,G11,77:77)-SUMIF(76:76,C11,77:77)+100</f>
        <v>105</v>
      </c>
      <c r="I11" s="496" t="s">
        <v>3382</v>
      </c>
      <c r="J11" s="245">
        <f>SUMIF(76:76,I11,77:77)-SUMIF(76:76,C11,77:77)+100</f>
        <v>105</v>
      </c>
      <c r="K11" s="494"/>
      <c r="L11" s="1856"/>
      <c r="M11" s="1853"/>
      <c r="N11" s="1853"/>
      <c r="O11" s="1858"/>
      <c r="P11" s="3905" t="s">
        <v>484</v>
      </c>
      <c r="Q11" s="1050" t="str">
        <f t="shared" ref="Q11:Q17" si="6">B11</f>
        <v>用途</v>
      </c>
      <c r="R11" s="1380" t="s">
        <v>5</v>
      </c>
      <c r="S11" s="1381">
        <f t="shared" si="0"/>
        <v>100</v>
      </c>
      <c r="T11" s="1380" t="s">
        <v>5</v>
      </c>
      <c r="U11" s="1381">
        <f t="shared" si="1"/>
        <v>105</v>
      </c>
      <c r="V11" s="1380" t="s">
        <v>5</v>
      </c>
      <c r="W11" s="1381">
        <f t="shared" si="2"/>
        <v>105</v>
      </c>
      <c r="X11" s="1382"/>
      <c r="Y11" s="3857" t="s">
        <v>485</v>
      </c>
      <c r="Z11" s="1049" t="str">
        <f t="shared" ref="Z11:Z17" si="7">Q11</f>
        <v>用途</v>
      </c>
      <c r="AA11" s="1383">
        <f t="shared" si="3"/>
        <v>1</v>
      </c>
      <c r="AB11" s="1383">
        <f t="shared" si="4"/>
        <v>0.95238095238095233</v>
      </c>
      <c r="AC11" s="1383">
        <f t="shared" si="5"/>
        <v>0.95238095238095233</v>
      </c>
    </row>
    <row r="12" spans="1:30" s="1199" customFormat="1" ht="27">
      <c r="A12" s="2393"/>
      <c r="B12" s="2398" t="s">
        <v>2038</v>
      </c>
      <c r="C12" s="873"/>
      <c r="D12" s="246">
        <v>100</v>
      </c>
      <c r="E12" s="499"/>
      <c r="F12" s="246">
        <f>ROUND(100/'数据-取费表'!G16,0)</f>
        <v>100</v>
      </c>
      <c r="G12" s="500"/>
      <c r="H12" s="246">
        <f>ROUND(100/'数据-取费表'!G16,0)</f>
        <v>100</v>
      </c>
      <c r="I12" s="500"/>
      <c r="J12" s="246">
        <f>ROUND(100/'数据-取费表'!G16,0)</f>
        <v>100</v>
      </c>
      <c r="K12" s="501"/>
      <c r="L12" s="1859"/>
      <c r="M12" s="1853"/>
      <c r="N12" s="1853"/>
      <c r="O12" s="1860"/>
      <c r="P12" s="3905"/>
      <c r="Q12" s="1050" t="str">
        <f t="shared" si="6"/>
        <v>土地使用年限（年）</v>
      </c>
      <c r="R12" s="1380" t="s">
        <v>5</v>
      </c>
      <c r="S12" s="1381">
        <f t="shared" si="0"/>
        <v>100</v>
      </c>
      <c r="T12" s="1380" t="s">
        <v>5</v>
      </c>
      <c r="U12" s="1381">
        <f t="shared" si="1"/>
        <v>100</v>
      </c>
      <c r="V12" s="1380" t="s">
        <v>5</v>
      </c>
      <c r="W12" s="1381">
        <f t="shared" si="2"/>
        <v>100</v>
      </c>
      <c r="X12" s="1382"/>
      <c r="Y12" s="3857"/>
      <c r="Z12" s="1049" t="str">
        <f t="shared" si="7"/>
        <v>土地使用年限（年）</v>
      </c>
      <c r="AA12" s="1383">
        <f t="shared" si="3"/>
        <v>1</v>
      </c>
      <c r="AB12" s="1383">
        <f t="shared" si="4"/>
        <v>1</v>
      </c>
      <c r="AC12" s="1383">
        <f t="shared" si="5"/>
        <v>1</v>
      </c>
    </row>
    <row r="13" spans="1:30" ht="20.25">
      <c r="A13" s="2394"/>
      <c r="B13" s="2398" t="s">
        <v>2039</v>
      </c>
      <c r="C13" s="504">
        <f>'数据-汇总表'!I6</f>
        <v>2.15</v>
      </c>
      <c r="D13" s="246">
        <v>100</v>
      </c>
      <c r="E13" s="503">
        <f>土地案例!H3</f>
        <v>3.82</v>
      </c>
      <c r="F13" s="246">
        <f>LOOKUP(E13,81:81,82:82)-LOOKUP(C13,81:81,82:82)+100</f>
        <v>98</v>
      </c>
      <c r="G13" s="504">
        <f>土地案例!H4</f>
        <v>2.8</v>
      </c>
      <c r="H13" s="246">
        <f>LOOKUP(G13,81:81,82:82)-LOOKUP(C13,81:81,82:82)+100</f>
        <v>100</v>
      </c>
      <c r="I13" s="503">
        <f>土地案例!H10</f>
        <v>3.1</v>
      </c>
      <c r="J13" s="246">
        <f>LOOKUP(I13,81:81,82:82)-LOOKUP(C13,81:81,82:82)+100</f>
        <v>98</v>
      </c>
      <c r="K13" s="505">
        <v>2</v>
      </c>
      <c r="L13" s="1861"/>
      <c r="M13" s="1853"/>
      <c r="N13" s="1853"/>
      <c r="O13" s="1862"/>
      <c r="P13" s="3905"/>
      <c r="Q13" s="1050" t="str">
        <f t="shared" si="6"/>
        <v>容积率</v>
      </c>
      <c r="R13" s="1380" t="s">
        <v>5</v>
      </c>
      <c r="S13" s="1381">
        <f t="shared" si="0"/>
        <v>98</v>
      </c>
      <c r="T13" s="1380" t="s">
        <v>5</v>
      </c>
      <c r="U13" s="1381">
        <f t="shared" si="1"/>
        <v>100</v>
      </c>
      <c r="V13" s="1380" t="s">
        <v>5</v>
      </c>
      <c r="W13" s="1381">
        <f t="shared" si="2"/>
        <v>98</v>
      </c>
      <c r="X13" s="1382"/>
      <c r="Y13" s="3857"/>
      <c r="Z13" s="1049" t="str">
        <f t="shared" si="7"/>
        <v>容积率</v>
      </c>
      <c r="AA13" s="1383">
        <f t="shared" si="3"/>
        <v>1.0204081632653061</v>
      </c>
      <c r="AB13" s="1383">
        <f t="shared" si="4"/>
        <v>1</v>
      </c>
      <c r="AC13" s="1383">
        <f t="shared" si="5"/>
        <v>1.0204081632653061</v>
      </c>
    </row>
    <row r="14" spans="1:30" s="1118" customFormat="1" ht="20.25">
      <c r="A14" s="2391"/>
      <c r="B14" s="2400" t="s">
        <v>2040</v>
      </c>
      <c r="C14" s="2387"/>
      <c r="D14" s="508">
        <v>100</v>
      </c>
      <c r="E14" s="1232"/>
      <c r="F14" s="246">
        <f>SUMIF(83:83,E14,84:84)-SUMIF(83:83,C14,84:84)+100</f>
        <v>100</v>
      </c>
      <c r="G14" s="500"/>
      <c r="H14" s="246">
        <f>SUMIF(83:83,G14,84:84)-SUMIF(83:83,C14,84:84)+100</f>
        <v>100</v>
      </c>
      <c r="I14" s="499"/>
      <c r="J14" s="246">
        <f>SUMIF(83:83,I14,84:84)-SUMIF(83:83,C14,84:84)+100</f>
        <v>100</v>
      </c>
      <c r="K14" s="501"/>
      <c r="L14" s="1856"/>
      <c r="M14" s="1853"/>
      <c r="N14" s="1853"/>
      <c r="O14" s="1858"/>
      <c r="P14" s="3905"/>
      <c r="Q14" s="1050" t="str">
        <f t="shared" si="6"/>
        <v>配建</v>
      </c>
      <c r="R14" s="1380" t="s">
        <v>5</v>
      </c>
      <c r="S14" s="1381">
        <f t="shared" si="0"/>
        <v>100</v>
      </c>
      <c r="T14" s="1380" t="s">
        <v>5</v>
      </c>
      <c r="U14" s="1381">
        <f t="shared" si="1"/>
        <v>100</v>
      </c>
      <c r="V14" s="1380" t="s">
        <v>5</v>
      </c>
      <c r="W14" s="1381">
        <f t="shared" si="2"/>
        <v>100</v>
      </c>
      <c r="X14" s="1382"/>
      <c r="Y14" s="3857"/>
      <c r="Z14" s="1049" t="str">
        <f t="shared" si="7"/>
        <v>配建</v>
      </c>
      <c r="AA14" s="1383">
        <f>D14/F14</f>
        <v>1</v>
      </c>
      <c r="AB14" s="1383">
        <f>D14/H14</f>
        <v>1</v>
      </c>
      <c r="AC14" s="1383">
        <f>D14/J14</f>
        <v>1</v>
      </c>
    </row>
    <row r="15" spans="1:30" ht="20.25">
      <c r="A15" s="2395"/>
      <c r="B15" s="2401">
        <v>111</v>
      </c>
      <c r="C15" s="875"/>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05"/>
      <c r="Q15" s="1050">
        <f t="shared" si="6"/>
        <v>111</v>
      </c>
      <c r="R15" s="1380" t="s">
        <v>5</v>
      </c>
      <c r="S15" s="1381">
        <f t="shared" si="0"/>
        <v>100</v>
      </c>
      <c r="T15" s="1380" t="s">
        <v>5</v>
      </c>
      <c r="U15" s="1381">
        <f t="shared" si="1"/>
        <v>100</v>
      </c>
      <c r="V15" s="1380" t="s">
        <v>5</v>
      </c>
      <c r="W15" s="1381">
        <f t="shared" si="2"/>
        <v>100</v>
      </c>
      <c r="X15" s="1382"/>
      <c r="Y15" s="3857"/>
      <c r="Z15" s="1049">
        <f t="shared" si="7"/>
        <v>111</v>
      </c>
      <c r="AA15" s="1383">
        <f>D15/F15</f>
        <v>1</v>
      </c>
      <c r="AB15" s="1383">
        <f>D15/H15</f>
        <v>1</v>
      </c>
      <c r="AC15" s="1383">
        <f>D15/J15</f>
        <v>1</v>
      </c>
    </row>
    <row r="16" spans="1:30" ht="21" thickBot="1">
      <c r="A16" s="2396"/>
      <c r="B16" s="2402">
        <v>111</v>
      </c>
      <c r="C16" s="878"/>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05"/>
      <c r="Q16" s="1050">
        <f t="shared" si="6"/>
        <v>111</v>
      </c>
      <c r="R16" s="1380" t="s">
        <v>5</v>
      </c>
      <c r="S16" s="1381">
        <f t="shared" si="0"/>
        <v>100</v>
      </c>
      <c r="T16" s="1380" t="s">
        <v>5</v>
      </c>
      <c r="U16" s="1381">
        <f t="shared" si="1"/>
        <v>100</v>
      </c>
      <c r="V16" s="1380" t="s">
        <v>5</v>
      </c>
      <c r="W16" s="1381">
        <f t="shared" si="2"/>
        <v>100</v>
      </c>
      <c r="X16" s="1382"/>
      <c r="Y16" s="3857"/>
      <c r="Z16" s="1049">
        <f t="shared" si="7"/>
        <v>111</v>
      </c>
      <c r="AA16" s="1383">
        <f>D16/F16</f>
        <v>1</v>
      </c>
      <c r="AB16" s="1383">
        <f>D16/H16</f>
        <v>1</v>
      </c>
      <c r="AC16" s="1383">
        <f>D16/J16</f>
        <v>1</v>
      </c>
    </row>
    <row r="17" spans="1:29" ht="20.25" hidden="1">
      <c r="A17" s="2388" t="s">
        <v>2035</v>
      </c>
      <c r="B17" s="548" t="s">
        <v>261</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07" t="s">
        <v>489</v>
      </c>
      <c r="Q17" s="1384" t="str">
        <f t="shared" si="6"/>
        <v>居住社区成熟度</v>
      </c>
      <c r="R17" s="1385" t="s">
        <v>5</v>
      </c>
      <c r="S17" s="1386">
        <f t="shared" si="0"/>
        <v>100</v>
      </c>
      <c r="T17" s="1385" t="s">
        <v>5</v>
      </c>
      <c r="U17" s="1386">
        <f t="shared" si="1"/>
        <v>100</v>
      </c>
      <c r="V17" s="1385" t="s">
        <v>5</v>
      </c>
      <c r="W17" s="1386">
        <f t="shared" si="2"/>
        <v>100</v>
      </c>
      <c r="X17" s="1379"/>
      <c r="Y17" s="3907"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3"/>
      <c r="M18" s="1853"/>
      <c r="N18" s="1853"/>
      <c r="O18" s="1862"/>
      <c r="P18" s="3908"/>
      <c r="Q18" s="1384"/>
      <c r="R18" s="1385"/>
      <c r="S18" s="1386"/>
      <c r="T18" s="1385"/>
      <c r="U18" s="1386"/>
      <c r="V18" s="1385"/>
      <c r="W18" s="1386"/>
      <c r="X18" s="1379"/>
      <c r="Y18" s="3908"/>
      <c r="Z18" s="1387"/>
      <c r="AA18" s="1388">
        <v>1</v>
      </c>
      <c r="AB18" s="1388">
        <v>1</v>
      </c>
      <c r="AC18" s="1388">
        <v>1</v>
      </c>
    </row>
    <row r="19" spans="1:29" ht="17.25" customHeight="1">
      <c r="A19" s="502"/>
      <c r="B19" s="530" t="s">
        <v>490</v>
      </c>
      <c r="C19" s="531" t="str">
        <f>估价对象房地状况!C16</f>
        <v>一般</v>
      </c>
      <c r="D19" s="533">
        <v>100</v>
      </c>
      <c r="E19" s="534"/>
      <c r="F19" s="529">
        <f>SUMIF(91:91,E20,92:92)-SUMIF(91:91,C20,92:92)+100</f>
        <v>103</v>
      </c>
      <c r="G19" s="532"/>
      <c r="H19" s="535">
        <f>SUMIF(91:91,G20,92:92)-SUMIF(91:91,C20,92:92)+100</f>
        <v>100</v>
      </c>
      <c r="I19" s="534"/>
      <c r="J19" s="535">
        <f>SUMIF(91:91,I20,92:92)-SUMIF(91:91,C20,92:92)+100</f>
        <v>100</v>
      </c>
      <c r="K19" s="505">
        <v>3</v>
      </c>
      <c r="L19" s="1863"/>
      <c r="M19" s="1853"/>
      <c r="N19" s="1853"/>
      <c r="O19" s="1862"/>
      <c r="P19" s="3908"/>
      <c r="Q19" s="1384" t="str">
        <f>B19</f>
        <v>商业繁华度</v>
      </c>
      <c r="R19" s="1385" t="s">
        <v>5</v>
      </c>
      <c r="S19" s="1386">
        <f>F19</f>
        <v>103</v>
      </c>
      <c r="T19" s="1385" t="s">
        <v>5</v>
      </c>
      <c r="U19" s="1386">
        <f>H19</f>
        <v>100</v>
      </c>
      <c r="V19" s="1385" t="s">
        <v>5</v>
      </c>
      <c r="W19" s="1386">
        <f>J19</f>
        <v>100</v>
      </c>
      <c r="X19" s="1379"/>
      <c r="Y19" s="3908"/>
      <c r="Z19" s="1387" t="str">
        <f>Q19</f>
        <v>商业繁华度</v>
      </c>
      <c r="AA19" s="1388">
        <f t="shared" si="3"/>
        <v>0.970873786407767</v>
      </c>
      <c r="AB19" s="1388">
        <f t="shared" si="4"/>
        <v>1</v>
      </c>
      <c r="AC19" s="1388">
        <f t="shared" si="5"/>
        <v>1</v>
      </c>
    </row>
    <row r="20" spans="1:29" ht="17.25" customHeight="1">
      <c r="A20" s="502"/>
      <c r="B20" s="536"/>
      <c r="C20" s="537" t="s">
        <v>3268</v>
      </c>
      <c r="D20" s="533"/>
      <c r="E20" s="539" t="s">
        <v>3269</v>
      </c>
      <c r="F20" s="529"/>
      <c r="G20" s="538" t="s">
        <v>3268</v>
      </c>
      <c r="H20" s="525"/>
      <c r="I20" s="539" t="s">
        <v>3268</v>
      </c>
      <c r="J20" s="525"/>
      <c r="K20" s="501"/>
      <c r="L20" s="1863"/>
      <c r="M20" s="1853"/>
      <c r="N20" s="1853"/>
      <c r="O20" s="1862"/>
      <c r="P20" s="3908"/>
      <c r="Q20" s="1384"/>
      <c r="R20" s="1385"/>
      <c r="S20" s="1386"/>
      <c r="T20" s="1385"/>
      <c r="U20" s="1386"/>
      <c r="V20" s="1385"/>
      <c r="W20" s="1386"/>
      <c r="X20" s="1379"/>
      <c r="Y20" s="3908"/>
      <c r="Z20" s="1387"/>
      <c r="AA20" s="1388">
        <v>1</v>
      </c>
      <c r="AB20" s="1388">
        <v>1</v>
      </c>
      <c r="AC20" s="1388">
        <v>1</v>
      </c>
    </row>
    <row r="21" spans="1:29" ht="17.25" customHeight="1">
      <c r="A21" s="502"/>
      <c r="B21" s="530" t="s">
        <v>491</v>
      </c>
      <c r="C21" s="531" t="str">
        <f>估价对象房地状况!C17</f>
        <v>一般</v>
      </c>
      <c r="D21" s="541">
        <v>100</v>
      </c>
      <c r="E21" s="542"/>
      <c r="F21" s="535">
        <f>SUMIF(93:93,E22,94:94)-SUMIF(93:93,C22,94:94)+100</f>
        <v>103</v>
      </c>
      <c r="G21" s="540"/>
      <c r="H21" s="529">
        <f>SUMIF(93:93,G22,94:94)-SUMIF(93:93,C22,94:94)+100</f>
        <v>100</v>
      </c>
      <c r="I21" s="542"/>
      <c r="J21" s="529">
        <f>SUMIF(93:93,I22,94:94)-SUMIF(93:93,C22,94:94)+100</f>
        <v>103</v>
      </c>
      <c r="K21" s="505">
        <v>3</v>
      </c>
      <c r="L21" s="1863"/>
      <c r="M21" s="1853"/>
      <c r="N21" s="1853"/>
      <c r="O21" s="1862"/>
      <c r="P21" s="3908"/>
      <c r="Q21" s="1384" t="str">
        <f>B21</f>
        <v>办公集聚程度</v>
      </c>
      <c r="R21" s="1385" t="s">
        <v>5</v>
      </c>
      <c r="S21" s="1386">
        <f>F21</f>
        <v>103</v>
      </c>
      <c r="T21" s="1385" t="s">
        <v>5</v>
      </c>
      <c r="U21" s="1386">
        <f>H21</f>
        <v>100</v>
      </c>
      <c r="V21" s="1385" t="s">
        <v>5</v>
      </c>
      <c r="W21" s="1386">
        <f>J21</f>
        <v>103</v>
      </c>
      <c r="X21" s="1379"/>
      <c r="Y21" s="3908"/>
      <c r="Z21" s="1387" t="str">
        <f>Q21</f>
        <v>办公集聚程度</v>
      </c>
      <c r="AA21" s="1388">
        <f t="shared" si="3"/>
        <v>0.970873786407767</v>
      </c>
      <c r="AB21" s="1388">
        <f t="shared" si="4"/>
        <v>1</v>
      </c>
      <c r="AC21" s="1388">
        <f t="shared" si="5"/>
        <v>0.970873786407767</v>
      </c>
    </row>
    <row r="22" spans="1:29" ht="20.25">
      <c r="A22" s="502"/>
      <c r="B22" s="536"/>
      <c r="C22" s="524" t="s">
        <v>3268</v>
      </c>
      <c r="D22" s="527"/>
      <c r="E22" s="528" t="s">
        <v>3269</v>
      </c>
      <c r="F22" s="525"/>
      <c r="G22" s="538" t="s">
        <v>3268</v>
      </c>
      <c r="H22" s="525"/>
      <c r="I22" s="528" t="s">
        <v>3269</v>
      </c>
      <c r="J22" s="525"/>
      <c r="K22" s="501"/>
      <c r="L22" s="1863"/>
      <c r="M22" s="1853"/>
      <c r="N22" s="1853"/>
      <c r="O22" s="1862"/>
      <c r="P22" s="3908"/>
      <c r="Q22" s="1384"/>
      <c r="R22" s="1385"/>
      <c r="S22" s="1386"/>
      <c r="T22" s="1385"/>
      <c r="U22" s="1386"/>
      <c r="V22" s="1385"/>
      <c r="W22" s="1386"/>
      <c r="X22" s="1379"/>
      <c r="Y22" s="3908"/>
      <c r="Z22" s="1387"/>
      <c r="AA22" s="1388">
        <v>1</v>
      </c>
      <c r="AB22" s="1388">
        <v>1</v>
      </c>
      <c r="AC22" s="1388">
        <v>1</v>
      </c>
    </row>
    <row r="23" spans="1:29" ht="17.25" customHeight="1">
      <c r="A23" s="502"/>
      <c r="B23" s="530" t="s">
        <v>492</v>
      </c>
      <c r="C23" s="543" t="str">
        <f>估价对象房地状况!C18</f>
        <v>一般</v>
      </c>
      <c r="D23" s="533">
        <v>100</v>
      </c>
      <c r="E23" s="534"/>
      <c r="F23" s="535">
        <f>SUMIF(95:95,E24,96:96)-SUMIF(95:95,C24,96:96)+100</f>
        <v>104</v>
      </c>
      <c r="G23" s="532"/>
      <c r="H23" s="529">
        <f>SUMIF(95:95,G24,96:96)-SUMIF(95:95,C24,96:96)+100</f>
        <v>102</v>
      </c>
      <c r="I23" s="534"/>
      <c r="J23" s="529">
        <f>SUMIF(95:95,I24,96:96)-SUMIF(95:95,C24,96:96)+100</f>
        <v>102</v>
      </c>
      <c r="K23" s="505">
        <v>2</v>
      </c>
      <c r="L23" s="1863"/>
      <c r="M23" s="1853"/>
      <c r="N23" s="1853"/>
      <c r="O23" s="1862"/>
      <c r="P23" s="3908"/>
      <c r="Q23" s="1384" t="str">
        <f>B23</f>
        <v>交通便捷度</v>
      </c>
      <c r="R23" s="1385" t="s">
        <v>5</v>
      </c>
      <c r="S23" s="1386">
        <f>F23</f>
        <v>104</v>
      </c>
      <c r="T23" s="1385" t="s">
        <v>5</v>
      </c>
      <c r="U23" s="1386">
        <f>H23</f>
        <v>102</v>
      </c>
      <c r="V23" s="1385" t="s">
        <v>5</v>
      </c>
      <c r="W23" s="1386">
        <f>J23</f>
        <v>102</v>
      </c>
      <c r="X23" s="1379"/>
      <c r="Y23" s="3908"/>
      <c r="Z23" s="1387" t="str">
        <f>Q23</f>
        <v>交通便捷度</v>
      </c>
      <c r="AA23" s="1388">
        <f t="shared" si="3"/>
        <v>0.96153846153846156</v>
      </c>
      <c r="AB23" s="1388">
        <f t="shared" si="4"/>
        <v>0.98039215686274506</v>
      </c>
      <c r="AC23" s="1388">
        <f t="shared" si="5"/>
        <v>0.98039215686274506</v>
      </c>
    </row>
    <row r="24" spans="1:29" ht="20.25">
      <c r="A24" s="502"/>
      <c r="B24" s="548"/>
      <c r="C24" s="524" t="s">
        <v>3268</v>
      </c>
      <c r="D24" s="527"/>
      <c r="E24" s="528" t="s">
        <v>3270</v>
      </c>
      <c r="F24" s="525"/>
      <c r="G24" s="526" t="s">
        <v>3269</v>
      </c>
      <c r="H24" s="525"/>
      <c r="I24" s="528" t="s">
        <v>3269</v>
      </c>
      <c r="J24" s="525"/>
      <c r="K24" s="501"/>
      <c r="L24" s="1863"/>
      <c r="M24" s="1853"/>
      <c r="N24" s="1853"/>
      <c r="O24" s="1862"/>
      <c r="P24" s="3908"/>
      <c r="Q24" s="1384"/>
      <c r="R24" s="1385"/>
      <c r="S24" s="1386"/>
      <c r="T24" s="1385"/>
      <c r="U24" s="1386"/>
      <c r="V24" s="1385"/>
      <c r="W24" s="1386"/>
      <c r="X24" s="1379"/>
      <c r="Y24" s="3908"/>
      <c r="Z24" s="1387"/>
      <c r="AA24" s="1388">
        <v>1</v>
      </c>
      <c r="AB24" s="1388">
        <v>1</v>
      </c>
      <c r="AC24" s="1388">
        <v>1</v>
      </c>
    </row>
    <row r="25" spans="1:29" ht="20.25">
      <c r="A25" s="485"/>
      <c r="B25" s="250" t="s">
        <v>493</v>
      </c>
      <c r="C25" s="543">
        <f>估价对象房地状况!C19</f>
        <v>0</v>
      </c>
      <c r="D25" s="533">
        <v>100</v>
      </c>
      <c r="E25" s="534"/>
      <c r="F25" s="535">
        <f>SUMIF(97:97,E26,98:98)-SUMIF(97:97,C26,98:98)+100</f>
        <v>102</v>
      </c>
      <c r="G25" s="532"/>
      <c r="H25" s="529">
        <f>SUMIF(97:97,G26,98:98)-SUMIF(97:97,C26,98:98)+100</f>
        <v>102</v>
      </c>
      <c r="I25" s="534"/>
      <c r="J25" s="529">
        <f>SUMIF(97:97,I26,98:98)-SUMIF(97:97,C26,98:98)+100</f>
        <v>102</v>
      </c>
      <c r="K25" s="505">
        <v>2</v>
      </c>
      <c r="L25" s="1863"/>
      <c r="M25" s="1853"/>
      <c r="N25" s="1853"/>
      <c r="O25" s="1862"/>
      <c r="P25" s="3908"/>
      <c r="Q25" s="1384" t="str">
        <f t="shared" ref="Q25:Q39" si="8">B25</f>
        <v>区域土地利用方向</v>
      </c>
      <c r="R25" s="1385" t="s">
        <v>5</v>
      </c>
      <c r="S25" s="1386">
        <f>F25</f>
        <v>102</v>
      </c>
      <c r="T25" s="1385" t="s">
        <v>5</v>
      </c>
      <c r="U25" s="1386">
        <f>H25</f>
        <v>102</v>
      </c>
      <c r="V25" s="1385" t="s">
        <v>5</v>
      </c>
      <c r="W25" s="1386">
        <f>J25</f>
        <v>102</v>
      </c>
      <c r="X25" s="1379"/>
      <c r="Y25" s="3908"/>
      <c r="Z25" s="1387" t="str">
        <f>Q25</f>
        <v>区域土地利用方向</v>
      </c>
      <c r="AA25" s="1388">
        <f t="shared" si="3"/>
        <v>0.98039215686274506</v>
      </c>
      <c r="AB25" s="1388">
        <f t="shared" si="4"/>
        <v>0.98039215686274506</v>
      </c>
      <c r="AC25" s="1388">
        <f t="shared" si="5"/>
        <v>0.98039215686274506</v>
      </c>
    </row>
    <row r="26" spans="1:29" ht="20.25">
      <c r="A26" s="485"/>
      <c r="B26" s="968"/>
      <c r="C26" s="524" t="s">
        <v>3268</v>
      </c>
      <c r="D26" s="527"/>
      <c r="E26" s="528" t="s">
        <v>3269</v>
      </c>
      <c r="F26" s="525"/>
      <c r="G26" s="526" t="s">
        <v>3269</v>
      </c>
      <c r="H26" s="525"/>
      <c r="I26" s="528" t="s">
        <v>3269</v>
      </c>
      <c r="J26" s="525"/>
      <c r="K26" s="501"/>
      <c r="L26" s="1863"/>
      <c r="M26" s="1853"/>
      <c r="N26" s="1853"/>
      <c r="O26" s="1862"/>
      <c r="P26" s="3908"/>
      <c r="Q26" s="1384"/>
      <c r="R26" s="1385"/>
      <c r="S26" s="1386"/>
      <c r="T26" s="1385"/>
      <c r="U26" s="1386"/>
      <c r="V26" s="1385"/>
      <c r="W26" s="1386"/>
      <c r="X26" s="1379"/>
      <c r="Y26" s="3908"/>
      <c r="Z26" s="1387"/>
      <c r="AA26" s="1388"/>
      <c r="AB26" s="1388"/>
      <c r="AC26" s="1388"/>
    </row>
    <row r="27" spans="1:29" ht="18.75" customHeight="1">
      <c r="A27" s="485"/>
      <c r="B27" s="548" t="s">
        <v>494</v>
      </c>
      <c r="C27" s="531" t="str">
        <f>估价对象房地状况!C20</f>
        <v>一般</v>
      </c>
      <c r="D27" s="533">
        <v>100</v>
      </c>
      <c r="E27" s="534"/>
      <c r="F27" s="529">
        <f>SUMIF(99:99,E28,100:100)-SUMIF(99:99,C28,100:100)+100</f>
        <v>102</v>
      </c>
      <c r="G27" s="532"/>
      <c r="H27" s="529">
        <f>SUMIF(99:99,G28,100:100)-SUMIF(99:99,C28,100:100)+100</f>
        <v>102</v>
      </c>
      <c r="I27" s="534"/>
      <c r="J27" s="529">
        <f>SUMIF(99:99,I28,100:100)-SUMIF(99:99,C28,100:100)+100</f>
        <v>102</v>
      </c>
      <c r="K27" s="505">
        <v>2</v>
      </c>
      <c r="L27" s="1863"/>
      <c r="M27" s="1853"/>
      <c r="N27" s="1853"/>
      <c r="O27" s="1862"/>
      <c r="P27" s="3908"/>
      <c r="Q27" s="1384" t="str">
        <f t="shared" si="8"/>
        <v>自然及人文环境状况</v>
      </c>
      <c r="R27" s="1385" t="s">
        <v>5</v>
      </c>
      <c r="S27" s="1386">
        <f>F27</f>
        <v>102</v>
      </c>
      <c r="T27" s="1385" t="s">
        <v>5</v>
      </c>
      <c r="U27" s="1386">
        <f>H27</f>
        <v>102</v>
      </c>
      <c r="V27" s="1385" t="s">
        <v>5</v>
      </c>
      <c r="W27" s="1386">
        <f>J27</f>
        <v>102</v>
      </c>
      <c r="X27" s="1379"/>
      <c r="Y27" s="3908"/>
      <c r="Z27" s="1387" t="str">
        <f>Q27</f>
        <v>自然及人文环境状况</v>
      </c>
      <c r="AA27" s="1388">
        <f t="shared" si="3"/>
        <v>0.98039215686274506</v>
      </c>
      <c r="AB27" s="1388">
        <f t="shared" si="4"/>
        <v>0.98039215686274506</v>
      </c>
      <c r="AC27" s="1388">
        <f t="shared" si="5"/>
        <v>0.98039215686274506</v>
      </c>
    </row>
    <row r="28" spans="1:29" ht="20.25">
      <c r="A28" s="485"/>
      <c r="B28" s="536"/>
      <c r="C28" s="524" t="s">
        <v>3268</v>
      </c>
      <c r="D28" s="527"/>
      <c r="E28" s="546" t="s">
        <v>3269</v>
      </c>
      <c r="F28" s="525"/>
      <c r="G28" s="524" t="s">
        <v>3269</v>
      </c>
      <c r="H28" s="525"/>
      <c r="I28" s="546" t="s">
        <v>3269</v>
      </c>
      <c r="J28" s="525"/>
      <c r="K28" s="501"/>
      <c r="L28" s="1863"/>
      <c r="M28" s="1853"/>
      <c r="N28" s="1853"/>
      <c r="O28" s="1862"/>
      <c r="P28" s="3908"/>
      <c r="Q28" s="1384"/>
      <c r="R28" s="1385"/>
      <c r="S28" s="1386"/>
      <c r="T28" s="1385"/>
      <c r="U28" s="1386"/>
      <c r="V28" s="1385"/>
      <c r="W28" s="1386"/>
      <c r="X28" s="1379"/>
      <c r="Y28" s="3908"/>
      <c r="Z28" s="1387"/>
      <c r="AA28" s="1388">
        <v>1</v>
      </c>
      <c r="AB28" s="1388">
        <v>1</v>
      </c>
      <c r="AC28" s="1388">
        <v>1</v>
      </c>
    </row>
    <row r="29" spans="1:29" s="1118" customFormat="1" ht="20.25">
      <c r="A29" s="547"/>
      <c r="B29" s="2197" t="s">
        <v>1830</v>
      </c>
      <c r="C29" s="543" t="str">
        <f>估价对象房地状况!C21</f>
        <v>一般</v>
      </c>
      <c r="D29" s="533">
        <v>100</v>
      </c>
      <c r="E29" s="534"/>
      <c r="F29" s="529">
        <f>SUMIF(101:101,E30,102:102)-SUMIF(101:101,C30,102:102)+100</f>
        <v>102</v>
      </c>
      <c r="G29" s="532"/>
      <c r="H29" s="529">
        <f>SUMIF(101:101,G30,102:102)-SUMIF(101:101,C30,102:102)+100</f>
        <v>102</v>
      </c>
      <c r="I29" s="534"/>
      <c r="J29" s="529">
        <f>SUMIF(101:101,I30,102:102)-SUMIF(101:101,C30,102:102)+100</f>
        <v>102</v>
      </c>
      <c r="K29" s="505">
        <v>2</v>
      </c>
      <c r="L29" s="1856"/>
      <c r="M29" s="1853"/>
      <c r="N29" s="1853"/>
      <c r="O29" s="1858"/>
      <c r="P29" s="3908"/>
      <c r="Q29" s="1050" t="str">
        <f t="shared" si="8"/>
        <v>公共配套设施</v>
      </c>
      <c r="R29" s="1380" t="s">
        <v>5</v>
      </c>
      <c r="S29" s="1381">
        <f>F29</f>
        <v>102</v>
      </c>
      <c r="T29" s="1380" t="s">
        <v>5</v>
      </c>
      <c r="U29" s="1381">
        <f>H29</f>
        <v>102</v>
      </c>
      <c r="V29" s="1380" t="s">
        <v>5</v>
      </c>
      <c r="W29" s="1381">
        <f>J29</f>
        <v>102</v>
      </c>
      <c r="X29" s="1382"/>
      <c r="Y29" s="3908"/>
      <c r="Z29" s="1049" t="str">
        <f>Q29</f>
        <v>公共配套设施</v>
      </c>
      <c r="AA29" s="1388">
        <f>D29/F29</f>
        <v>0.98039215686274506</v>
      </c>
      <c r="AB29" s="1388">
        <f>D29/H29</f>
        <v>0.98039215686274506</v>
      </c>
      <c r="AC29" s="1388">
        <f>D29/J29</f>
        <v>0.98039215686274506</v>
      </c>
    </row>
    <row r="30" spans="1:29" s="1118" customFormat="1" ht="20.25">
      <c r="A30" s="547"/>
      <c r="B30" s="536"/>
      <c r="C30" s="549" t="s">
        <v>3268</v>
      </c>
      <c r="D30" s="527"/>
      <c r="E30" s="546" t="s">
        <v>3269</v>
      </c>
      <c r="F30" s="525"/>
      <c r="G30" s="524" t="s">
        <v>3269</v>
      </c>
      <c r="H30" s="525"/>
      <c r="I30" s="546" t="s">
        <v>3269</v>
      </c>
      <c r="J30" s="525"/>
      <c r="K30" s="501"/>
      <c r="L30" s="1856"/>
      <c r="M30" s="1853"/>
      <c r="N30" s="1853"/>
      <c r="O30" s="1858"/>
      <c r="P30" s="3908"/>
      <c r="Q30" s="1050"/>
      <c r="R30" s="1380"/>
      <c r="S30" s="1381"/>
      <c r="T30" s="1380"/>
      <c r="U30" s="1381"/>
      <c r="V30" s="1380"/>
      <c r="W30" s="1381"/>
      <c r="X30" s="1382"/>
      <c r="Y30" s="3908"/>
      <c r="Z30" s="1049"/>
      <c r="AA30" s="1388">
        <v>1</v>
      </c>
      <c r="AB30" s="1388">
        <v>1</v>
      </c>
      <c r="AC30" s="1388">
        <v>1</v>
      </c>
    </row>
    <row r="31" spans="1:29" s="1118" customFormat="1" ht="20.25">
      <c r="A31" s="547"/>
      <c r="B31" s="2197" t="s">
        <v>1831</v>
      </c>
      <c r="C31" s="543" t="str">
        <f>估价对象房地状况!C22</f>
        <v>七通</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6"/>
      <c r="M31" s="1853"/>
      <c r="N31" s="1853"/>
      <c r="O31" s="1858"/>
      <c r="P31" s="3908"/>
      <c r="Q31" s="2190" t="str">
        <f>B31</f>
        <v>基础设施水平</v>
      </c>
      <c r="R31" s="1380" t="s">
        <v>5</v>
      </c>
      <c r="S31" s="1381">
        <f>F31</f>
        <v>100</v>
      </c>
      <c r="T31" s="1380" t="s">
        <v>5</v>
      </c>
      <c r="U31" s="1381">
        <f>H31</f>
        <v>100</v>
      </c>
      <c r="V31" s="1380" t="s">
        <v>5</v>
      </c>
      <c r="W31" s="1381">
        <f>J31</f>
        <v>100</v>
      </c>
      <c r="X31" s="1382"/>
      <c r="Y31" s="3908"/>
      <c r="Z31" s="2189" t="str">
        <f>Q31</f>
        <v>基础设施水平</v>
      </c>
      <c r="AA31" s="1388">
        <f>D31/F31</f>
        <v>1</v>
      </c>
      <c r="AB31" s="1388">
        <f>D31/H31</f>
        <v>1</v>
      </c>
      <c r="AC31" s="1388">
        <f>D31/J31</f>
        <v>1</v>
      </c>
    </row>
    <row r="32" spans="1:29" s="1118" customFormat="1" ht="21" thickBot="1">
      <c r="A32" s="547"/>
      <c r="B32" s="536"/>
      <c r="C32" s="549" t="s">
        <v>3290</v>
      </c>
      <c r="D32" s="527"/>
      <c r="E32" s="549" t="s">
        <v>3290</v>
      </c>
      <c r="F32" s="525"/>
      <c r="G32" s="549" t="s">
        <v>3290</v>
      </c>
      <c r="H32" s="525"/>
      <c r="I32" s="549" t="s">
        <v>3290</v>
      </c>
      <c r="J32" s="525"/>
      <c r="K32" s="501"/>
      <c r="L32" s="1856"/>
      <c r="M32" s="1853"/>
      <c r="N32" s="1853"/>
      <c r="O32" s="1858"/>
      <c r="P32" s="3908"/>
      <c r="Q32" s="2190"/>
      <c r="R32" s="1380"/>
      <c r="S32" s="1381"/>
      <c r="T32" s="1380"/>
      <c r="U32" s="1381"/>
      <c r="V32" s="1380"/>
      <c r="W32" s="1381"/>
      <c r="X32" s="1382"/>
      <c r="Y32" s="3908"/>
      <c r="Z32" s="2189"/>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08"/>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08"/>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08"/>
      <c r="Q34" s="1384" t="str">
        <f t="shared" si="8"/>
        <v>毗邻道路的类型与等级</v>
      </c>
      <c r="R34" s="1385" t="s">
        <v>5</v>
      </c>
      <c r="S34" s="1386">
        <f t="shared" si="9"/>
        <v>100</v>
      </c>
      <c r="T34" s="1385" t="s">
        <v>5</v>
      </c>
      <c r="U34" s="1386">
        <f t="shared" si="10"/>
        <v>100</v>
      </c>
      <c r="V34" s="1385" t="s">
        <v>5</v>
      </c>
      <c r="W34" s="1386">
        <f t="shared" si="11"/>
        <v>100</v>
      </c>
      <c r="X34" s="1379"/>
      <c r="Y34" s="3908"/>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3"/>
      <c r="M35" s="1853"/>
      <c r="N35" s="1853"/>
      <c r="O35" s="1862"/>
      <c r="P35" s="3908"/>
      <c r="Q35" s="1384"/>
      <c r="R35" s="1385"/>
      <c r="S35" s="1386"/>
      <c r="T35" s="1385"/>
      <c r="U35" s="1386"/>
      <c r="V35" s="1385"/>
      <c r="W35" s="1386"/>
      <c r="X35" s="1379"/>
      <c r="Y35" s="3908"/>
      <c r="Z35" s="1387"/>
      <c r="AA35" s="1388">
        <v>1</v>
      </c>
      <c r="AB35" s="1388">
        <v>1</v>
      </c>
      <c r="AC35" s="1388">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08"/>
      <c r="Q36" s="1384" t="str">
        <f t="shared" si="8"/>
        <v>土地级别</v>
      </c>
      <c r="R36" s="1385" t="s">
        <v>5</v>
      </c>
      <c r="S36" s="1386">
        <f t="shared" si="9"/>
        <v>100</v>
      </c>
      <c r="T36" s="1385" t="s">
        <v>5</v>
      </c>
      <c r="U36" s="1386">
        <f t="shared" si="10"/>
        <v>100</v>
      </c>
      <c r="V36" s="1385" t="s">
        <v>5</v>
      </c>
      <c r="W36" s="1386">
        <f t="shared" si="11"/>
        <v>100</v>
      </c>
      <c r="X36" s="1379"/>
      <c r="Y36" s="3908"/>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08"/>
      <c r="Q37" s="1384">
        <f t="shared" si="8"/>
        <v>111</v>
      </c>
      <c r="R37" s="1385" t="s">
        <v>5</v>
      </c>
      <c r="S37" s="1386">
        <f t="shared" si="9"/>
        <v>100</v>
      </c>
      <c r="T37" s="1385" t="s">
        <v>5</v>
      </c>
      <c r="U37" s="1386">
        <f t="shared" si="10"/>
        <v>100</v>
      </c>
      <c r="V37" s="1385" t="s">
        <v>5</v>
      </c>
      <c r="W37" s="1386">
        <f t="shared" si="11"/>
        <v>100</v>
      </c>
      <c r="X37" s="1379"/>
      <c r="Y37" s="3908"/>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09" t="s">
        <v>499</v>
      </c>
      <c r="Q38" s="1384">
        <f t="shared" si="8"/>
        <v>111</v>
      </c>
      <c r="R38" s="1385" t="s">
        <v>5</v>
      </c>
      <c r="S38" s="1386">
        <f t="shared" si="9"/>
        <v>100</v>
      </c>
      <c r="T38" s="1385" t="s">
        <v>5</v>
      </c>
      <c r="U38" s="1386">
        <f t="shared" si="10"/>
        <v>100</v>
      </c>
      <c r="V38" s="1385" t="s">
        <v>5</v>
      </c>
      <c r="W38" s="1386">
        <f t="shared" si="11"/>
        <v>100</v>
      </c>
      <c r="X38" s="1379"/>
      <c r="Y38" s="3910"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10"/>
      <c r="Q39" s="1384">
        <f t="shared" si="8"/>
        <v>111</v>
      </c>
      <c r="R39" s="1389" t="s">
        <v>5</v>
      </c>
      <c r="S39" s="1390">
        <f t="shared" si="9"/>
        <v>100</v>
      </c>
      <c r="T39" s="1389" t="s">
        <v>5</v>
      </c>
      <c r="U39" s="1390">
        <f t="shared" si="10"/>
        <v>100</v>
      </c>
      <c r="V39" s="1389" t="s">
        <v>5</v>
      </c>
      <c r="W39" s="1390">
        <f t="shared" si="11"/>
        <v>100</v>
      </c>
      <c r="X39" s="1391"/>
      <c r="Y39" s="3910"/>
      <c r="Z39" s="1392">
        <f t="shared" si="12"/>
        <v>111</v>
      </c>
      <c r="AA39" s="1388">
        <f t="shared" si="3"/>
        <v>1</v>
      </c>
      <c r="AB39" s="1388">
        <f t="shared" si="4"/>
        <v>1</v>
      </c>
      <c r="AC39" s="1388">
        <f t="shared" si="5"/>
        <v>1</v>
      </c>
    </row>
    <row r="40" spans="1:29" ht="20.25">
      <c r="A40" s="2385" t="s">
        <v>2036</v>
      </c>
      <c r="B40" s="565" t="s">
        <v>501</v>
      </c>
      <c r="C40" s="566">
        <f>'数据-基础表'!A3</f>
        <v>16124.249</v>
      </c>
      <c r="D40" s="567">
        <v>100</v>
      </c>
      <c r="E40" s="566">
        <f>土地案例!E3</f>
        <v>15459.22</v>
      </c>
      <c r="F40" s="567">
        <f>LOOKUP(E40,118:118,119:119)-LOOKUP(C40,118:118,119:119)+100</f>
        <v>100</v>
      </c>
      <c r="G40" s="566">
        <f>土地案例!E4</f>
        <v>5500.65</v>
      </c>
      <c r="H40" s="567">
        <f>LOOKUP(G40,118:118,119:119)-LOOKUP(C40,118:118,119:119)+100</f>
        <v>100</v>
      </c>
      <c r="I40" s="568">
        <f>土地案例!E10</f>
        <v>17147.95</v>
      </c>
      <c r="J40" s="567">
        <f>LOOKUP(I40,118:118,119:119)-LOOKUP(C40,118:118,119:119)+100</f>
        <v>100</v>
      </c>
      <c r="K40" s="551"/>
      <c r="L40" s="1863"/>
      <c r="M40" s="1853"/>
      <c r="N40" s="1853"/>
      <c r="O40" s="1862"/>
      <c r="P40" s="3910"/>
      <c r="Q40" s="1384" t="str">
        <f>B40</f>
        <v>宗地面积</v>
      </c>
      <c r="R40" s="1385" t="s">
        <v>5</v>
      </c>
      <c r="S40" s="1386">
        <f t="shared" si="9"/>
        <v>100</v>
      </c>
      <c r="T40" s="1385" t="s">
        <v>5</v>
      </c>
      <c r="U40" s="1386">
        <f t="shared" si="10"/>
        <v>100</v>
      </c>
      <c r="V40" s="1385" t="s">
        <v>5</v>
      </c>
      <c r="W40" s="1386">
        <f t="shared" si="11"/>
        <v>100</v>
      </c>
      <c r="X40" s="1379"/>
      <c r="Y40" s="3910"/>
      <c r="Z40" s="1387" t="str">
        <f t="shared" si="12"/>
        <v>宗地面积</v>
      </c>
      <c r="AA40" s="1388">
        <f t="shared" si="3"/>
        <v>1</v>
      </c>
      <c r="AB40" s="1388">
        <f t="shared" si="4"/>
        <v>1</v>
      </c>
      <c r="AC40" s="1388">
        <f t="shared" si="5"/>
        <v>1</v>
      </c>
    </row>
    <row r="41" spans="1:29" ht="20.25">
      <c r="A41" s="564"/>
      <c r="B41" s="497" t="s">
        <v>502</v>
      </c>
      <c r="C41" s="569" t="s">
        <v>3544</v>
      </c>
      <c r="D41" s="510">
        <v>100</v>
      </c>
      <c r="E41" s="569" t="s">
        <v>3544</v>
      </c>
      <c r="F41" s="510">
        <f>SUMIF(120:120,E41,121:121)-SUMIF(120:120,C41,121:121)+100</f>
        <v>100</v>
      </c>
      <c r="G41" s="569" t="s">
        <v>3544</v>
      </c>
      <c r="H41" s="510">
        <f>SUMIF(120:120,G41,121:121)-SUMIF(120:120,C41,121:121)+100</f>
        <v>100</v>
      </c>
      <c r="I41" s="569" t="s">
        <v>3544</v>
      </c>
      <c r="J41" s="510">
        <f>SUMIF(120:120,I41,121:121)-SUMIF(120:120,C41,121:121)+100</f>
        <v>100</v>
      </c>
      <c r="K41" s="554">
        <v>1</v>
      </c>
      <c r="L41" s="1863"/>
      <c r="M41" s="1853"/>
      <c r="N41" s="1853"/>
      <c r="O41" s="1862"/>
      <c r="P41" s="3910"/>
      <c r="Q41" s="1384" t="str">
        <f t="shared" ref="Q41:Q47" si="13">B41</f>
        <v>宗地形状</v>
      </c>
      <c r="R41" s="1385" t="s">
        <v>5</v>
      </c>
      <c r="S41" s="1386">
        <f t="shared" si="9"/>
        <v>100</v>
      </c>
      <c r="T41" s="1385" t="s">
        <v>5</v>
      </c>
      <c r="U41" s="1386">
        <f t="shared" si="10"/>
        <v>100</v>
      </c>
      <c r="V41" s="1385" t="s">
        <v>5</v>
      </c>
      <c r="W41" s="1386">
        <f t="shared" si="11"/>
        <v>100</v>
      </c>
      <c r="X41" s="1379"/>
      <c r="Y41" s="3910"/>
      <c r="Z41" s="1387" t="str">
        <f t="shared" si="12"/>
        <v>宗地形状</v>
      </c>
      <c r="AA41" s="1388">
        <f t="shared" si="3"/>
        <v>1</v>
      </c>
      <c r="AB41" s="1388">
        <f t="shared" si="4"/>
        <v>1</v>
      </c>
      <c r="AC41" s="1388">
        <f t="shared" si="5"/>
        <v>1</v>
      </c>
    </row>
    <row r="42" spans="1:29" ht="20.25">
      <c r="A42" s="564"/>
      <c r="B42" s="497" t="s">
        <v>503</v>
      </c>
      <c r="C42" s="569" t="s">
        <v>3548</v>
      </c>
      <c r="D42" s="510">
        <v>100</v>
      </c>
      <c r="E42" s="569" t="s">
        <v>3548</v>
      </c>
      <c r="F42" s="510">
        <f>SUMIF(122:122,E42,123:123)-SUMIF(122:122,C42,123:123)+100</f>
        <v>100</v>
      </c>
      <c r="G42" s="569" t="s">
        <v>3548</v>
      </c>
      <c r="H42" s="510">
        <f>SUMIF(122:122,G42,123:123)-SUMIF(122:122,C42,123:123)+100</f>
        <v>100</v>
      </c>
      <c r="I42" s="569" t="s">
        <v>3548</v>
      </c>
      <c r="J42" s="510">
        <f>SUMIF(122:122,I42,123:123)-SUMIF(122:122,C42,123:123)+100</f>
        <v>100</v>
      </c>
      <c r="K42" s="554">
        <v>1</v>
      </c>
      <c r="L42" s="1863"/>
      <c r="M42" s="1853"/>
      <c r="N42" s="1853"/>
      <c r="O42" s="1862"/>
      <c r="P42" s="3910"/>
      <c r="Q42" s="1384" t="str">
        <f t="shared" si="13"/>
        <v>临街宽度及深度</v>
      </c>
      <c r="R42" s="1385" t="s">
        <v>5</v>
      </c>
      <c r="S42" s="1386">
        <f t="shared" si="9"/>
        <v>100</v>
      </c>
      <c r="T42" s="1385" t="s">
        <v>5</v>
      </c>
      <c r="U42" s="1386">
        <f t="shared" si="10"/>
        <v>100</v>
      </c>
      <c r="V42" s="1385" t="s">
        <v>5</v>
      </c>
      <c r="W42" s="1386">
        <f t="shared" si="11"/>
        <v>100</v>
      </c>
      <c r="X42" s="1379"/>
      <c r="Y42" s="3910"/>
      <c r="Z42" s="1387" t="str">
        <f t="shared" si="12"/>
        <v>临街宽度及深度</v>
      </c>
      <c r="AA42" s="1388">
        <f t="shared" si="3"/>
        <v>1</v>
      </c>
      <c r="AB42" s="1388">
        <f t="shared" si="4"/>
        <v>1</v>
      </c>
      <c r="AC42" s="1388">
        <f t="shared" si="5"/>
        <v>1</v>
      </c>
    </row>
    <row r="43" spans="1:29" s="1118" customFormat="1" ht="20.25">
      <c r="A43" s="570"/>
      <c r="B43" s="1649" t="s">
        <v>1775</v>
      </c>
      <c r="C43" s="571" t="s">
        <v>3291</v>
      </c>
      <c r="D43" s="246">
        <v>100</v>
      </c>
      <c r="E43" s="571" t="str">
        <f>土地案例!R3</f>
        <v>三通</v>
      </c>
      <c r="F43" s="510">
        <f>SUMIF(124:124,E43,125:125)-SUMIF(124:124,C43,125:125)+100</f>
        <v>97</v>
      </c>
      <c r="G43" s="571" t="str">
        <f>土地案例!R4</f>
        <v>三通</v>
      </c>
      <c r="H43" s="510">
        <f>SUMIF(124:124,G43,125:125)-SUMIF(124:124,C43,125:125)+100</f>
        <v>97</v>
      </c>
      <c r="I43" s="571" t="str">
        <f>土地案例!R10</f>
        <v>六通</v>
      </c>
      <c r="J43" s="510">
        <f>SUMIF(124:124,I43,125:125)-SUMIF(124:124,C43,125:125)+100</f>
        <v>100</v>
      </c>
      <c r="K43" s="554">
        <v>1</v>
      </c>
      <c r="L43" s="1856"/>
      <c r="M43" s="1853"/>
      <c r="N43" s="1853"/>
      <c r="O43" s="1858"/>
      <c r="P43" s="3910"/>
      <c r="Q43" s="1384" t="str">
        <f t="shared" si="13"/>
        <v>宗地开发程度</v>
      </c>
      <c r="R43" s="1380" t="s">
        <v>5</v>
      </c>
      <c r="S43" s="1381">
        <f t="shared" si="9"/>
        <v>97</v>
      </c>
      <c r="T43" s="1380" t="s">
        <v>5</v>
      </c>
      <c r="U43" s="1381">
        <f t="shared" si="10"/>
        <v>97</v>
      </c>
      <c r="V43" s="1380" t="s">
        <v>5</v>
      </c>
      <c r="W43" s="1381">
        <f t="shared" si="11"/>
        <v>100</v>
      </c>
      <c r="X43" s="1382"/>
      <c r="Y43" s="3910"/>
      <c r="Z43" s="1049" t="str">
        <f t="shared" si="12"/>
        <v>宗地开发程度</v>
      </c>
      <c r="AA43" s="1383">
        <f t="shared" si="3"/>
        <v>1.0309278350515463</v>
      </c>
      <c r="AB43" s="1383">
        <f t="shared" si="4"/>
        <v>1.0309278350515463</v>
      </c>
      <c r="AC43" s="1383">
        <f t="shared" si="5"/>
        <v>1</v>
      </c>
    </row>
    <row r="44" spans="1:29" ht="21" thickBot="1">
      <c r="A44" s="564"/>
      <c r="B44" s="497" t="s">
        <v>504</v>
      </c>
      <c r="C44" s="569" t="s">
        <v>3269</v>
      </c>
      <c r="D44" s="510">
        <v>100</v>
      </c>
      <c r="E44" s="569" t="s">
        <v>3269</v>
      </c>
      <c r="F44" s="510">
        <f>SUMIF(126:126,E44,127:127)-SUMIF(126:126,C44,127:127)+100</f>
        <v>100</v>
      </c>
      <c r="G44" s="569" t="s">
        <v>3269</v>
      </c>
      <c r="H44" s="510">
        <f>SUMIF(126:126,G44,127:127)-SUMIF(126:126,C44,127:127)+100</f>
        <v>100</v>
      </c>
      <c r="I44" s="569" t="s">
        <v>3269</v>
      </c>
      <c r="J44" s="510">
        <f>SUMIF(126:126,I44,127:127)-SUMIF(126:126,C44,127:127)+100</f>
        <v>100</v>
      </c>
      <c r="K44" s="554">
        <v>1</v>
      </c>
      <c r="L44" s="1863"/>
      <c r="M44" s="1853"/>
      <c r="N44" s="1853"/>
      <c r="O44" s="1862"/>
      <c r="P44" s="3910" t="s">
        <v>499</v>
      </c>
      <c r="Q44" s="1384" t="str">
        <f t="shared" si="13"/>
        <v>工程地质条件</v>
      </c>
      <c r="R44" s="1385" t="s">
        <v>5</v>
      </c>
      <c r="S44" s="1386">
        <f t="shared" si="9"/>
        <v>100</v>
      </c>
      <c r="T44" s="1385" t="s">
        <v>5</v>
      </c>
      <c r="U44" s="1386">
        <f t="shared" si="10"/>
        <v>100</v>
      </c>
      <c r="V44" s="1385" t="s">
        <v>5</v>
      </c>
      <c r="W44" s="1386">
        <f t="shared" si="11"/>
        <v>100</v>
      </c>
      <c r="X44" s="1379"/>
      <c r="Y44" s="3910"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10"/>
      <c r="Q45" s="1384">
        <f t="shared" si="13"/>
        <v>111</v>
      </c>
      <c r="R45" s="1385" t="s">
        <v>5</v>
      </c>
      <c r="S45" s="1386">
        <f t="shared" si="9"/>
        <v>100</v>
      </c>
      <c r="T45" s="1385" t="s">
        <v>5</v>
      </c>
      <c r="U45" s="1386">
        <f t="shared" si="10"/>
        <v>100</v>
      </c>
      <c r="V45" s="1385" t="s">
        <v>5</v>
      </c>
      <c r="W45" s="1386">
        <f t="shared" si="11"/>
        <v>100</v>
      </c>
      <c r="X45" s="1379"/>
      <c r="Y45" s="3910"/>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10"/>
      <c r="Q46" s="1384">
        <f t="shared" si="13"/>
        <v>111</v>
      </c>
      <c r="R46" s="1385" t="s">
        <v>5</v>
      </c>
      <c r="S46" s="1386">
        <f t="shared" si="9"/>
        <v>100</v>
      </c>
      <c r="T46" s="1385" t="s">
        <v>5</v>
      </c>
      <c r="U46" s="1386">
        <f t="shared" si="10"/>
        <v>100</v>
      </c>
      <c r="V46" s="1385" t="s">
        <v>5</v>
      </c>
      <c r="W46" s="1386">
        <f t="shared" si="11"/>
        <v>100</v>
      </c>
      <c r="X46" s="1379"/>
      <c r="Y46" s="3910"/>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10"/>
      <c r="Q47" s="1384">
        <f t="shared" si="13"/>
        <v>111</v>
      </c>
      <c r="R47" s="1389" t="s">
        <v>5</v>
      </c>
      <c r="S47" s="1390">
        <f t="shared" si="9"/>
        <v>100</v>
      </c>
      <c r="T47" s="1389" t="s">
        <v>5</v>
      </c>
      <c r="U47" s="1390">
        <f t="shared" si="10"/>
        <v>100</v>
      </c>
      <c r="V47" s="1389" t="s">
        <v>5</v>
      </c>
      <c r="W47" s="1390">
        <f t="shared" si="11"/>
        <v>100</v>
      </c>
      <c r="X47" s="1391"/>
      <c r="Y47" s="3910"/>
      <c r="Z47" s="1392">
        <f t="shared" si="12"/>
        <v>111</v>
      </c>
      <c r="AA47" s="1388">
        <f t="shared" si="3"/>
        <v>1</v>
      </c>
      <c r="AB47" s="1388">
        <f t="shared" si="4"/>
        <v>1</v>
      </c>
      <c r="AC47" s="1388">
        <f t="shared" si="5"/>
        <v>1</v>
      </c>
    </row>
    <row r="48" spans="1:29" ht="20.25">
      <c r="A48" s="577" t="s">
        <v>505</v>
      </c>
      <c r="B48" s="578" t="s">
        <v>3550</v>
      </c>
      <c r="C48" s="579" t="s">
        <v>0</v>
      </c>
      <c r="D48" s="580"/>
      <c r="E48" s="581">
        <f>土地案例!O3</f>
        <v>10095</v>
      </c>
      <c r="F48" s="582"/>
      <c r="G48" s="583">
        <f>土地案例!O4</f>
        <v>11038</v>
      </c>
      <c r="H48" s="584"/>
      <c r="I48" s="581">
        <f>土地案例!O10</f>
        <v>13018</v>
      </c>
      <c r="J48" s="584"/>
      <c r="K48" s="1201"/>
      <c r="L48" s="1865"/>
      <c r="M48" s="1853"/>
      <c r="N48" s="1853"/>
      <c r="O48" s="1866"/>
      <c r="P48" s="3905" t="str">
        <f>A48</f>
        <v>成交单价</v>
      </c>
      <c r="Q48" s="3905"/>
      <c r="R48" s="3921">
        <f>E48</f>
        <v>10095</v>
      </c>
      <c r="S48" s="3921"/>
      <c r="T48" s="3921">
        <f>G48</f>
        <v>11038</v>
      </c>
      <c r="U48" s="3921"/>
      <c r="V48" s="3921">
        <f>I48</f>
        <v>13018</v>
      </c>
      <c r="W48" s="3921"/>
      <c r="X48" s="1374"/>
      <c r="Y48" s="1393"/>
      <c r="Z48" s="1374"/>
      <c r="AA48" s="1374"/>
      <c r="AB48" s="1374"/>
      <c r="AC48" s="1374"/>
    </row>
    <row r="49" spans="1:29" ht="21" thickBot="1">
      <c r="A49" s="585" t="s">
        <v>1974</v>
      </c>
      <c r="B49" s="586"/>
      <c r="C49" s="587">
        <f>R50</f>
        <v>10240</v>
      </c>
      <c r="D49" s="2754" t="s">
        <v>2255</v>
      </c>
      <c r="E49" s="587">
        <f>R49</f>
        <v>9088</v>
      </c>
      <c r="F49" s="2755"/>
      <c r="G49" s="588">
        <f>T49</f>
        <v>10052</v>
      </c>
      <c r="H49" s="2755"/>
      <c r="I49" s="587">
        <f>V49</f>
        <v>11579</v>
      </c>
      <c r="J49" s="2755"/>
      <c r="K49" s="2756">
        <f>F49+H49+J49</f>
        <v>0</v>
      </c>
      <c r="L49" s="1865"/>
      <c r="M49" s="1853"/>
      <c r="N49" s="1853"/>
      <c r="O49" s="1866"/>
      <c r="P49" s="3905" t="str">
        <f>A49</f>
        <v>比较价格（元/平方米）</v>
      </c>
      <c r="Q49" s="3905"/>
      <c r="R49" s="3929">
        <f>ROUND(PRODUCT(R48,AA9:AA47),0)</f>
        <v>9088</v>
      </c>
      <c r="S49" s="3929"/>
      <c r="T49" s="3929">
        <f>ROUND(PRODUCT(T48,AB9:AB47),0)</f>
        <v>10052</v>
      </c>
      <c r="U49" s="3929"/>
      <c r="V49" s="3929">
        <f>ROUND(PRODUCT(V48,AC9:AC47),0)</f>
        <v>11579</v>
      </c>
      <c r="W49" s="3929"/>
      <c r="X49" s="1374"/>
      <c r="Y49" s="1374"/>
      <c r="Z49" s="1374"/>
      <c r="AA49" s="1374"/>
      <c r="AB49" s="1374"/>
      <c r="AC49" s="1374"/>
    </row>
    <row r="50" spans="1:29" ht="21" thickBot="1">
      <c r="A50" s="589" t="s">
        <v>2192</v>
      </c>
      <c r="B50" s="590"/>
      <c r="C50" s="591">
        <f>R50</f>
        <v>10240</v>
      </c>
      <c r="D50" s="591"/>
      <c r="E50" s="591"/>
      <c r="F50" s="591"/>
      <c r="G50" s="591"/>
      <c r="H50" s="591"/>
      <c r="I50" s="591"/>
      <c r="J50" s="591"/>
      <c r="K50" s="1202"/>
      <c r="L50" s="1865"/>
      <c r="M50" s="1853"/>
      <c r="N50" s="1853"/>
      <c r="O50" s="1866"/>
      <c r="P50" s="3911" t="str">
        <f>A50</f>
        <v>估价对象XX用房的比较价格（楼面单价，元/平方米）</v>
      </c>
      <c r="Q50" s="3912"/>
      <c r="R50" s="3928">
        <f>ROUND(IF(D49="简单平均",AVERAGE(R49:W49),R49*F49+T49*H49+V49*J49),0)</f>
        <v>10240</v>
      </c>
      <c r="S50" s="3928"/>
      <c r="T50" s="3928"/>
      <c r="U50" s="3928"/>
      <c r="V50" s="3928"/>
      <c r="W50" s="3928"/>
      <c r="X50" s="1374"/>
      <c r="Y50" s="1374"/>
      <c r="Z50" s="1374"/>
      <c r="AA50" s="1374"/>
      <c r="AB50" s="1374"/>
      <c r="AC50" s="1374"/>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0.11080545774647876</v>
      </c>
      <c r="F53" s="595" t="str">
        <f>IF(OR(E53&gt;=0.3,E53&lt;=-0.3),"超过30%","")</f>
        <v/>
      </c>
      <c r="G53" s="594">
        <f>IF(G48&lt;G49,G49/G48-1,G48/G49-1)</f>
        <v>9.808993235177077E-2</v>
      </c>
      <c r="H53" s="595" t="str">
        <f>IF(OR(G53&gt;=0.3,G53&lt;=-0.3),"超过30%","")</f>
        <v/>
      </c>
      <c r="I53" s="594">
        <f>IF(I48&lt;I49,I49/I48-1,I48/I49-1)</f>
        <v>0.12427670783314615</v>
      </c>
      <c r="J53" s="595" t="str">
        <f>IF(OR(I53&gt;=0.3,I53&lt;=-0.3),"超过30%","")</f>
        <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0.10607394366197176</v>
      </c>
      <c r="F54" s="595" t="str">
        <f>IF(OR(E54&gt;=0.2,E54&lt;=-0.2),"超过20%","")</f>
        <v/>
      </c>
      <c r="G54" s="594">
        <f>IF(G49&lt;I49,I49/G49-1,G49/I49-1)</f>
        <v>0.15191006764822923</v>
      </c>
      <c r="H54" s="595" t="str">
        <f>IF(OR(G54&gt;=0.2,G54&lt;=-0.2),"超过20%","")</f>
        <v/>
      </c>
      <c r="I54" s="594">
        <f>IF(I49&lt;E49,E49/I49-1,I49/E49-1)</f>
        <v>0.27409771126760574</v>
      </c>
      <c r="J54" s="595" t="str">
        <f>IF(OR(I54&gt;=0.2,I54&lt;=-0.2),"超过20%","")</f>
        <v>超过20%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9.3412580485388697E-2</v>
      </c>
      <c r="F55" s="595" t="str">
        <f>IF(OR(E55&gt;=0.3,E55&lt;=-0.3),"超过30%","")</f>
        <v/>
      </c>
      <c r="G55" s="594">
        <f>IF(G48&lt;I48,I48/G48-1,G48/I48-1)</f>
        <v>0.17938032252219616</v>
      </c>
      <c r="H55" s="595" t="str">
        <f>IF(OR(G55&gt;=0.3,G55&lt;=-0.3),"超过30%","")</f>
        <v/>
      </c>
      <c r="I55" s="594">
        <f>IF(I48&lt;E48,E48/I48-1,I48/E48-1)</f>
        <v>0.28954928182268458</v>
      </c>
      <c r="J55" s="595" t="str">
        <f>IF(OR(I55&gt;=0.3,I55&lt;=-0.3),"超过30%","")</f>
        <v/>
      </c>
      <c r="K55" s="2956"/>
      <c r="L55" s="1873"/>
      <c r="M55" s="1853"/>
      <c r="N55" s="1853"/>
      <c r="O55" s="1867"/>
      <c r="P55" s="1867"/>
      <c r="Q55" s="1867"/>
      <c r="R55" s="1867"/>
      <c r="S55" s="1867"/>
      <c r="T55" s="1867"/>
      <c r="U55" s="1867"/>
      <c r="V55" s="1867"/>
      <c r="W55" s="1867"/>
      <c r="X55" s="1867"/>
      <c r="Y55" s="1867"/>
      <c r="Z55" s="1867"/>
      <c r="AA55" s="1867"/>
      <c r="AB55" s="1867"/>
      <c r="AC55" s="1867"/>
    </row>
    <row r="56" spans="1:29" s="1205"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5" t="s">
        <v>1253</v>
      </c>
      <c r="D57" s="1944" t="s">
        <v>1649</v>
      </c>
      <c r="E57" s="599" t="s">
        <v>511</v>
      </c>
      <c r="F57" s="600" t="s">
        <v>512</v>
      </c>
      <c r="G57" s="3890" t="s">
        <v>1638</v>
      </c>
      <c r="H57" s="3891"/>
      <c r="I57" s="1371" t="s">
        <v>1251</v>
      </c>
      <c r="J57" s="1371">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6" customFormat="1" ht="12.75">
      <c r="A58" s="601" t="s">
        <v>513</v>
      </c>
      <c r="B58" s="602">
        <f>C50</f>
        <v>10240</v>
      </c>
      <c r="C58" s="603">
        <v>1</v>
      </c>
      <c r="D58" s="1945">
        <v>1</v>
      </c>
      <c r="E58" s="603">
        <f>'数据-汇总表'!E8+'数据-汇总表'!E9</f>
        <v>33492.110000000008</v>
      </c>
      <c r="F58" s="604">
        <f t="shared" ref="F58:F66" si="14">ROUND(B58*E58/10000,0)</f>
        <v>34296</v>
      </c>
      <c r="G58" s="3892"/>
      <c r="H58" s="3893"/>
      <c r="I58" s="1372">
        <v>1</v>
      </c>
      <c r="J58" s="1372">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514</v>
      </c>
      <c r="B59" s="606">
        <f>ROUND($C$50*C59*D59,0)</f>
        <v>1536</v>
      </c>
      <c r="C59" s="365">
        <f t="shared" ref="C59:C66" si="15">IF($C$57="北京市系数",I59,J59)</f>
        <v>0.6</v>
      </c>
      <c r="D59" s="1946">
        <v>0.25</v>
      </c>
      <c r="E59" s="607">
        <f>'数据-汇总表'!G20</f>
        <v>5960.87</v>
      </c>
      <c r="F59" s="604">
        <f t="shared" si="14"/>
        <v>916</v>
      </c>
      <c r="G59" s="3272" t="s">
        <v>1639</v>
      </c>
      <c r="H59" s="1702" t="str">
        <f>项目基本情况!B43</f>
        <v>六级</v>
      </c>
      <c r="I59" s="1372">
        <f>SUMIF(修正!$A$57:$A$68,H59,修正!B57:B68)</f>
        <v>0.6</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515</v>
      </c>
      <c r="B60" s="606">
        <f t="shared" ref="B60:B66" si="16">ROUND($C$50*C60*D60,0)</f>
        <v>768</v>
      </c>
      <c r="C60" s="365">
        <f t="shared" si="15"/>
        <v>0.3</v>
      </c>
      <c r="D60" s="1946">
        <v>0.25</v>
      </c>
      <c r="E60" s="607">
        <v>0</v>
      </c>
      <c r="F60" s="604">
        <f t="shared" si="14"/>
        <v>0</v>
      </c>
      <c r="G60" s="3273"/>
      <c r="H60" s="1702" t="str">
        <f>项目基本情况!B43</f>
        <v>六级</v>
      </c>
      <c r="I60" s="1372">
        <f>SUMIF(修正!$A$57:$A$68,H60,修正!C57:C68)</f>
        <v>0.3</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2.75">
      <c r="A61" s="605" t="s">
        <v>516</v>
      </c>
      <c r="B61" s="606">
        <f t="shared" si="16"/>
        <v>640</v>
      </c>
      <c r="C61" s="365">
        <f t="shared" si="15"/>
        <v>0.25</v>
      </c>
      <c r="D61" s="1946">
        <v>0.25</v>
      </c>
      <c r="E61" s="607">
        <v>0</v>
      </c>
      <c r="F61" s="604">
        <f t="shared" si="14"/>
        <v>0</v>
      </c>
      <c r="G61" s="3273"/>
      <c r="H61" s="1702" t="str">
        <f>项目基本情况!B43</f>
        <v>六级</v>
      </c>
      <c r="I61" s="1372">
        <f>SUMIF(修正!$A$57:$A$68,H61,修正!D57:D68)</f>
        <v>0.25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2.75">
      <c r="A62" s="2048" t="s">
        <v>1684</v>
      </c>
      <c r="B62" s="606">
        <f t="shared" si="16"/>
        <v>640</v>
      </c>
      <c r="C62" s="365">
        <f t="shared" si="15"/>
        <v>0.25</v>
      </c>
      <c r="D62" s="1946">
        <v>0.25</v>
      </c>
      <c r="E62" s="609">
        <f>'数据-汇总表'!E11</f>
        <v>0</v>
      </c>
      <c r="F62" s="604">
        <f t="shared" si="14"/>
        <v>0</v>
      </c>
      <c r="G62" s="1699" t="s">
        <v>1640</v>
      </c>
      <c r="H62" s="1702" t="str">
        <f>项目基本情况!C43</f>
        <v>六级</v>
      </c>
      <c r="I62" s="1372">
        <f>SUMIF(修正!$A$57:$A$68,H62,修正!E57:E68)</f>
        <v>0.25</v>
      </c>
      <c r="J62" s="1373"/>
      <c r="K62" s="2957"/>
      <c r="L62" s="1875"/>
      <c r="M62" s="1875"/>
      <c r="N62" s="1875"/>
      <c r="O62" s="1875"/>
      <c r="P62" s="1875"/>
      <c r="Q62" s="1875"/>
      <c r="R62" s="1875"/>
      <c r="S62" s="1875"/>
      <c r="T62" s="1875"/>
      <c r="U62" s="1875"/>
      <c r="V62" s="1875"/>
      <c r="W62" s="1875"/>
      <c r="X62" s="1875"/>
      <c r="Y62" s="1875"/>
      <c r="Z62" s="1875"/>
      <c r="AA62" s="1875"/>
      <c r="AB62" s="1875"/>
      <c r="AC62" s="1875"/>
    </row>
    <row r="63" spans="1:29" s="1206" customFormat="1" ht="12.75">
      <c r="A63" s="605" t="s">
        <v>517</v>
      </c>
      <c r="B63" s="606">
        <f t="shared" si="16"/>
        <v>640</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2">
        <f>SUMIF(修正!$A$57:$A$68,H63,修正!F57:F68)</f>
        <v>0.25</v>
      </c>
      <c r="J63" s="1373"/>
      <c r="K63" s="2957"/>
      <c r="L63" s="1875"/>
      <c r="M63" s="1875"/>
      <c r="N63" s="1875"/>
      <c r="O63" s="1875"/>
      <c r="P63" s="1875"/>
      <c r="Q63" s="1875"/>
      <c r="R63" s="1875"/>
      <c r="S63" s="1875"/>
      <c r="T63" s="1875"/>
      <c r="U63" s="1875"/>
      <c r="V63" s="1875"/>
      <c r="W63" s="1875"/>
      <c r="X63" s="1875"/>
      <c r="Y63" s="1875"/>
      <c r="Z63" s="1875"/>
      <c r="AA63" s="1875"/>
      <c r="AB63" s="1875"/>
      <c r="AC63" s="1875"/>
    </row>
    <row r="64" spans="1:29" s="1206" customFormat="1" ht="12.75">
      <c r="A64" s="605" t="s">
        <v>518</v>
      </c>
      <c r="B64" s="606">
        <f t="shared" si="16"/>
        <v>384</v>
      </c>
      <c r="C64" s="365">
        <f t="shared" si="15"/>
        <v>0.15</v>
      </c>
      <c r="D64" s="1946">
        <v>0.25</v>
      </c>
      <c r="E64" s="609">
        <f>'数据-汇总表'!E13</f>
        <v>5960.87</v>
      </c>
      <c r="F64" s="604">
        <f t="shared" si="14"/>
        <v>229</v>
      </c>
      <c r="G64" s="1700" t="s">
        <v>851</v>
      </c>
      <c r="H64" s="1698" t="str">
        <f>IF(G64="商业",项目基本情况!B43,IF(G64="办公",项目基本情况!C43,IF(G64="住宅",项目基本情况!D43,项目基本情况!E43)))</f>
        <v>六级</v>
      </c>
      <c r="I64" s="1372">
        <f>SUMIF(修正!$A$57:$A$68,H64,修正!G57:G68)</f>
        <v>0.15</v>
      </c>
      <c r="J64" s="1373"/>
      <c r="K64" s="2957"/>
      <c r="L64" s="1875"/>
      <c r="M64" s="1875"/>
      <c r="N64" s="1875"/>
      <c r="O64" s="1875"/>
      <c r="P64" s="1875"/>
      <c r="Q64" s="1875"/>
      <c r="R64" s="1875"/>
      <c r="S64" s="1875"/>
      <c r="T64" s="1875"/>
      <c r="U64" s="1875"/>
      <c r="V64" s="1875"/>
      <c r="W64" s="1875"/>
      <c r="X64" s="1875"/>
      <c r="Y64" s="1875"/>
      <c r="Z64" s="1875"/>
      <c r="AA64" s="1875"/>
      <c r="AB64" s="1875"/>
      <c r="AC64" s="1875"/>
    </row>
    <row r="65" spans="1:29" s="1206" customFormat="1" ht="12.75">
      <c r="A65" s="605" t="s">
        <v>519</v>
      </c>
      <c r="B65" s="606">
        <f t="shared" si="16"/>
        <v>384</v>
      </c>
      <c r="C65" s="365">
        <f t="shared" si="15"/>
        <v>0.15</v>
      </c>
      <c r="D65" s="1946">
        <v>0.25</v>
      </c>
      <c r="E65" s="609">
        <f>'数据-汇总表'!E14</f>
        <v>0</v>
      </c>
      <c r="F65" s="604">
        <f t="shared" si="14"/>
        <v>0</v>
      </c>
      <c r="G65" s="1699" t="s">
        <v>1639</v>
      </c>
      <c r="H65" s="1702" t="str">
        <f>项目基本情况!B43</f>
        <v>六级</v>
      </c>
      <c r="I65" s="1372">
        <f>SUMIF(修正!$A$57:$A$68,H65,修正!G57:G68)</f>
        <v>0.15</v>
      </c>
      <c r="J65" s="1373"/>
      <c r="K65" s="2957"/>
      <c r="L65" s="1875"/>
      <c r="M65" s="1875"/>
      <c r="N65" s="1875"/>
      <c r="O65" s="1875"/>
      <c r="P65" s="1875"/>
      <c r="Q65" s="1875"/>
      <c r="R65" s="1875"/>
      <c r="S65" s="1875"/>
      <c r="T65" s="1875"/>
      <c r="U65" s="1875"/>
      <c r="V65" s="1875"/>
      <c r="W65" s="1875"/>
      <c r="X65" s="1875"/>
      <c r="Y65" s="1875"/>
      <c r="Z65" s="1875"/>
      <c r="AA65" s="1875"/>
      <c r="AB65" s="1875"/>
      <c r="AC65" s="1875"/>
    </row>
    <row r="66" spans="1:29" s="1206" customFormat="1" ht="13.5" thickBot="1">
      <c r="A66" s="605" t="s">
        <v>520</v>
      </c>
      <c r="B66" s="606">
        <f t="shared" si="16"/>
        <v>384</v>
      </c>
      <c r="C66" s="365">
        <f t="shared" si="15"/>
        <v>0.15</v>
      </c>
      <c r="D66" s="1946">
        <v>0.25</v>
      </c>
      <c r="E66" s="609">
        <f>'数据-汇总表'!E15</f>
        <v>0</v>
      </c>
      <c r="F66" s="604">
        <f t="shared" si="14"/>
        <v>0</v>
      </c>
      <c r="G66" s="1701" t="s">
        <v>1640</v>
      </c>
      <c r="H66" s="1703" t="str">
        <f>项目基本情况!C43</f>
        <v>六级</v>
      </c>
      <c r="I66" s="1372">
        <f>SUMIF(修正!$A$57:$A$68,H66,修正!G57:G68)</f>
        <v>0.15</v>
      </c>
      <c r="J66" s="1373"/>
      <c r="K66" s="2957"/>
      <c r="L66" s="1875"/>
      <c r="M66" s="1875"/>
      <c r="N66" s="1875"/>
      <c r="O66" s="1875"/>
      <c r="P66" s="1875"/>
      <c r="Q66" s="1875"/>
      <c r="R66" s="1875"/>
      <c r="S66" s="1875"/>
      <c r="T66" s="1875"/>
      <c r="U66" s="1875"/>
      <c r="V66" s="1875"/>
      <c r="W66" s="1875"/>
      <c r="X66" s="1875"/>
      <c r="Y66" s="1875"/>
      <c r="Z66" s="1875"/>
      <c r="AA66" s="1875"/>
      <c r="AB66" s="1875"/>
      <c r="AC66" s="1875"/>
    </row>
    <row r="67" spans="1:29" s="1206" customFormat="1" ht="13.5" thickBot="1">
      <c r="A67" s="610" t="s">
        <v>521</v>
      </c>
      <c r="B67" s="611" t="s">
        <v>11</v>
      </c>
      <c r="C67" s="611" t="s">
        <v>12</v>
      </c>
      <c r="D67" s="611" t="s">
        <v>1650</v>
      </c>
      <c r="E67" s="611">
        <f>IF(B48="楼面地价",SUM(E58:E66),'数据-汇总表'!D3)</f>
        <v>45413.850000000013</v>
      </c>
      <c r="F67" s="612">
        <f>IF(B48="楼面地价",SUM(F58:F66),ROUND(C50*E67/10000,0))</f>
        <v>35441</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2023-12-1</v>
      </c>
      <c r="D69" s="2277">
        <f>EDATE(C69,-3)</f>
        <v>45170</v>
      </c>
      <c r="E69" s="2277">
        <f t="shared" ref="E69:N69" si="17">EDATE(D69,-3)</f>
        <v>45078</v>
      </c>
      <c r="F69" s="2277">
        <f t="shared" si="17"/>
        <v>44986</v>
      </c>
      <c r="G69" s="2277">
        <f t="shared" si="17"/>
        <v>44896</v>
      </c>
      <c r="H69" s="2277">
        <f t="shared" si="17"/>
        <v>44805</v>
      </c>
      <c r="I69" s="2277">
        <f t="shared" si="17"/>
        <v>44713</v>
      </c>
      <c r="J69" s="2277">
        <f t="shared" si="17"/>
        <v>44621</v>
      </c>
      <c r="K69" s="2277">
        <f t="shared" si="17"/>
        <v>44531</v>
      </c>
      <c r="L69" s="2277">
        <f t="shared" si="17"/>
        <v>44440</v>
      </c>
      <c r="M69" s="2277">
        <f t="shared" si="17"/>
        <v>44348</v>
      </c>
      <c r="N69" s="2277">
        <f t="shared" si="17"/>
        <v>44256</v>
      </c>
      <c r="O69" s="1866"/>
      <c r="P69" s="1866"/>
      <c r="Q69" s="1866"/>
      <c r="R69" s="1866"/>
      <c r="S69" s="1866"/>
      <c r="T69" s="1866"/>
      <c r="U69" s="1866"/>
      <c r="V69" s="1866"/>
      <c r="W69" s="1866"/>
      <c r="X69" s="1866"/>
      <c r="Y69" s="1866"/>
      <c r="Z69" s="1866"/>
      <c r="AA69" s="1866"/>
      <c r="AB69" s="1866"/>
      <c r="AC69" s="1866"/>
    </row>
    <row r="70" spans="1:29" ht="21.75" thickBot="1">
      <c r="A70" s="1396" t="s">
        <v>522</v>
      </c>
      <c r="B70" s="1374"/>
      <c r="C70" s="1395"/>
      <c r="D70" s="1395"/>
      <c r="E70" s="1395"/>
      <c r="F70" s="1397"/>
      <c r="G70" s="1397"/>
      <c r="H70" s="1395"/>
      <c r="I70" s="1395"/>
      <c r="J70" s="1395"/>
      <c r="K70" s="1398"/>
      <c r="L70" s="1394"/>
      <c r="M70" s="1395"/>
      <c r="N70" s="1395"/>
      <c r="O70" s="1877"/>
      <c r="P70" s="1877"/>
      <c r="Q70" s="1878"/>
      <c r="R70" s="1866"/>
      <c r="S70" s="1866"/>
      <c r="T70" s="1866"/>
      <c r="U70" s="1866"/>
      <c r="V70" s="1866"/>
      <c r="W70" s="1866"/>
      <c r="X70" s="1866"/>
      <c r="Y70" s="1866"/>
      <c r="Z70" s="1866"/>
      <c r="AA70" s="1866"/>
      <c r="AB70" s="1866"/>
      <c r="AC70" s="1866"/>
    </row>
    <row r="71" spans="1:29" s="1207" customFormat="1" ht="15">
      <c r="A71" s="2183" t="s">
        <v>1814</v>
      </c>
      <c r="B71" s="2184"/>
      <c r="C71" s="2274" t="str">
        <f>YEAR(C69)&amp;"-"&amp;ROUNDUP(MONTH(C69)/3,0)</f>
        <v>2023-4</v>
      </c>
      <c r="D71" s="2279" t="str">
        <f>YEAR(D69)&amp;"-"&amp;ROUNDUP(MONTH(D69)/3,0)</f>
        <v>2023-3</v>
      </c>
      <c r="E71" s="2279" t="str">
        <f t="shared" ref="E71:N71" si="18">YEAR(E69)&amp;"-"&amp;ROUNDUP(MONTH(E69)/3,0)</f>
        <v>2023-2</v>
      </c>
      <c r="F71" s="2279" t="str">
        <f t="shared" si="18"/>
        <v>2023-1</v>
      </c>
      <c r="G71" s="2279" t="str">
        <f t="shared" si="18"/>
        <v>2022-4</v>
      </c>
      <c r="H71" s="2279" t="str">
        <f t="shared" si="18"/>
        <v>2022-3</v>
      </c>
      <c r="I71" s="2279" t="str">
        <f t="shared" si="18"/>
        <v>2022-2</v>
      </c>
      <c r="J71" s="2279" t="str">
        <f t="shared" si="18"/>
        <v>2022-1</v>
      </c>
      <c r="K71" s="2279" t="str">
        <f t="shared" si="18"/>
        <v>2021-4</v>
      </c>
      <c r="L71" s="2279" t="str">
        <f t="shared" si="18"/>
        <v>2021-3</v>
      </c>
      <c r="M71" s="2279" t="str">
        <f t="shared" si="18"/>
        <v>2021-2</v>
      </c>
      <c r="N71" s="2279" t="str">
        <f t="shared" si="18"/>
        <v>2021-1</v>
      </c>
      <c r="O71" s="1879"/>
      <c r="P71" s="1880"/>
      <c r="Q71" s="1881"/>
      <c r="R71" s="1881"/>
      <c r="S71" s="1881"/>
      <c r="T71" s="1881"/>
      <c r="U71" s="1881"/>
      <c r="V71" s="1881"/>
      <c r="W71" s="1881"/>
      <c r="X71" s="1881"/>
      <c r="Y71" s="1881"/>
      <c r="Z71" s="1881"/>
      <c r="AA71" s="1881"/>
      <c r="AB71" s="1881"/>
      <c r="AC71" s="1881"/>
    </row>
    <row r="72" spans="1:29" s="1118" customFormat="1" ht="27" customHeight="1">
      <c r="A72" s="2284" t="s">
        <v>1928</v>
      </c>
      <c r="B72" s="465" t="str">
        <f>"北京市平均增长率"&amp;TEXT(SUMIF(基准地价!N25:N29,A72,基准地价!P25:P29),"0.00%")</f>
        <v>北京市平均增长率0.00%</v>
      </c>
      <c r="C72" s="857">
        <v>100</v>
      </c>
      <c r="D72" s="3698">
        <f>C72-$C$73</f>
        <v>99.8</v>
      </c>
      <c r="E72" s="3698">
        <f t="shared" ref="E72:N72" si="19">D72-$C$73</f>
        <v>99.6</v>
      </c>
      <c r="F72" s="3698">
        <f t="shared" si="19"/>
        <v>99.399999999999991</v>
      </c>
      <c r="G72" s="3698">
        <f t="shared" si="19"/>
        <v>99.199999999999989</v>
      </c>
      <c r="H72" s="3698">
        <f t="shared" si="19"/>
        <v>98.999999999999986</v>
      </c>
      <c r="I72" s="3698">
        <f t="shared" si="19"/>
        <v>98.799999999999983</v>
      </c>
      <c r="J72" s="3698">
        <f t="shared" si="19"/>
        <v>98.59999999999998</v>
      </c>
      <c r="K72" s="3698">
        <f t="shared" si="19"/>
        <v>98.399999999999977</v>
      </c>
      <c r="L72" s="3698">
        <f t="shared" si="19"/>
        <v>98.199999999999974</v>
      </c>
      <c r="M72" s="3698">
        <f t="shared" si="19"/>
        <v>97.999999999999972</v>
      </c>
      <c r="N72" s="3698">
        <f t="shared" si="19"/>
        <v>97.799999999999969</v>
      </c>
      <c r="O72" s="1882"/>
      <c r="P72" s="1878"/>
      <c r="Q72" s="1744"/>
      <c r="R72" s="1744"/>
      <c r="S72" s="1744"/>
      <c r="T72" s="1744"/>
      <c r="U72" s="1744"/>
      <c r="V72" s="1744"/>
      <c r="W72" s="1744"/>
      <c r="X72" s="1744"/>
      <c r="Y72" s="1744"/>
      <c r="Z72" s="1744"/>
      <c r="AA72" s="1744"/>
      <c r="AB72" s="1744"/>
      <c r="AC72" s="1744"/>
    </row>
    <row r="73" spans="1:29" s="1118" customFormat="1" ht="15" customHeight="1" thickBot="1">
      <c r="A73" s="2275" t="s">
        <v>1927</v>
      </c>
      <c r="B73" s="2283"/>
      <c r="C73" s="3697">
        <v>0.2</v>
      </c>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8"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8"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42.75">
      <c r="A76" s="632" t="s">
        <v>525</v>
      </c>
      <c r="B76" s="633" t="s">
        <v>483</v>
      </c>
      <c r="C76" s="568" t="str">
        <f>土地案例!I15</f>
        <v xml:space="preserve"> F3其它类多功能用地</v>
      </c>
      <c r="D76" s="568" t="str">
        <f>土地案例!I4</f>
        <v xml:space="preserve"> B4综合性商业金融服务业用地</v>
      </c>
      <c r="E76" s="568" t="str">
        <f>土地案例!I10</f>
        <v xml:space="preserve"> B2商务用地</v>
      </c>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105</v>
      </c>
      <c r="E77" s="639">
        <v>105</v>
      </c>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0（含）-1.5</v>
      </c>
      <c r="D80" s="650" t="str">
        <f t="shared" ref="D80:L80" si="20">D81&amp;"（含）"&amp;"-"&amp;E81</f>
        <v>1.5（含）-3</v>
      </c>
      <c r="E80" s="650" t="str">
        <f t="shared" si="20"/>
        <v>3（含）-4.5</v>
      </c>
      <c r="F80" s="650" t="str">
        <f t="shared" si="20"/>
        <v>4.5（含）-6</v>
      </c>
      <c r="G80" s="650" t="str">
        <f t="shared" si="20"/>
        <v>6（含）-7.5</v>
      </c>
      <c r="H80" s="650" t="str">
        <f t="shared" si="20"/>
        <v>7.5（含）-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f>C81+1.5</f>
        <v>1.5</v>
      </c>
      <c r="E81" s="511">
        <f t="shared" ref="E81:H81" si="21">D81+1.5</f>
        <v>3</v>
      </c>
      <c r="F81" s="511">
        <f t="shared" si="21"/>
        <v>4.5</v>
      </c>
      <c r="G81" s="511">
        <f t="shared" si="21"/>
        <v>6</v>
      </c>
      <c r="H81" s="511">
        <f t="shared" si="21"/>
        <v>7.5</v>
      </c>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2">IF($B$48="单位面积地价",C82+$K13,C82-$K13)</f>
        <v>98</v>
      </c>
      <c r="E82" s="647">
        <f t="shared" si="22"/>
        <v>96</v>
      </c>
      <c r="F82" s="647">
        <f t="shared" si="22"/>
        <v>94</v>
      </c>
      <c r="G82" s="647">
        <f t="shared" si="22"/>
        <v>92</v>
      </c>
      <c r="H82" s="647">
        <f t="shared" si="22"/>
        <v>90</v>
      </c>
      <c r="I82" s="647">
        <f t="shared" si="22"/>
        <v>88</v>
      </c>
      <c r="J82" s="647">
        <f t="shared" si="22"/>
        <v>86</v>
      </c>
      <c r="K82" s="647">
        <f t="shared" si="22"/>
        <v>84</v>
      </c>
      <c r="L82" s="647">
        <f t="shared" si="22"/>
        <v>82</v>
      </c>
      <c r="M82" s="647">
        <f t="shared" si="22"/>
        <v>80</v>
      </c>
      <c r="N82" s="1886"/>
      <c r="O82" s="1886"/>
      <c r="P82" s="1885"/>
      <c r="Q82" s="1878"/>
      <c r="R82" s="1866"/>
      <c r="S82" s="1866"/>
      <c r="T82" s="1866"/>
      <c r="U82" s="1866"/>
      <c r="V82" s="1866"/>
      <c r="W82" s="1866"/>
      <c r="X82" s="1866"/>
      <c r="Y82" s="1866"/>
      <c r="Z82" s="1866"/>
      <c r="AA82" s="1866"/>
      <c r="AB82" s="1866"/>
      <c r="AC82" s="1866"/>
    </row>
    <row r="83" spans="1:29" s="1200" customFormat="1" ht="15.75" thickTop="1">
      <c r="A83" s="655"/>
      <c r="B83" s="641" t="str">
        <f>B14</f>
        <v>配建</v>
      </c>
      <c r="C83" s="656"/>
      <c r="D83" s="1233"/>
      <c r="E83" s="1234"/>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200"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200"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200"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200"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200"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97</v>
      </c>
      <c r="E92" s="647">
        <f>D92-$K19</f>
        <v>94</v>
      </c>
      <c r="F92" s="647">
        <f>E92-$K19</f>
        <v>91</v>
      </c>
      <c r="G92" s="647">
        <f>F92-$K19</f>
        <v>88</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8" customFormat="1" ht="15.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200" customFormat="1" ht="15.75" thickTop="1">
      <c r="A101" s="655"/>
      <c r="B101" s="1650" t="s">
        <v>1830</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200" customFormat="1" ht="15.75" thickTop="1">
      <c r="A103" s="655"/>
      <c r="B103" s="2203" t="s">
        <v>1832</v>
      </c>
      <c r="C103" s="2204" t="s">
        <v>1833</v>
      </c>
      <c r="D103" s="2204" t="s">
        <v>1834</v>
      </c>
      <c r="E103" s="2204" t="s">
        <v>1835</v>
      </c>
      <c r="F103" s="2204" t="s">
        <v>1836</v>
      </c>
      <c r="G103" s="2204" t="s">
        <v>1837</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3">C106-$K33</f>
        <v>100</v>
      </c>
      <c r="E106" s="647">
        <f t="shared" si="23"/>
        <v>100</v>
      </c>
      <c r="F106" s="647">
        <f t="shared" si="23"/>
        <v>100</v>
      </c>
      <c r="G106" s="647">
        <f t="shared" si="23"/>
        <v>100</v>
      </c>
      <c r="H106" s="647">
        <f t="shared" si="23"/>
        <v>100</v>
      </c>
      <c r="I106" s="647">
        <f t="shared" si="23"/>
        <v>100</v>
      </c>
      <c r="J106" s="647">
        <f t="shared" si="23"/>
        <v>100</v>
      </c>
      <c r="K106" s="647">
        <f t="shared" si="23"/>
        <v>100</v>
      </c>
      <c r="L106" s="647">
        <f t="shared" si="23"/>
        <v>100</v>
      </c>
      <c r="M106" s="647">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4">C108-$K34</f>
        <v>100</v>
      </c>
      <c r="E108" s="647">
        <f t="shared" si="24"/>
        <v>100</v>
      </c>
      <c r="F108" s="647">
        <f t="shared" si="24"/>
        <v>100</v>
      </c>
      <c r="G108" s="647">
        <f t="shared" si="24"/>
        <v>100</v>
      </c>
      <c r="H108" s="647">
        <f t="shared" si="24"/>
        <v>100</v>
      </c>
      <c r="I108" s="647">
        <f t="shared" si="24"/>
        <v>100</v>
      </c>
      <c r="J108" s="647">
        <f t="shared" si="24"/>
        <v>100</v>
      </c>
      <c r="K108" s="647">
        <f t="shared" si="24"/>
        <v>100</v>
      </c>
      <c r="L108" s="647">
        <f t="shared" si="24"/>
        <v>100</v>
      </c>
      <c r="M108" s="647">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5">C110-$K36</f>
        <v>100</v>
      </c>
      <c r="E110" s="647">
        <f t="shared" si="25"/>
        <v>100</v>
      </c>
      <c r="F110" s="647">
        <f t="shared" si="25"/>
        <v>100</v>
      </c>
      <c r="G110" s="647">
        <f t="shared" si="25"/>
        <v>100</v>
      </c>
      <c r="H110" s="647">
        <f t="shared" si="25"/>
        <v>100</v>
      </c>
      <c r="I110" s="647">
        <f t="shared" si="25"/>
        <v>100</v>
      </c>
      <c r="J110" s="647">
        <f t="shared" si="25"/>
        <v>100</v>
      </c>
      <c r="K110" s="647">
        <f t="shared" si="25"/>
        <v>100</v>
      </c>
      <c r="L110" s="647">
        <f t="shared" si="25"/>
        <v>100</v>
      </c>
      <c r="M110" s="647">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200"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200"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6">C118&amp;"(含)"&amp;"-"&amp;D118</f>
        <v>0(含)-20000</v>
      </c>
      <c r="D117" s="672" t="str">
        <f t="shared" si="26"/>
        <v>20000(含)-40000</v>
      </c>
      <c r="E117" s="672" t="str">
        <f t="shared" si="26"/>
        <v>40000(含)-60000</v>
      </c>
      <c r="F117" s="672" t="str">
        <f t="shared" si="26"/>
        <v>60000(含)-80000</v>
      </c>
      <c r="G117" s="672" t="str">
        <f t="shared" si="26"/>
        <v>80000(含)-100000</v>
      </c>
      <c r="H117" s="672" t="str">
        <f t="shared" si="26"/>
        <v>100000(含)-</v>
      </c>
      <c r="I117" s="672" t="str">
        <f t="shared" si="26"/>
        <v>(含)-</v>
      </c>
      <c r="J117" s="2534" t="str">
        <f t="shared" si="26"/>
        <v>(含)-</v>
      </c>
      <c r="K117" s="2534" t="str">
        <f t="shared" si="26"/>
        <v>(含)-</v>
      </c>
      <c r="L117" s="2535" t="str">
        <f t="shared" si="26"/>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f>C118+20000</f>
        <v>20000</v>
      </c>
      <c r="E118" s="698">
        <f t="shared" ref="E118:H118" si="27">D118+20000</f>
        <v>40000</v>
      </c>
      <c r="F118" s="698">
        <f t="shared" si="27"/>
        <v>60000</v>
      </c>
      <c r="G118" s="698">
        <f t="shared" si="27"/>
        <v>80000</v>
      </c>
      <c r="H118" s="698">
        <f t="shared" si="27"/>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C119+$N$119</f>
        <v>101</v>
      </c>
      <c r="E119" s="694">
        <f t="shared" ref="E119:H119" si="28">D119+$N$119</f>
        <v>102</v>
      </c>
      <c r="F119" s="694">
        <f t="shared" si="28"/>
        <v>103</v>
      </c>
      <c r="G119" s="694">
        <f t="shared" si="28"/>
        <v>104</v>
      </c>
      <c r="H119" s="694">
        <f t="shared" si="28"/>
        <v>105</v>
      </c>
      <c r="I119" s="694"/>
      <c r="J119" s="694"/>
      <c r="K119" s="694"/>
      <c r="L119" s="694"/>
      <c r="M119" s="695"/>
      <c r="N119" s="1886">
        <v>1</v>
      </c>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4" t="s">
        <v>3543</v>
      </c>
      <c r="D120" s="3674" t="s">
        <v>3545</v>
      </c>
      <c r="E120" s="3674" t="s">
        <v>3546</v>
      </c>
      <c r="F120" s="3674" t="s">
        <v>3547</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9">C121-$K41</f>
        <v>99</v>
      </c>
      <c r="E121" s="647">
        <f t="shared" si="29"/>
        <v>98</v>
      </c>
      <c r="F121" s="647">
        <f t="shared" si="29"/>
        <v>97</v>
      </c>
      <c r="G121" s="647">
        <f t="shared" si="29"/>
        <v>96</v>
      </c>
      <c r="H121" s="647">
        <f t="shared" si="29"/>
        <v>95</v>
      </c>
      <c r="I121" s="647">
        <f t="shared" si="29"/>
        <v>94</v>
      </c>
      <c r="J121" s="647">
        <f t="shared" si="29"/>
        <v>93</v>
      </c>
      <c r="K121" s="647">
        <f t="shared" si="29"/>
        <v>92</v>
      </c>
      <c r="L121" s="647">
        <f t="shared" si="29"/>
        <v>91</v>
      </c>
      <c r="M121" s="648">
        <f t="shared" si="29"/>
        <v>90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3" t="s">
        <v>3549</v>
      </c>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30">C123-$K42</f>
        <v>99</v>
      </c>
      <c r="E123" s="647">
        <f t="shared" si="30"/>
        <v>98</v>
      </c>
      <c r="F123" s="647">
        <f t="shared" si="30"/>
        <v>97</v>
      </c>
      <c r="G123" s="647">
        <f t="shared" si="30"/>
        <v>96</v>
      </c>
      <c r="H123" s="647">
        <f t="shared" si="30"/>
        <v>95</v>
      </c>
      <c r="I123" s="647">
        <f t="shared" si="30"/>
        <v>94</v>
      </c>
      <c r="J123" s="647">
        <f t="shared" si="30"/>
        <v>93</v>
      </c>
      <c r="K123" s="647">
        <f t="shared" si="30"/>
        <v>92</v>
      </c>
      <c r="L123" s="647">
        <f t="shared" si="30"/>
        <v>91</v>
      </c>
      <c r="M123" s="648">
        <f t="shared" si="30"/>
        <v>90</v>
      </c>
      <c r="N123" s="1886"/>
      <c r="O123" s="1886"/>
      <c r="P123" s="1885"/>
      <c r="Q123" s="1878"/>
      <c r="R123" s="1866"/>
      <c r="S123" s="1866"/>
      <c r="T123" s="1866"/>
      <c r="U123" s="1866"/>
      <c r="V123" s="1866"/>
      <c r="W123" s="1866"/>
      <c r="X123" s="1866"/>
      <c r="Y123" s="1866"/>
      <c r="Z123" s="1866"/>
      <c r="AA123" s="1866"/>
      <c r="AB123" s="1866"/>
      <c r="AC123" s="1866"/>
    </row>
    <row r="124" spans="1:29" s="1200" customFormat="1" ht="15" thickTop="1">
      <c r="A124" s="696"/>
      <c r="B124" s="1650" t="s">
        <v>1776</v>
      </c>
      <c r="C124" s="3695" t="s">
        <v>1833</v>
      </c>
      <c r="D124" s="3695" t="s">
        <v>1834</v>
      </c>
      <c r="E124" s="3695" t="s">
        <v>1835</v>
      </c>
      <c r="F124" s="3695" t="s">
        <v>1836</v>
      </c>
      <c r="G124" s="3695" t="s">
        <v>1837</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200" customFormat="1" ht="15.75" thickBot="1">
      <c r="A125" s="655"/>
      <c r="B125" s="646"/>
      <c r="C125" s="647">
        <v>100</v>
      </c>
      <c r="D125" s="647">
        <f t="shared" ref="D125:M125" si="31">C125-$K43</f>
        <v>99</v>
      </c>
      <c r="E125" s="647">
        <f t="shared" si="31"/>
        <v>98</v>
      </c>
      <c r="F125" s="647">
        <f t="shared" si="31"/>
        <v>97</v>
      </c>
      <c r="G125" s="647">
        <f t="shared" si="31"/>
        <v>96</v>
      </c>
      <c r="H125" s="647">
        <f t="shared" si="31"/>
        <v>95</v>
      </c>
      <c r="I125" s="647">
        <f t="shared" si="31"/>
        <v>94</v>
      </c>
      <c r="J125" s="647">
        <f t="shared" si="31"/>
        <v>93</v>
      </c>
      <c r="K125" s="647">
        <f t="shared" si="31"/>
        <v>92</v>
      </c>
      <c r="L125" s="647">
        <f t="shared" si="31"/>
        <v>91</v>
      </c>
      <c r="M125" s="648">
        <f t="shared" si="31"/>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3696" t="s">
        <v>527</v>
      </c>
      <c r="D126" s="3696" t="s">
        <v>528</v>
      </c>
      <c r="E126" s="3696" t="s">
        <v>529</v>
      </c>
      <c r="F126" s="3696" t="s">
        <v>530</v>
      </c>
      <c r="G126" s="3696" t="s">
        <v>531</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2">C127-$K44</f>
        <v>99</v>
      </c>
      <c r="E127" s="647">
        <f t="shared" si="32"/>
        <v>98</v>
      </c>
      <c r="F127" s="647">
        <f t="shared" si="32"/>
        <v>97</v>
      </c>
      <c r="G127" s="647">
        <f t="shared" si="32"/>
        <v>96</v>
      </c>
      <c r="H127" s="647">
        <f t="shared" si="32"/>
        <v>95</v>
      </c>
      <c r="I127" s="647">
        <f t="shared" si="32"/>
        <v>94</v>
      </c>
      <c r="J127" s="647">
        <f t="shared" si="32"/>
        <v>93</v>
      </c>
      <c r="K127" s="647">
        <f t="shared" si="32"/>
        <v>92</v>
      </c>
      <c r="L127" s="647">
        <f t="shared" si="32"/>
        <v>91</v>
      </c>
      <c r="M127" s="648">
        <f t="shared" si="32"/>
        <v>90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200"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200"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9"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9"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9"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9"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9"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9"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9"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9"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9"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9"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9"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9"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9"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9"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9"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9"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9"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9"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9"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9"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9"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9"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9"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9"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9"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9"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9"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9"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9"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9"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9"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9"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9"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9"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9"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9"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9"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9"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9"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9"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9"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9"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9"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9"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9"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9"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9"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9"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9"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9"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9"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9"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9"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9"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9"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9"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9"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9"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9"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9"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9"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9"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9"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9"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9"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9"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9"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9"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9"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9"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9"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9"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9"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9"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9"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9"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9"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9"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9"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9"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9"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9"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9"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9"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9"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9"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9"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9"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9"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9"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9"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9"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9"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9"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9"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9"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9"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9"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9"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9"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9"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9"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9"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9"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9"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9"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9"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9"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9"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9"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9"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9"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9"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9"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9"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9"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9"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9"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9"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9"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9"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7" priority="18" stopIfTrue="1" operator="containsText" text="超过">
      <formula>NOT(ISERROR(SEARCH("超过",F53)))</formula>
    </cfRule>
  </conditionalFormatting>
  <conditionalFormatting sqref="J55">
    <cfRule type="containsText" dxfId="186" priority="17" stopIfTrue="1" operator="containsText" text="超过">
      <formula>NOT(ISERROR(SEARCH("超过",J55)))</formula>
    </cfRule>
  </conditionalFormatting>
  <conditionalFormatting sqref="H55">
    <cfRule type="containsText" dxfId="185" priority="16" stopIfTrue="1" operator="containsText" text="超过">
      <formula>NOT(ISERROR(SEARCH("超过",H55)))</formula>
    </cfRule>
  </conditionalFormatting>
  <conditionalFormatting sqref="F55">
    <cfRule type="containsText" dxfId="184" priority="15" stopIfTrue="1" operator="containsText" text="超过">
      <formula>NOT(ISERROR(SEARCH("超过",F55)))</formula>
    </cfRule>
  </conditionalFormatting>
  <conditionalFormatting sqref="F54 H54 J54">
    <cfRule type="containsText" dxfId="183" priority="14" stopIfTrue="1" operator="containsText" text="超过">
      <formula>NOT(ISERROR(SEARCH("超过",F54)))</formula>
    </cfRule>
  </conditionalFormatting>
  <conditionalFormatting sqref="E53">
    <cfRule type="expression" dxfId="182" priority="13" stopIfTrue="1">
      <formula>$F$53="超过30%"</formula>
    </cfRule>
  </conditionalFormatting>
  <conditionalFormatting sqref="G55">
    <cfRule type="expression" dxfId="181" priority="12" stopIfTrue="1">
      <formula>$H$55="超过30%"</formula>
    </cfRule>
  </conditionalFormatting>
  <conditionalFormatting sqref="E54">
    <cfRule type="expression" dxfId="180" priority="11" stopIfTrue="1">
      <formula>$F$54="超过20%"</formula>
    </cfRule>
  </conditionalFormatting>
  <conditionalFormatting sqref="E55">
    <cfRule type="expression" dxfId="179" priority="10" stopIfTrue="1">
      <formula>$F$55="超过30%"</formula>
    </cfRule>
  </conditionalFormatting>
  <conditionalFormatting sqref="G53">
    <cfRule type="expression" dxfId="178" priority="9" stopIfTrue="1">
      <formula>$H$55+$H$53="超过30%"</formula>
    </cfRule>
  </conditionalFormatting>
  <conditionalFormatting sqref="G54">
    <cfRule type="expression" dxfId="177" priority="8" stopIfTrue="1">
      <formula>$H$54="超过20%"</formula>
    </cfRule>
  </conditionalFormatting>
  <conditionalFormatting sqref="I53">
    <cfRule type="expression" dxfId="176" priority="7" stopIfTrue="1">
      <formula>$J$53="超过30%"</formula>
    </cfRule>
  </conditionalFormatting>
  <conditionalFormatting sqref="I54">
    <cfRule type="expression" dxfId="175" priority="6" stopIfTrue="1">
      <formula>$J$54="超过20%"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9:F47 H9:H47 J9:J47">
    <cfRule type="cellIs" dxfId="17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19" t="str">
        <f>项目基本情况!B1</f>
        <v>北京市通州区梨园镇东小马土地一级开发项目出让国有建设用地使用权市场价格预评估</v>
      </c>
      <c r="C37" s="3719"/>
      <c r="D37" s="3719"/>
      <c r="E37" s="3719"/>
      <c r="F37" s="3719"/>
      <c r="G37" s="3719"/>
      <c r="H37" s="3719"/>
      <c r="I37" s="3719"/>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吴薇、崔锴</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Normal="80" zoomScaleSheetLayoutView="100" workbookViewId="0">
      <selection activeCell="D13" sqref="D13"/>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8</v>
      </c>
      <c r="L1" s="283"/>
      <c r="M1" s="283"/>
      <c r="N1" s="283"/>
      <c r="O1" s="283"/>
      <c r="P1" s="283"/>
      <c r="Q1" s="283"/>
      <c r="R1" s="283"/>
      <c r="S1" s="283"/>
      <c r="T1" s="283"/>
      <c r="U1" s="283"/>
      <c r="V1" s="283"/>
      <c r="W1" s="283"/>
      <c r="X1" s="283"/>
      <c r="Y1" s="283"/>
      <c r="Z1" s="283"/>
    </row>
    <row r="2" spans="1:31" s="1763" customFormat="1" ht="18" customHeight="1">
      <c r="A2" s="1822" t="s">
        <v>427</v>
      </c>
      <c r="B2" s="1826">
        <f ca="1">C36</f>
        <v>7880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1720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4887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326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37691</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t="s">
        <v>3597</v>
      </c>
      <c r="D7" s="423" t="s">
        <v>2737</v>
      </c>
      <c r="E7" s="423"/>
      <c r="F7" s="423"/>
      <c r="G7" s="423"/>
      <c r="H7" s="423"/>
      <c r="I7" s="423"/>
      <c r="J7" s="423"/>
      <c r="K7" s="424"/>
      <c r="AA7" s="1833"/>
      <c r="AB7" s="1833"/>
      <c r="AC7" s="1833"/>
      <c r="AD7" s="1833"/>
      <c r="AE7" s="1833"/>
    </row>
    <row r="8" spans="1:31" s="1836" customFormat="1" ht="13.5" customHeight="1">
      <c r="A8" s="769" t="s">
        <v>1374</v>
      </c>
      <c r="B8" s="252" t="s">
        <v>432</v>
      </c>
      <c r="C8" s="2312">
        <f ca="1">'不动产收益法-商业'!B3</f>
        <v>10903</v>
      </c>
      <c r="D8" s="2312"/>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34569.840000000011</v>
      </c>
      <c r="D9" s="428">
        <f>SUMIF('数据-汇总表'!$C19:$C33,'剩余法-待开发'!D7,'数据-汇总表'!$E19:$E33)</f>
        <v>5960.87</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499">
        <f ca="1">'不动产收益法-商业'!B2</f>
        <v>37691</v>
      </c>
      <c r="D10" s="2499"/>
      <c r="E10" s="2499"/>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19490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585</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916</v>
      </c>
      <c r="D16" s="2322">
        <f ca="1">IF(B1="",'数据-汇总表'!E3,INDIRECT("'数据-取费表'!K"&amp;$K$1)+INDIRECT("'数据-取费表'!S"&amp;$K$1))</f>
        <v>45811.100000000013</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292</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21283</v>
      </c>
      <c r="D18" s="2331"/>
      <c r="E18" s="454"/>
      <c r="F18" s="454"/>
      <c r="G18" s="2294" t="s">
        <v>1780</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45811.100000000013</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916</v>
      </c>
      <c r="D20" s="2332"/>
      <c r="E20" s="2286"/>
      <c r="F20" s="2333"/>
      <c r="G20" s="2530" t="s">
        <v>3314</v>
      </c>
      <c r="H20" s="2288">
        <v>0</v>
      </c>
      <c r="I20" s="2289" t="s">
        <v>1932</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916</v>
      </c>
      <c r="D22" s="2322">
        <f ca="1">IF(B1="",'数据-汇总表'!E6,IF(INDIRECT("'数据-取费表'!c"&amp;$K$1)="住宅",INDIRECT("'数据-取费表'!s"&amp;$K$1),INDIRECT("'数据-取费表'!k"&amp;$K$1)+INDIRECT("'数据-取费表'!s"&amp;$K$1)))</f>
        <v>45811.100000000013</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3" t="s">
        <v>2108</v>
      </c>
      <c r="C23" s="2330">
        <f ca="1">ROUND((C18+C19+C20)*F23,0)</f>
        <v>444</v>
      </c>
      <c r="D23" s="454"/>
      <c r="E23" s="454"/>
      <c r="F23" s="2334">
        <f>'数据-取费表'!B37</f>
        <v>0.02</v>
      </c>
      <c r="G23" s="2290" t="s">
        <v>1781</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3" t="s">
        <v>2111</v>
      </c>
      <c r="C24" s="2330">
        <f ca="1">ROUND(C6*F24,0)</f>
        <v>754</v>
      </c>
      <c r="D24" s="461"/>
      <c r="E24" s="459"/>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3" t="s">
        <v>2109</v>
      </c>
      <c r="C25" s="453">
        <f>ROUND(F25/(1+'数据-取费表'!C42),4)</f>
        <v>2.9000000000000001E-2</v>
      </c>
      <c r="D25" s="448" t="s">
        <v>2104</v>
      </c>
      <c r="E25" s="455"/>
      <c r="F25" s="2334">
        <f>IF(项目基本情况!B8="出让",0,'数据-取费表'!B48+'数据-取费表'!B49)</f>
        <v>3.0499999999999999E-2</v>
      </c>
      <c r="G25" s="2298" t="s">
        <v>1646</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4" t="s">
        <v>2110</v>
      </c>
      <c r="C26" s="2335">
        <f ca="1">C28</f>
        <v>807</v>
      </c>
      <c r="D26" s="453">
        <f ca="1">C27</f>
        <v>7.22E-2</v>
      </c>
      <c r="E26" s="455" t="s">
        <v>455</v>
      </c>
      <c r="F26" s="457">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9" t="s">
        <v>1385</v>
      </c>
      <c r="B27" s="2336" t="s">
        <v>456</v>
      </c>
      <c r="C27" s="2337">
        <f ca="1">ROUND(IF('数据-取费表'!B22&lt;=1,(1+C25)*F26*'数据-取费表'!B24,(1+C25)*(POWER((1+F26),'数据-取费表'!B24)-1)),4)</f>
        <v>7.22E-2</v>
      </c>
      <c r="D27" s="458"/>
      <c r="E27" s="459"/>
      <c r="F27" s="460"/>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9" t="s">
        <v>1386</v>
      </c>
      <c r="B28" s="2336" t="s">
        <v>2112</v>
      </c>
      <c r="C28" s="2338">
        <f ca="1">ROUND(IF('数据-取费表'!B22&lt;=1,(C18+C19+C20+C23+C24)*F26*'数据-取费表'!B24/2,(C18+C19+C20+C23+C24)*(POWER((1+F26),'数据-取费表'!B24/2)-1)),0)</f>
        <v>807</v>
      </c>
      <c r="D28" s="458"/>
      <c r="E28" s="459"/>
      <c r="F28" s="460"/>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 ca="1">ROUND(C6*F29/(1+'数据-取费表'!C42),0)</f>
        <v>1974</v>
      </c>
      <c r="D29" s="454"/>
      <c r="E29" s="454"/>
      <c r="F29" s="2505">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1" t="s">
        <v>1392</v>
      </c>
      <c r="B30" s="2340" t="s">
        <v>460</v>
      </c>
      <c r="C30" s="2335">
        <f ca="1">C31</f>
        <v>26178</v>
      </c>
      <c r="D30" s="463">
        <f ca="1">C32</f>
        <v>0.1012</v>
      </c>
      <c r="E30" s="455" t="s">
        <v>455</v>
      </c>
      <c r="F30" s="457"/>
      <c r="G30" s="2298" t="s">
        <v>2224</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9" t="s">
        <v>1385</v>
      </c>
      <c r="B31" s="2336"/>
      <c r="C31" s="436">
        <f ca="1">C18+C19+C20+C23+C24+C26+C29</f>
        <v>26178</v>
      </c>
      <c r="D31" s="458"/>
      <c r="E31" s="459"/>
      <c r="F31" s="460"/>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9" t="s">
        <v>1386</v>
      </c>
      <c r="B32" s="2336"/>
      <c r="C32" s="51">
        <f ca="1">ROUND(C25+D26,4)</f>
        <v>0.1012</v>
      </c>
      <c r="D32" s="458"/>
      <c r="E32" s="459"/>
      <c r="F32" s="460"/>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2" t="s">
        <v>2107</v>
      </c>
      <c r="B33" s="2500" t="s">
        <v>2105</v>
      </c>
      <c r="C33" s="464">
        <f ca="1">C35</f>
        <v>2106</v>
      </c>
      <c r="D33" s="453">
        <f ca="1">C34</f>
        <v>9.2600000000000002E-2</v>
      </c>
      <c r="E33" s="455" t="s">
        <v>455</v>
      </c>
      <c r="F33" s="465">
        <f ca="1">IF(B1="",'数据-取费表'!Q16,INDIRECT("'数据-取费表'!q"&amp;$K$1))</f>
        <v>0.09</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8">
        <f ca="1">ROUND((1+C25)*F33,4)</f>
        <v>9.2600000000000002E-2</v>
      </c>
      <c r="D34" s="458"/>
      <c r="E34" s="459"/>
      <c r="F34" s="466"/>
      <c r="G34" s="252" t="s">
        <v>1647</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2" t="s">
        <v>1386</v>
      </c>
      <c r="B35" s="2501" t="s">
        <v>2113</v>
      </c>
      <c r="C35" s="1434">
        <f ca="1">ROUND((C18+C19+C20+C23+C24)*F33,0)</f>
        <v>2106</v>
      </c>
      <c r="D35" s="1435"/>
      <c r="E35" s="2342"/>
      <c r="F35" s="1436"/>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7880</v>
      </c>
      <c r="D36" s="2304"/>
      <c r="E36" s="2304"/>
      <c r="F36" s="2304"/>
      <c r="G36" s="2303" t="s">
        <v>2114</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8</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7"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1933</v>
      </c>
      <c r="B6" s="420"/>
      <c r="C6" s="1429">
        <f>SUM(C10:K10)</f>
        <v>0</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52"/>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7"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8" t="s">
        <v>1376</v>
      </c>
      <c r="B10" s="1430" t="s">
        <v>434</v>
      </c>
      <c r="C10" s="1431"/>
      <c r="D10" s="1431"/>
      <c r="E10" s="1431"/>
      <c r="F10" s="1432"/>
      <c r="G10" s="1432"/>
      <c r="H10" s="1432"/>
      <c r="I10" s="1432"/>
      <c r="J10" s="1432"/>
      <c r="K10" s="1433"/>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6" t="s">
        <v>1393</v>
      </c>
      <c r="B11" s="1427"/>
      <c r="C11" s="1427"/>
      <c r="D11" s="1427"/>
      <c r="E11" s="1427"/>
      <c r="F11" s="1427"/>
      <c r="G11" s="1427"/>
      <c r="H11" s="1427"/>
      <c r="I11" s="1427"/>
      <c r="J11" s="1427"/>
      <c r="K11" s="1428"/>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9" t="s">
        <v>1377</v>
      </c>
      <c r="B13" s="435" t="s">
        <v>439</v>
      </c>
      <c r="C13" s="436">
        <f ca="1">IF(B1="",'数据-取费表'!M16,INDIRECT("'数据-取费表'!M"&amp;$K$1)+INDIRECT("'数据-取费表'!t"&amp;$K$1))</f>
        <v>19490</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9" t="s">
        <v>1378</v>
      </c>
      <c r="B14" s="435" t="s">
        <v>440</v>
      </c>
      <c r="C14" s="51">
        <f ca="1">ROUND(C13*F14,0)</f>
        <v>585</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9" t="s">
        <v>1380</v>
      </c>
      <c r="B16" s="435" t="s">
        <v>444</v>
      </c>
      <c r="C16" s="51">
        <f ca="1">ROUND(D16*E16/10000,0)</f>
        <v>916</v>
      </c>
      <c r="D16" s="437">
        <f ca="1">IF(B1="",'数据-汇总表'!E3,INDIRECT("'数据-取费表'!K"&amp;$K$1)+INDIRECT("'数据-取费表'!S"&amp;$K$1))</f>
        <v>45811.100000000013</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9" t="s">
        <v>1381</v>
      </c>
      <c r="B17" s="435" t="s">
        <v>445</v>
      </c>
      <c r="C17" s="440">
        <f ca="1">ROUND(C13*F17,0)</f>
        <v>292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40" t="s">
        <v>1382</v>
      </c>
      <c r="B18" s="445" t="s">
        <v>447</v>
      </c>
      <c r="C18" s="446">
        <f ca="1">SUM(C13:C17)</f>
        <v>21283</v>
      </c>
      <c r="D18" s="447"/>
      <c r="E18" s="448"/>
      <c r="F18" s="448"/>
      <c r="G18" s="1195" t="s">
        <v>1782</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40" t="s">
        <v>1383</v>
      </c>
      <c r="B19" s="445" t="s">
        <v>453</v>
      </c>
      <c r="C19" s="446">
        <f ca="1">ROUND(C18*F19,0)</f>
        <v>426</v>
      </c>
      <c r="D19" s="447"/>
      <c r="E19" s="448"/>
      <c r="F19" s="452">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40" t="s">
        <v>1384</v>
      </c>
      <c r="B20" s="447" t="s">
        <v>454</v>
      </c>
      <c r="C20" s="456">
        <f ca="1">ROUND(IF('数据-取费表'!B22&lt;=1,(C18+C19)*F20*'数据-取费表'!B20/2,(C18+C19)*(POWER((1+F20),'数据-取费表'!B20/2)-1)),0)</f>
        <v>749</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1799</v>
      </c>
      <c r="M20" s="2947"/>
      <c r="N20" s="2947"/>
      <c r="O20" s="2947"/>
      <c r="P20" s="2947"/>
      <c r="Q20" s="2940"/>
      <c r="R20" s="2940"/>
      <c r="S20" s="2940"/>
      <c r="T20" s="2940"/>
      <c r="U20" s="2940"/>
      <c r="V20" s="2940"/>
      <c r="W20" s="2940"/>
      <c r="X20" s="2940"/>
      <c r="Y20" s="2940"/>
      <c r="Z20" s="2940"/>
    </row>
    <row r="21" spans="1:26" s="1841" customFormat="1" ht="13.5" customHeight="1">
      <c r="A21" s="1440" t="s">
        <v>2293</v>
      </c>
      <c r="B21" s="2500" t="s">
        <v>2106</v>
      </c>
      <c r="C21" s="464">
        <f ca="1">ROUND((C18+C19)*F21,0)</f>
        <v>1954</v>
      </c>
      <c r="D21" s="3024"/>
      <c r="E21" s="448"/>
      <c r="F21" s="465">
        <f ca="1">IF(B1="",'数据-取费表'!Q16,INDIRECT("'数据-取费表'!q"&amp;$K$1))</f>
        <v>0.09</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40" t="s">
        <v>1388</v>
      </c>
      <c r="B22" s="462" t="s">
        <v>464</v>
      </c>
      <c r="C22" s="469"/>
      <c r="D22" s="469"/>
      <c r="E22" s="470"/>
      <c r="F22" s="3026">
        <f ca="1">IF(B1="",'数据-取费表'!N16,INDIRECT("'数据-取费表'!N"&amp;$K$1))</f>
        <v>0</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2294</v>
      </c>
      <c r="C23" s="3029">
        <f ca="1">ROUND((C18+C19+C20+C21)*F22,0)</f>
        <v>0</v>
      </c>
      <c r="D23" s="3030"/>
      <c r="E23" s="3031"/>
      <c r="F23" s="471"/>
      <c r="G23" s="422"/>
      <c r="H23" s="3032"/>
      <c r="I23" s="3032"/>
      <c r="J23" s="3032"/>
      <c r="K23" s="3033"/>
      <c r="L23" s="2940"/>
      <c r="M23" s="2940"/>
      <c r="N23" s="2940"/>
      <c r="O23" s="2940"/>
      <c r="P23" s="2940"/>
      <c r="Q23" s="2940"/>
      <c r="R23" s="2940"/>
      <c r="S23" s="2940"/>
      <c r="T23" s="2940"/>
      <c r="U23" s="2940"/>
      <c r="V23" s="2940"/>
      <c r="W23" s="2940"/>
      <c r="X23" s="2940"/>
      <c r="Y23" s="2940"/>
      <c r="Z23" s="2940"/>
    </row>
    <row r="24" spans="1:26" s="1842" customFormat="1" ht="13.5" customHeight="1" thickBot="1">
      <c r="A24" s="3930" t="s">
        <v>1394</v>
      </c>
      <c r="B24" s="3931"/>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2" customFormat="1" ht="13.5" customHeight="1" thickBot="1">
      <c r="A25" s="3930" t="s">
        <v>2291</v>
      </c>
      <c r="B25" s="3931"/>
      <c r="C25" s="3034">
        <f>ROUND(C6*F25,0)</f>
        <v>0</v>
      </c>
      <c r="D25" s="3035"/>
      <c r="E25" s="3036"/>
      <c r="F25" s="3040">
        <f>'数据-取费表'!B38</f>
        <v>0.02</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7" customFormat="1" ht="13.5" customHeight="1" thickBot="1">
      <c r="A26" s="3930" t="s">
        <v>2292</v>
      </c>
      <c r="B26" s="3931"/>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932" t="s">
        <v>2290</v>
      </c>
      <c r="B27" s="3933"/>
      <c r="C27" s="3042">
        <f ca="1">(C6-C23-C24-C25)/((1+F26)*(1+D20+F21))</f>
        <v>0</v>
      </c>
      <c r="D27" s="3043"/>
      <c r="E27" s="3043"/>
      <c r="F27" s="3043"/>
      <c r="G27" s="3044" t="s">
        <v>2225</v>
      </c>
      <c r="H27" s="3043"/>
      <c r="I27" s="3043"/>
      <c r="J27" s="3043"/>
      <c r="K27" s="3045"/>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478" t="e">
        <f>F62</f>
        <v>#DIV/0!</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c r="A3" s="1238" t="s">
        <v>1218</v>
      </c>
      <c r="B3" s="480" t="e">
        <f>ROUND(B2*10000/'数据-汇总表'!E3,0)</f>
        <v>#DIV/0!</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7" customFormat="1" ht="28.5" customHeight="1">
      <c r="A4" s="481" t="s">
        <v>469</v>
      </c>
      <c r="B4" s="414" t="e">
        <f>IF(B43="单位面积地价",C45,ROUND(B2*10000/'数据-汇总表'!D3,0))</f>
        <v>#DIV/0!</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7"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2" t="s">
        <v>470</v>
      </c>
      <c r="B6" s="483"/>
      <c r="C6" s="3913" t="s">
        <v>471</v>
      </c>
      <c r="D6" s="3914"/>
      <c r="E6" s="3939" t="s">
        <v>472</v>
      </c>
      <c r="F6" s="3940"/>
      <c r="G6" s="3913" t="s">
        <v>473</v>
      </c>
      <c r="H6" s="3914"/>
      <c r="I6" s="3913" t="s">
        <v>474</v>
      </c>
      <c r="J6" s="3914"/>
      <c r="K6" s="484" t="s">
        <v>475</v>
      </c>
      <c r="L6" s="1854"/>
      <c r="M6" s="1855"/>
      <c r="N6" s="1855"/>
      <c r="O6" s="1855"/>
      <c r="P6" s="3915" t="s">
        <v>476</v>
      </c>
      <c r="Q6" s="3916"/>
      <c r="R6" s="3899" t="s">
        <v>472</v>
      </c>
      <c r="S6" s="3900"/>
      <c r="T6" s="3899" t="s">
        <v>473</v>
      </c>
      <c r="U6" s="3900"/>
      <c r="V6" s="3921" t="s">
        <v>474</v>
      </c>
      <c r="W6" s="3921"/>
      <c r="X6" s="1379"/>
      <c r="Y6" s="3899" t="s">
        <v>476</v>
      </c>
      <c r="Z6" s="3900"/>
      <c r="AA6" s="3894" t="s">
        <v>472</v>
      </c>
      <c r="AB6" s="3895" t="s">
        <v>473</v>
      </c>
      <c r="AC6" s="3894" t="s">
        <v>474</v>
      </c>
    </row>
    <row r="7" spans="1:29" ht="15">
      <c r="A7" s="485"/>
      <c r="B7" s="486"/>
      <c r="C7" s="3924" t="s">
        <v>2186</v>
      </c>
      <c r="D7" s="3925"/>
      <c r="E7" s="3941" t="s">
        <v>2187</v>
      </c>
      <c r="F7" s="3942"/>
      <c r="G7" s="3924" t="s">
        <v>2188</v>
      </c>
      <c r="H7" s="3925"/>
      <c r="I7" s="3924" t="s">
        <v>2189</v>
      </c>
      <c r="J7" s="3925"/>
      <c r="K7" s="484"/>
      <c r="L7" s="1854"/>
      <c r="M7" s="1855"/>
      <c r="N7" s="1855"/>
      <c r="O7" s="1855"/>
      <c r="P7" s="3917"/>
      <c r="Q7" s="3918"/>
      <c r="R7" s="3901"/>
      <c r="S7" s="3902"/>
      <c r="T7" s="3901"/>
      <c r="U7" s="3902"/>
      <c r="V7" s="3921"/>
      <c r="W7" s="3921"/>
      <c r="X7" s="1379"/>
      <c r="Y7" s="3901"/>
      <c r="Z7" s="3902"/>
      <c r="AA7" s="3895"/>
      <c r="AB7" s="3895"/>
      <c r="AC7" s="3895"/>
    </row>
    <row r="8" spans="1:29" ht="15.75" thickBot="1">
      <c r="A8" s="487"/>
      <c r="B8" s="488"/>
      <c r="C8" s="3922" t="s">
        <v>2190</v>
      </c>
      <c r="D8" s="3923"/>
      <c r="E8" s="3943" t="s">
        <v>2190</v>
      </c>
      <c r="F8" s="3944"/>
      <c r="G8" s="3922" t="s">
        <v>2190</v>
      </c>
      <c r="H8" s="3923"/>
      <c r="I8" s="3922" t="s">
        <v>2190</v>
      </c>
      <c r="J8" s="3923"/>
      <c r="K8" s="484" t="s">
        <v>477</v>
      </c>
      <c r="L8" s="1854"/>
      <c r="M8" s="1855"/>
      <c r="N8" s="1855"/>
      <c r="O8" s="1855"/>
      <c r="P8" s="3919"/>
      <c r="Q8" s="3920"/>
      <c r="R8" s="3901"/>
      <c r="S8" s="3902"/>
      <c r="T8" s="3903"/>
      <c r="U8" s="3904"/>
      <c r="V8" s="3921"/>
      <c r="W8" s="3921"/>
      <c r="X8" s="1379"/>
      <c r="Y8" s="3903"/>
      <c r="Z8" s="3904"/>
      <c r="AA8" s="3896"/>
      <c r="AB8" s="3896"/>
      <c r="AC8" s="3896"/>
    </row>
    <row r="9" spans="1:29" s="1118" customFormat="1" ht="15.75" thickBot="1">
      <c r="A9" s="2390"/>
      <c r="B9" s="2397" t="s">
        <v>478</v>
      </c>
      <c r="C9" s="489">
        <f>'数据-取费表'!B2</f>
        <v>45266</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7" t="s">
        <v>479</v>
      </c>
      <c r="Q9" s="3906"/>
      <c r="R9" s="1380" t="s">
        <v>5</v>
      </c>
      <c r="S9" s="1381">
        <f t="shared" ref="S9:S17" si="0">F9</f>
        <v>0</v>
      </c>
      <c r="T9" s="1380" t="s">
        <v>5</v>
      </c>
      <c r="U9" s="1381">
        <f t="shared" ref="U9:U17" si="1">H9</f>
        <v>0</v>
      </c>
      <c r="V9" s="1380" t="s">
        <v>5</v>
      </c>
      <c r="W9" s="1381">
        <f t="shared" ref="W9:W17" si="2">J9</f>
        <v>0</v>
      </c>
      <c r="X9" s="1382"/>
      <c r="Y9" s="3897" t="s">
        <v>479</v>
      </c>
      <c r="Z9" s="3898"/>
      <c r="AA9" s="1383" t="e">
        <f>D9/F9</f>
        <v>#DIV/0!</v>
      </c>
      <c r="AB9" s="1383" t="e">
        <f>D9/H9</f>
        <v>#DIV/0!</v>
      </c>
      <c r="AC9" s="1383" t="e">
        <f>D9/J9</f>
        <v>#DIV/0!</v>
      </c>
    </row>
    <row r="10" spans="1:29" s="1118"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7" t="s">
        <v>482</v>
      </c>
      <c r="Q10" s="3898"/>
      <c r="R10" s="1380" t="s">
        <v>5</v>
      </c>
      <c r="S10" s="1381">
        <f t="shared" si="0"/>
        <v>0</v>
      </c>
      <c r="T10" s="1380" t="s">
        <v>5</v>
      </c>
      <c r="U10" s="1381">
        <f t="shared" si="1"/>
        <v>0</v>
      </c>
      <c r="V10" s="1380" t="s">
        <v>5</v>
      </c>
      <c r="W10" s="1381">
        <f t="shared" si="2"/>
        <v>0</v>
      </c>
      <c r="X10" s="1382"/>
      <c r="Y10" s="3897" t="s">
        <v>482</v>
      </c>
      <c r="Z10" s="3898"/>
      <c r="AA10" s="1383" t="e">
        <f t="shared" ref="AA10:AA42" si="3">D10/F10</f>
        <v>#DIV/0!</v>
      </c>
      <c r="AB10" s="1383" t="e">
        <f t="shared" ref="AB10:AB42" si="4">D10/H10</f>
        <v>#DIV/0!</v>
      </c>
      <c r="AC10" s="1383" t="e">
        <f t="shared" ref="AC10:AC42" si="5">D10/J10</f>
        <v>#DIV/0!</v>
      </c>
    </row>
    <row r="11" spans="1:29" s="1118" customFormat="1" ht="15">
      <c r="A11" s="2392"/>
      <c r="B11" s="2399" t="s">
        <v>2037</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05" t="s">
        <v>484</v>
      </c>
      <c r="Q11" s="1050" t="str">
        <f t="shared" ref="Q11:Q17" si="6">B11</f>
        <v>用途</v>
      </c>
      <c r="R11" s="1380" t="s">
        <v>5</v>
      </c>
      <c r="S11" s="1381">
        <f t="shared" si="0"/>
        <v>100</v>
      </c>
      <c r="T11" s="1380" t="s">
        <v>5</v>
      </c>
      <c r="U11" s="1381">
        <f t="shared" si="1"/>
        <v>100</v>
      </c>
      <c r="V11" s="1380" t="s">
        <v>5</v>
      </c>
      <c r="W11" s="1381">
        <f t="shared" si="2"/>
        <v>100</v>
      </c>
      <c r="X11" s="1382"/>
      <c r="Y11" s="3857" t="s">
        <v>485</v>
      </c>
      <c r="Z11" s="1049" t="str">
        <f t="shared" ref="Z11:Z17" si="7">Q11</f>
        <v>用途</v>
      </c>
      <c r="AA11" s="1383">
        <f t="shared" si="3"/>
        <v>1</v>
      </c>
      <c r="AB11" s="1383">
        <f t="shared" si="4"/>
        <v>1</v>
      </c>
      <c r="AC11" s="1383">
        <f t="shared" si="5"/>
        <v>1</v>
      </c>
    </row>
    <row r="12" spans="1:29" s="1199" customFormat="1" ht="27">
      <c r="A12" s="2393"/>
      <c r="B12" s="2398" t="s">
        <v>2038</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05"/>
      <c r="Q12" s="1050" t="str">
        <f t="shared" si="6"/>
        <v>土地使用年限（年）</v>
      </c>
      <c r="R12" s="1380" t="s">
        <v>5</v>
      </c>
      <c r="S12" s="1381">
        <f t="shared" si="0"/>
        <v>100</v>
      </c>
      <c r="T12" s="1380" t="s">
        <v>5</v>
      </c>
      <c r="U12" s="1381">
        <f t="shared" si="1"/>
        <v>100</v>
      </c>
      <c r="V12" s="1380" t="s">
        <v>5</v>
      </c>
      <c r="W12" s="1381">
        <f t="shared" si="2"/>
        <v>100</v>
      </c>
      <c r="X12" s="1382"/>
      <c r="Y12" s="3857"/>
      <c r="Z12" s="1049" t="str">
        <f t="shared" si="7"/>
        <v>土地使用年限（年）</v>
      </c>
      <c r="AA12" s="1383">
        <f t="shared" si="3"/>
        <v>1</v>
      </c>
      <c r="AB12" s="1383">
        <f t="shared" si="4"/>
        <v>1</v>
      </c>
      <c r="AC12" s="1383">
        <f t="shared" si="5"/>
        <v>1</v>
      </c>
    </row>
    <row r="13" spans="1:29" ht="15">
      <c r="A13" s="2394"/>
      <c r="B13" s="2398"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05"/>
      <c r="Q13" s="1050" t="str">
        <f t="shared" si="6"/>
        <v>容积率</v>
      </c>
      <c r="R13" s="1380" t="s">
        <v>5</v>
      </c>
      <c r="S13" s="1381" t="e">
        <f t="shared" si="0"/>
        <v>#N/A</v>
      </c>
      <c r="T13" s="1380" t="s">
        <v>5</v>
      </c>
      <c r="U13" s="1381" t="e">
        <f t="shared" si="1"/>
        <v>#N/A</v>
      </c>
      <c r="V13" s="1380" t="s">
        <v>5</v>
      </c>
      <c r="W13" s="1381" t="e">
        <f t="shared" si="2"/>
        <v>#N/A</v>
      </c>
      <c r="X13" s="1382"/>
      <c r="Y13" s="3857"/>
      <c r="Z13" s="1049" t="str">
        <f t="shared" si="7"/>
        <v>容积率</v>
      </c>
      <c r="AA13" s="1383" t="e">
        <f t="shared" si="3"/>
        <v>#N/A</v>
      </c>
      <c r="AB13" s="1383" t="e">
        <f t="shared" si="4"/>
        <v>#N/A</v>
      </c>
      <c r="AC13" s="1383" t="e">
        <f t="shared" si="5"/>
        <v>#N/A</v>
      </c>
    </row>
    <row r="14" spans="1:29" s="1118"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D14/F14</f>
        <v>1</v>
      </c>
      <c r="AB14" s="1383">
        <f>D14/H14</f>
        <v>1</v>
      </c>
      <c r="AC14" s="1383">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05"/>
      <c r="Q15" s="1050">
        <f t="shared" si="6"/>
        <v>111</v>
      </c>
      <c r="R15" s="1380" t="s">
        <v>5</v>
      </c>
      <c r="S15" s="1381">
        <f t="shared" si="0"/>
        <v>100</v>
      </c>
      <c r="T15" s="1380" t="s">
        <v>5</v>
      </c>
      <c r="U15" s="1381">
        <f t="shared" si="1"/>
        <v>100</v>
      </c>
      <c r="V15" s="1380" t="s">
        <v>5</v>
      </c>
      <c r="W15" s="1381">
        <f t="shared" si="2"/>
        <v>100</v>
      </c>
      <c r="X15" s="1382"/>
      <c r="Y15" s="3857"/>
      <c r="Z15" s="1049">
        <f t="shared" si="7"/>
        <v>111</v>
      </c>
      <c r="AA15" s="1383">
        <f t="shared" si="3"/>
        <v>1</v>
      </c>
      <c r="AB15" s="1383">
        <f t="shared" si="4"/>
        <v>1</v>
      </c>
      <c r="AC15" s="1383">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05"/>
      <c r="Q16" s="1050">
        <f t="shared" si="6"/>
        <v>111</v>
      </c>
      <c r="R16" s="1380" t="s">
        <v>5</v>
      </c>
      <c r="S16" s="1381">
        <f t="shared" si="0"/>
        <v>100</v>
      </c>
      <c r="T16" s="1380" t="s">
        <v>5</v>
      </c>
      <c r="U16" s="1381">
        <f t="shared" si="1"/>
        <v>100</v>
      </c>
      <c r="V16" s="1380" t="s">
        <v>5</v>
      </c>
      <c r="W16" s="1381">
        <f t="shared" si="2"/>
        <v>100</v>
      </c>
      <c r="X16" s="1382"/>
      <c r="Y16" s="3857"/>
      <c r="Z16" s="1049">
        <f t="shared" si="7"/>
        <v>111</v>
      </c>
      <c r="AA16" s="1383">
        <f t="shared" si="3"/>
        <v>1</v>
      </c>
      <c r="AB16" s="1383">
        <f t="shared" si="4"/>
        <v>1</v>
      </c>
      <c r="AC16" s="1383">
        <f t="shared" si="5"/>
        <v>1</v>
      </c>
    </row>
    <row r="17" spans="1:29" ht="57">
      <c r="A17" s="2388"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07" t="s">
        <v>489</v>
      </c>
      <c r="Q17" s="1384" t="str">
        <f t="shared" si="6"/>
        <v>产业集聚程度</v>
      </c>
      <c r="R17" s="1385" t="s">
        <v>5</v>
      </c>
      <c r="S17" s="1386">
        <f t="shared" si="0"/>
        <v>100</v>
      </c>
      <c r="T17" s="1385" t="s">
        <v>5</v>
      </c>
      <c r="U17" s="1386">
        <f t="shared" si="1"/>
        <v>100</v>
      </c>
      <c r="V17" s="1385" t="s">
        <v>5</v>
      </c>
      <c r="W17" s="1386">
        <f t="shared" si="2"/>
        <v>100</v>
      </c>
      <c r="X17" s="1379"/>
      <c r="Y17" s="3907"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3"/>
      <c r="M18" s="1855"/>
      <c r="N18" s="1855"/>
      <c r="O18" s="1862"/>
      <c r="P18" s="3908"/>
      <c r="Q18" s="1384"/>
      <c r="R18" s="1385"/>
      <c r="S18" s="1386"/>
      <c r="T18" s="1385"/>
      <c r="U18" s="1386"/>
      <c r="V18" s="1385"/>
      <c r="W18" s="1386"/>
      <c r="X18" s="1379"/>
      <c r="Y18" s="3908"/>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08"/>
      <c r="Q19" s="1384" t="str">
        <f>B19</f>
        <v>交通便捷度</v>
      </c>
      <c r="R19" s="1385" t="s">
        <v>5</v>
      </c>
      <c r="S19" s="1386">
        <f>F19</f>
        <v>100</v>
      </c>
      <c r="T19" s="1385" t="s">
        <v>5</v>
      </c>
      <c r="U19" s="1386">
        <f>H19</f>
        <v>100</v>
      </c>
      <c r="V19" s="1385" t="s">
        <v>5</v>
      </c>
      <c r="W19" s="1386">
        <f>J19</f>
        <v>100</v>
      </c>
      <c r="X19" s="1379"/>
      <c r="Y19" s="3908"/>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3"/>
      <c r="M20" s="1855"/>
      <c r="N20" s="1855"/>
      <c r="O20" s="1862"/>
      <c r="P20" s="3908"/>
      <c r="Q20" s="1384"/>
      <c r="R20" s="1385"/>
      <c r="S20" s="1386"/>
      <c r="T20" s="1385"/>
      <c r="U20" s="1386"/>
      <c r="V20" s="1385"/>
      <c r="W20" s="1386"/>
      <c r="X20" s="1379"/>
      <c r="Y20" s="3908"/>
      <c r="Z20" s="1387"/>
      <c r="AA20" s="1388">
        <v>1</v>
      </c>
      <c r="AB20" s="1388">
        <v>1</v>
      </c>
      <c r="AC20" s="1388">
        <v>1</v>
      </c>
    </row>
    <row r="21" spans="1:29" ht="15">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3"/>
      <c r="M21" s="1855"/>
      <c r="N21" s="1855"/>
      <c r="O21" s="1862"/>
      <c r="P21" s="3908"/>
      <c r="Q21" s="1384" t="str">
        <f t="shared" ref="Q21:Q35" si="8">B21</f>
        <v>区域土地利用方向</v>
      </c>
      <c r="R21" s="1385" t="s">
        <v>5</v>
      </c>
      <c r="S21" s="1386">
        <f>F21</f>
        <v>100</v>
      </c>
      <c r="T21" s="1385" t="s">
        <v>5</v>
      </c>
      <c r="U21" s="1386">
        <f>H21</f>
        <v>100</v>
      </c>
      <c r="V21" s="1385" t="s">
        <v>5</v>
      </c>
      <c r="W21" s="1386">
        <f>J21</f>
        <v>100</v>
      </c>
      <c r="X21" s="1379"/>
      <c r="Y21" s="3908"/>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3"/>
      <c r="M22" s="1855"/>
      <c r="N22" s="1855"/>
      <c r="O22" s="1862"/>
      <c r="P22" s="3908"/>
      <c r="Q22" s="1384"/>
      <c r="R22" s="1385"/>
      <c r="S22" s="1386"/>
      <c r="T22" s="1385"/>
      <c r="U22" s="1386"/>
      <c r="V22" s="1385"/>
      <c r="W22" s="1386"/>
      <c r="X22" s="1379"/>
      <c r="Y22" s="3908"/>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08"/>
      <c r="Q23" s="1384" t="str">
        <f t="shared" si="8"/>
        <v>环境状况</v>
      </c>
      <c r="R23" s="1385" t="s">
        <v>5</v>
      </c>
      <c r="S23" s="1386">
        <f>F23</f>
        <v>100</v>
      </c>
      <c r="T23" s="1385" t="s">
        <v>5</v>
      </c>
      <c r="U23" s="1386">
        <f>H23</f>
        <v>100</v>
      </c>
      <c r="V23" s="1385" t="s">
        <v>5</v>
      </c>
      <c r="W23" s="1386">
        <f>J23</f>
        <v>100</v>
      </c>
      <c r="X23" s="1379"/>
      <c r="Y23" s="3908"/>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3"/>
      <c r="M24" s="1855"/>
      <c r="N24" s="1855"/>
      <c r="O24" s="1862"/>
      <c r="P24" s="3908"/>
      <c r="Q24" s="1384"/>
      <c r="R24" s="1385"/>
      <c r="S24" s="1386"/>
      <c r="T24" s="1385"/>
      <c r="U24" s="1386"/>
      <c r="V24" s="1385"/>
      <c r="W24" s="1386"/>
      <c r="X24" s="1379"/>
      <c r="Y24" s="3908"/>
      <c r="Z24" s="1387"/>
      <c r="AA24" s="1388">
        <v>1</v>
      </c>
      <c r="AB24" s="1388">
        <v>1</v>
      </c>
      <c r="AC24" s="1388">
        <v>1</v>
      </c>
    </row>
    <row r="25" spans="1:29" s="1118" customFormat="1" ht="42.75">
      <c r="A25" s="547"/>
      <c r="B25" s="2199"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08"/>
      <c r="Q25" s="1050" t="str">
        <f t="shared" si="8"/>
        <v>公共配套设施</v>
      </c>
      <c r="R25" s="1380" t="s">
        <v>5</v>
      </c>
      <c r="S25" s="1381">
        <f>F25</f>
        <v>100</v>
      </c>
      <c r="T25" s="1380" t="s">
        <v>5</v>
      </c>
      <c r="U25" s="1381">
        <f>H25</f>
        <v>100</v>
      </c>
      <c r="V25" s="1380" t="s">
        <v>5</v>
      </c>
      <c r="W25" s="1381">
        <f>J25</f>
        <v>100</v>
      </c>
      <c r="X25" s="1382"/>
      <c r="Y25" s="3908"/>
      <c r="Z25" s="1049" t="str">
        <f>Q25</f>
        <v>公共配套设施</v>
      </c>
      <c r="AA25" s="1388">
        <f>D25/F25</f>
        <v>1</v>
      </c>
      <c r="AB25" s="1388">
        <f>D25/H25</f>
        <v>1</v>
      </c>
      <c r="AC25" s="1388">
        <f>D25/J25</f>
        <v>1</v>
      </c>
    </row>
    <row r="26" spans="1:29" s="1118" customFormat="1" ht="15">
      <c r="A26" s="547"/>
      <c r="B26" s="565"/>
      <c r="C26" s="2198"/>
      <c r="D26" s="525"/>
      <c r="E26" s="524"/>
      <c r="F26" s="525"/>
      <c r="G26" s="524"/>
      <c r="H26" s="525"/>
      <c r="I26" s="546"/>
      <c r="J26" s="525"/>
      <c r="K26" s="501"/>
      <c r="L26" s="1856"/>
      <c r="M26" s="1857"/>
      <c r="N26" s="1857"/>
      <c r="O26" s="1858"/>
      <c r="P26" s="3908"/>
      <c r="Q26" s="1050"/>
      <c r="R26" s="1380"/>
      <c r="S26" s="1381"/>
      <c r="T26" s="1380"/>
      <c r="U26" s="1381"/>
      <c r="V26" s="1380"/>
      <c r="W26" s="1381"/>
      <c r="X26" s="1382"/>
      <c r="Y26" s="3908"/>
      <c r="Z26" s="1049"/>
      <c r="AA26" s="1383">
        <v>1</v>
      </c>
      <c r="AB26" s="1383">
        <v>1</v>
      </c>
      <c r="AC26" s="1383">
        <v>1</v>
      </c>
    </row>
    <row r="27" spans="1:29" s="1118" customFormat="1" ht="28.5">
      <c r="A27" s="547"/>
      <c r="B27" s="2199"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08"/>
      <c r="Q27" s="2190" t="str">
        <f>B27</f>
        <v>基础设施水平</v>
      </c>
      <c r="R27" s="1380" t="s">
        <v>5</v>
      </c>
      <c r="S27" s="1381">
        <f>F27</f>
        <v>100</v>
      </c>
      <c r="T27" s="1380" t="s">
        <v>5</v>
      </c>
      <c r="U27" s="1381">
        <f>H27</f>
        <v>100</v>
      </c>
      <c r="V27" s="1380" t="s">
        <v>5</v>
      </c>
      <c r="W27" s="1381">
        <f>J27</f>
        <v>100</v>
      </c>
      <c r="X27" s="1382"/>
      <c r="Y27" s="3908"/>
      <c r="Z27" s="2189" t="str">
        <f>Q27</f>
        <v>基础设施水平</v>
      </c>
      <c r="AA27" s="1388">
        <f>D27/F27</f>
        <v>1</v>
      </c>
      <c r="AB27" s="1388">
        <f>D27/H27</f>
        <v>1</v>
      </c>
      <c r="AC27" s="1388">
        <f>D27/J27</f>
        <v>1</v>
      </c>
    </row>
    <row r="28" spans="1:29" s="1118" customFormat="1" ht="15">
      <c r="A28" s="547"/>
      <c r="B28" s="565"/>
      <c r="C28" s="2198"/>
      <c r="D28" s="525"/>
      <c r="E28" s="549"/>
      <c r="F28" s="525"/>
      <c r="G28" s="549"/>
      <c r="H28" s="525"/>
      <c r="I28" s="549"/>
      <c r="J28" s="525"/>
      <c r="K28" s="501"/>
      <c r="L28" s="1856"/>
      <c r="M28" s="1857"/>
      <c r="N28" s="1857"/>
      <c r="O28" s="1858"/>
      <c r="P28" s="3908"/>
      <c r="Q28" s="2190"/>
      <c r="R28" s="1380"/>
      <c r="S28" s="1381"/>
      <c r="T28" s="1380"/>
      <c r="U28" s="1381"/>
      <c r="V28" s="1380"/>
      <c r="W28" s="1381"/>
      <c r="X28" s="1382"/>
      <c r="Y28" s="3908"/>
      <c r="Z28" s="2189"/>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0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08"/>
      <c r="Z29" s="1387" t="str">
        <f t="shared" ref="Z29:Z42" si="12">Q29</f>
        <v>临街状况</v>
      </c>
      <c r="AA29" s="1388">
        <f t="shared" si="3"/>
        <v>1</v>
      </c>
      <c r="AB29" s="1388">
        <f t="shared" si="4"/>
        <v>1</v>
      </c>
      <c r="AC29" s="1388">
        <f t="shared" si="5"/>
        <v>1</v>
      </c>
    </row>
    <row r="30" spans="1:29" ht="27">
      <c r="A30" s="502"/>
      <c r="B30" s="885"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08"/>
      <c r="Q30" s="1384" t="str">
        <f t="shared" si="8"/>
        <v>毗邻道路的类型与等级</v>
      </c>
      <c r="R30" s="1385" t="s">
        <v>5</v>
      </c>
      <c r="S30" s="1386">
        <f t="shared" si="9"/>
        <v>100</v>
      </c>
      <c r="T30" s="1385" t="s">
        <v>5</v>
      </c>
      <c r="U30" s="1386">
        <f t="shared" si="10"/>
        <v>100</v>
      </c>
      <c r="V30" s="1385" t="s">
        <v>5</v>
      </c>
      <c r="W30" s="1386">
        <f t="shared" si="11"/>
        <v>100</v>
      </c>
      <c r="X30" s="1379"/>
      <c r="Y30" s="3908"/>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3"/>
      <c r="M31" s="1855"/>
      <c r="N31" s="1855"/>
      <c r="O31" s="1862"/>
      <c r="P31" s="3908"/>
      <c r="Q31" s="1384"/>
      <c r="R31" s="1385"/>
      <c r="S31" s="1386"/>
      <c r="T31" s="1385"/>
      <c r="U31" s="1386"/>
      <c r="V31" s="1385"/>
      <c r="W31" s="1386"/>
      <c r="X31" s="1379"/>
      <c r="Y31" s="3908"/>
      <c r="Z31" s="1387"/>
      <c r="AA31" s="1388">
        <v>1</v>
      </c>
      <c r="AB31" s="1388">
        <v>1</v>
      </c>
      <c r="AC31" s="1388">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08"/>
      <c r="Q32" s="1384" t="str">
        <f t="shared" si="8"/>
        <v>土地级别</v>
      </c>
      <c r="R32" s="1385" t="s">
        <v>5</v>
      </c>
      <c r="S32" s="1386">
        <f t="shared" si="9"/>
        <v>100</v>
      </c>
      <c r="T32" s="1385" t="s">
        <v>5</v>
      </c>
      <c r="U32" s="1386">
        <f t="shared" si="10"/>
        <v>100</v>
      </c>
      <c r="V32" s="1385" t="s">
        <v>5</v>
      </c>
      <c r="W32" s="1386">
        <f t="shared" si="11"/>
        <v>100</v>
      </c>
      <c r="X32" s="1379"/>
      <c r="Y32" s="3908"/>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08"/>
      <c r="Q33" s="1384">
        <f t="shared" si="8"/>
        <v>111</v>
      </c>
      <c r="R33" s="1385" t="s">
        <v>5</v>
      </c>
      <c r="S33" s="1386">
        <f t="shared" si="9"/>
        <v>100</v>
      </c>
      <c r="T33" s="1385" t="s">
        <v>5</v>
      </c>
      <c r="U33" s="1386">
        <f t="shared" si="10"/>
        <v>100</v>
      </c>
      <c r="V33" s="1385" t="s">
        <v>5</v>
      </c>
      <c r="W33" s="1386">
        <f t="shared" si="11"/>
        <v>100</v>
      </c>
      <c r="X33" s="1379"/>
      <c r="Y33" s="3908"/>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09" t="s">
        <v>499</v>
      </c>
      <c r="Q34" s="1384">
        <f t="shared" si="8"/>
        <v>111</v>
      </c>
      <c r="R34" s="1385" t="s">
        <v>5</v>
      </c>
      <c r="S34" s="1386">
        <f t="shared" si="9"/>
        <v>100</v>
      </c>
      <c r="T34" s="1385" t="s">
        <v>5</v>
      </c>
      <c r="U34" s="1386">
        <f t="shared" si="10"/>
        <v>100</v>
      </c>
      <c r="V34" s="1385" t="s">
        <v>5</v>
      </c>
      <c r="W34" s="1386">
        <f t="shared" si="11"/>
        <v>100</v>
      </c>
      <c r="X34" s="1379"/>
      <c r="Y34" s="3910" t="s">
        <v>499</v>
      </c>
      <c r="Z34" s="1387">
        <f t="shared" si="12"/>
        <v>111</v>
      </c>
      <c r="AA34" s="1388">
        <f t="shared" si="3"/>
        <v>1</v>
      </c>
      <c r="AB34" s="1388">
        <f t="shared" si="4"/>
        <v>1</v>
      </c>
      <c r="AC34" s="1388">
        <f t="shared" si="5"/>
        <v>1</v>
      </c>
    </row>
    <row r="35" spans="1:29" s="1200"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10"/>
      <c r="Q35" s="1384">
        <f t="shared" si="8"/>
        <v>111</v>
      </c>
      <c r="R35" s="1389" t="s">
        <v>5</v>
      </c>
      <c r="S35" s="1390">
        <f t="shared" si="9"/>
        <v>100</v>
      </c>
      <c r="T35" s="1389" t="s">
        <v>5</v>
      </c>
      <c r="U35" s="1390">
        <f t="shared" si="10"/>
        <v>100</v>
      </c>
      <c r="V35" s="1389" t="s">
        <v>5</v>
      </c>
      <c r="W35" s="1390">
        <f t="shared" si="11"/>
        <v>100</v>
      </c>
      <c r="X35" s="1391"/>
      <c r="Y35" s="3910"/>
      <c r="Z35" s="1392">
        <f t="shared" si="12"/>
        <v>111</v>
      </c>
      <c r="AA35" s="1388">
        <f t="shared" si="3"/>
        <v>1</v>
      </c>
      <c r="AB35" s="1388">
        <f t="shared" si="4"/>
        <v>1</v>
      </c>
      <c r="AC35" s="1388">
        <f t="shared" si="5"/>
        <v>1</v>
      </c>
    </row>
    <row r="36" spans="1:29" ht="15">
      <c r="A36" s="2385"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10"/>
      <c r="Q36" s="1384" t="str">
        <f>B36</f>
        <v>宗地面积</v>
      </c>
      <c r="R36" s="1385" t="s">
        <v>5</v>
      </c>
      <c r="S36" s="1386" t="e">
        <f t="shared" si="9"/>
        <v>#N/A</v>
      </c>
      <c r="T36" s="1385" t="s">
        <v>5</v>
      </c>
      <c r="U36" s="1386" t="e">
        <f t="shared" si="10"/>
        <v>#N/A</v>
      </c>
      <c r="V36" s="1385" t="s">
        <v>5</v>
      </c>
      <c r="W36" s="1386" t="e">
        <f t="shared" si="11"/>
        <v>#N/A</v>
      </c>
      <c r="X36" s="1379"/>
      <c r="Y36" s="3910"/>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10"/>
      <c r="Q37" s="1384" t="str">
        <f t="shared" ref="Q37:Q42" si="13">B37</f>
        <v>宗地形状</v>
      </c>
      <c r="R37" s="1385" t="s">
        <v>5</v>
      </c>
      <c r="S37" s="1386">
        <f t="shared" si="9"/>
        <v>100</v>
      </c>
      <c r="T37" s="1385" t="s">
        <v>5</v>
      </c>
      <c r="U37" s="1386">
        <f t="shared" si="10"/>
        <v>100</v>
      </c>
      <c r="V37" s="1385" t="s">
        <v>5</v>
      </c>
      <c r="W37" s="1386">
        <f t="shared" si="11"/>
        <v>100</v>
      </c>
      <c r="X37" s="1379"/>
      <c r="Y37" s="3910"/>
      <c r="Z37" s="1387" t="str">
        <f t="shared" si="12"/>
        <v>宗地形状</v>
      </c>
      <c r="AA37" s="1388">
        <f t="shared" si="3"/>
        <v>1</v>
      </c>
      <c r="AB37" s="1388">
        <f t="shared" si="4"/>
        <v>1</v>
      </c>
      <c r="AC37" s="1388">
        <f t="shared" si="5"/>
        <v>1</v>
      </c>
    </row>
    <row r="38" spans="1:29" s="1118" customFormat="1" ht="15">
      <c r="A38" s="570"/>
      <c r="B38" s="1649"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10"/>
      <c r="Q38" s="1384" t="str">
        <f t="shared" si="13"/>
        <v>宗地开发程度</v>
      </c>
      <c r="R38" s="1380" t="s">
        <v>5</v>
      </c>
      <c r="S38" s="1381">
        <f t="shared" si="9"/>
        <v>100</v>
      </c>
      <c r="T38" s="1380" t="s">
        <v>5</v>
      </c>
      <c r="U38" s="1381">
        <f t="shared" si="10"/>
        <v>100</v>
      </c>
      <c r="V38" s="1380" t="s">
        <v>5</v>
      </c>
      <c r="W38" s="1381">
        <f t="shared" si="11"/>
        <v>100</v>
      </c>
      <c r="X38" s="1382"/>
      <c r="Y38" s="3910"/>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10" t="s">
        <v>549</v>
      </c>
      <c r="Q39" s="1384" t="str">
        <f t="shared" si="13"/>
        <v>工程地质条件</v>
      </c>
      <c r="R39" s="1385" t="s">
        <v>5</v>
      </c>
      <c r="S39" s="1386">
        <f t="shared" si="9"/>
        <v>100</v>
      </c>
      <c r="T39" s="1385" t="s">
        <v>5</v>
      </c>
      <c r="U39" s="1386">
        <f t="shared" si="10"/>
        <v>100</v>
      </c>
      <c r="V39" s="1385" t="s">
        <v>5</v>
      </c>
      <c r="W39" s="1386">
        <f t="shared" si="11"/>
        <v>100</v>
      </c>
      <c r="X39" s="1379"/>
      <c r="Y39" s="3910"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10"/>
      <c r="Q40" s="1384">
        <f t="shared" si="13"/>
        <v>111</v>
      </c>
      <c r="R40" s="1385" t="s">
        <v>5</v>
      </c>
      <c r="S40" s="1386">
        <f t="shared" si="9"/>
        <v>100</v>
      </c>
      <c r="T40" s="1385" t="s">
        <v>5</v>
      </c>
      <c r="U40" s="1386">
        <f t="shared" si="10"/>
        <v>100</v>
      </c>
      <c r="V40" s="1385" t="s">
        <v>5</v>
      </c>
      <c r="W40" s="1386">
        <f t="shared" si="11"/>
        <v>100</v>
      </c>
      <c r="X40" s="1379"/>
      <c r="Y40" s="3910"/>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10"/>
      <c r="Q41" s="1384">
        <f t="shared" si="13"/>
        <v>111</v>
      </c>
      <c r="R41" s="1385" t="s">
        <v>5</v>
      </c>
      <c r="S41" s="1386">
        <f t="shared" si="9"/>
        <v>100</v>
      </c>
      <c r="T41" s="1385" t="s">
        <v>5</v>
      </c>
      <c r="U41" s="1386">
        <f t="shared" si="10"/>
        <v>100</v>
      </c>
      <c r="V41" s="1385" t="s">
        <v>5</v>
      </c>
      <c r="W41" s="1386">
        <f t="shared" si="11"/>
        <v>100</v>
      </c>
      <c r="X41" s="1379"/>
      <c r="Y41" s="3910"/>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10"/>
      <c r="Q42" s="1384">
        <f t="shared" si="13"/>
        <v>111</v>
      </c>
      <c r="R42" s="1389" t="s">
        <v>5</v>
      </c>
      <c r="S42" s="1390">
        <f t="shared" si="9"/>
        <v>100</v>
      </c>
      <c r="T42" s="1389" t="s">
        <v>5</v>
      </c>
      <c r="U42" s="1390">
        <f t="shared" si="10"/>
        <v>100</v>
      </c>
      <c r="V42" s="1389" t="s">
        <v>5</v>
      </c>
      <c r="W42" s="1390">
        <f t="shared" si="11"/>
        <v>100</v>
      </c>
      <c r="X42" s="1391"/>
      <c r="Y42" s="3910"/>
      <c r="Z42" s="1392">
        <f t="shared" si="12"/>
        <v>111</v>
      </c>
      <c r="AA42" s="1388">
        <f t="shared" si="3"/>
        <v>1</v>
      </c>
      <c r="AB42" s="1388">
        <f t="shared" si="4"/>
        <v>1</v>
      </c>
      <c r="AC42" s="1388">
        <f t="shared" si="5"/>
        <v>1</v>
      </c>
    </row>
    <row r="43" spans="1:29" ht="15">
      <c r="A43" s="577" t="s">
        <v>505</v>
      </c>
      <c r="B43" s="578" t="s">
        <v>2191</v>
      </c>
      <c r="C43" s="579" t="s">
        <v>0</v>
      </c>
      <c r="D43" s="580"/>
      <c r="E43" s="581"/>
      <c r="F43" s="582"/>
      <c r="G43" s="583"/>
      <c r="H43" s="584"/>
      <c r="I43" s="581"/>
      <c r="J43" s="584"/>
      <c r="K43" s="1201"/>
      <c r="L43" s="1865"/>
      <c r="M43" s="1855"/>
      <c r="N43" s="1855"/>
      <c r="O43" s="1866"/>
      <c r="P43" s="3905" t="str">
        <f>A43</f>
        <v>成交单价</v>
      </c>
      <c r="Q43" s="3905"/>
      <c r="R43" s="3921">
        <f>E43</f>
        <v>0</v>
      </c>
      <c r="S43" s="3921"/>
      <c r="T43" s="3921">
        <f>G43</f>
        <v>0</v>
      </c>
      <c r="U43" s="3921"/>
      <c r="V43" s="3921">
        <f>I43</f>
        <v>0</v>
      </c>
      <c r="W43" s="3921"/>
      <c r="X43" s="1374"/>
      <c r="Y43" s="1393"/>
      <c r="Z43" s="1374"/>
      <c r="AA43" s="1374"/>
      <c r="AB43" s="1374"/>
      <c r="AC43" s="1374"/>
    </row>
    <row r="44" spans="1:29" ht="15.75" thickBot="1">
      <c r="A44" s="585" t="s">
        <v>1974</v>
      </c>
      <c r="B44" s="586"/>
      <c r="C44" s="587" t="e">
        <f>R45</f>
        <v>#DIV/0!</v>
      </c>
      <c r="D44" s="2754" t="s">
        <v>2255</v>
      </c>
      <c r="E44" s="587" t="e">
        <f>R44</f>
        <v>#DIV/0!</v>
      </c>
      <c r="F44" s="2755"/>
      <c r="G44" s="588" t="e">
        <f>T44</f>
        <v>#DIV/0!</v>
      </c>
      <c r="H44" s="2755"/>
      <c r="I44" s="587" t="e">
        <f>V44</f>
        <v>#DIV/0!</v>
      </c>
      <c r="J44" s="2755"/>
      <c r="K44" s="2756">
        <f>F44+H44+J44</f>
        <v>0</v>
      </c>
      <c r="L44" s="1865"/>
      <c r="M44" s="1855"/>
      <c r="N44" s="1855"/>
      <c r="O44" s="1866"/>
      <c r="P44" s="3905" t="str">
        <f>A44</f>
        <v>比较价格（元/平方米）</v>
      </c>
      <c r="Q44" s="3905"/>
      <c r="R44" s="3929" t="e">
        <f>ROUND(PRODUCT(R43,AA9:AA42),0)</f>
        <v>#DIV/0!</v>
      </c>
      <c r="S44" s="3929"/>
      <c r="T44" s="3929" t="e">
        <f>ROUND(PRODUCT(T43,AB9:AB42),0)</f>
        <v>#DIV/0!</v>
      </c>
      <c r="U44" s="3929"/>
      <c r="V44" s="3929" t="e">
        <f>ROUND(PRODUCT(V43,AC9:AC42),0)</f>
        <v>#DIV/0!</v>
      </c>
      <c r="W44" s="3929"/>
      <c r="X44" s="1374"/>
      <c r="Y44" s="1374"/>
      <c r="Z44" s="1374"/>
      <c r="AA44" s="1374"/>
      <c r="AB44" s="1374"/>
      <c r="AC44" s="1374"/>
    </row>
    <row r="45" spans="1:29" ht="15.75" thickBot="1">
      <c r="A45" s="589" t="s">
        <v>2192</v>
      </c>
      <c r="B45" s="590"/>
      <c r="C45" s="591" t="e">
        <f>R45</f>
        <v>#DIV/0!</v>
      </c>
      <c r="D45" s="591"/>
      <c r="E45" s="591"/>
      <c r="F45" s="591"/>
      <c r="G45" s="591"/>
      <c r="H45" s="591"/>
      <c r="I45" s="591"/>
      <c r="J45" s="591"/>
      <c r="K45" s="1202"/>
      <c r="L45" s="1865"/>
      <c r="M45" s="1855"/>
      <c r="N45" s="1855"/>
      <c r="O45" s="1866"/>
      <c r="P45" s="3911" t="str">
        <f>A45</f>
        <v>估价对象XX用房的比较价格（楼面单价，元/平方米）</v>
      </c>
      <c r="Q45" s="3912"/>
      <c r="R45" s="3938" t="e">
        <f>ROUND(IF(D44="简单平均",AVERAGE(R44:W44),R44*F44+T44*H44+V44*J44),0)</f>
        <v>#DIV/0!</v>
      </c>
      <c r="S45" s="3938"/>
      <c r="T45" s="3938"/>
      <c r="U45" s="3938"/>
      <c r="V45" s="3938"/>
      <c r="W45" s="3938"/>
      <c r="X45" s="1374"/>
      <c r="Y45" s="1374"/>
      <c r="Z45" s="1374"/>
      <c r="AA45" s="1374"/>
      <c r="AB45" s="1374"/>
      <c r="AC45" s="1374"/>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5" customFormat="1" ht="13.5" customHeight="1">
      <c r="A50" s="2953"/>
      <c r="B50" s="2953"/>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5"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5" t="s">
        <v>1253</v>
      </c>
      <c r="D52" s="1944" t="s">
        <v>1649</v>
      </c>
      <c r="E52" s="599" t="s">
        <v>511</v>
      </c>
      <c r="F52" s="1705" t="s">
        <v>512</v>
      </c>
      <c r="G52" s="3934" t="s">
        <v>1641</v>
      </c>
      <c r="H52" s="3935"/>
      <c r="I52" s="1706" t="s">
        <v>1465</v>
      </c>
      <c r="J52" s="1371">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6" customFormat="1" ht="12.75">
      <c r="A53" s="601" t="s">
        <v>513</v>
      </c>
      <c r="B53" s="602" t="e">
        <f>C45</f>
        <v>#DIV/0!</v>
      </c>
      <c r="C53" s="603">
        <v>1</v>
      </c>
      <c r="D53" s="1945">
        <v>1</v>
      </c>
      <c r="E53" s="603">
        <f>'数据-汇总表'!E8+'数据-汇总表'!E9</f>
        <v>33492.110000000008</v>
      </c>
      <c r="F53" s="1704" t="e">
        <f t="shared" ref="F53:F61" si="14">ROUND(B53*E53/10000,0)</f>
        <v>#DIV/0!</v>
      </c>
      <c r="G53" s="3936"/>
      <c r="H53" s="3937"/>
      <c r="I53" s="1707">
        <v>1</v>
      </c>
      <c r="J53" s="1372">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6" customFormat="1" ht="12.75">
      <c r="A54" s="605" t="s">
        <v>514</v>
      </c>
      <c r="B54" s="606" t="e">
        <f>ROUND($C$45*C54*D54,0)</f>
        <v>#DIV/0!</v>
      </c>
      <c r="C54" s="365">
        <f t="shared" ref="C54:C61" si="15">IF($C$52="北京市系数",I54,J54)</f>
        <v>0.6</v>
      </c>
      <c r="D54" s="1946">
        <v>0.25</v>
      </c>
      <c r="E54" s="607"/>
      <c r="F54" s="1704" t="e">
        <f t="shared" si="14"/>
        <v>#DIV/0!</v>
      </c>
      <c r="G54" s="3274" t="s">
        <v>1642</v>
      </c>
      <c r="H54" s="1708" t="str">
        <f>项目基本情况!B43</f>
        <v>六级</v>
      </c>
      <c r="I54" s="1707">
        <f>SUMIF(修正!$A$57:$A$68,H54,修正!B57:B68)</f>
        <v>0.6</v>
      </c>
      <c r="J54" s="1373"/>
      <c r="K54" s="2957"/>
      <c r="L54" s="1875"/>
      <c r="M54" s="1875"/>
      <c r="N54" s="1875"/>
      <c r="O54" s="1875"/>
      <c r="P54" s="1875"/>
      <c r="Q54" s="1875"/>
      <c r="R54" s="1875"/>
      <c r="S54" s="1875"/>
      <c r="T54" s="1875"/>
      <c r="U54" s="1875"/>
      <c r="V54" s="1875"/>
      <c r="W54" s="1875"/>
      <c r="X54" s="1875"/>
      <c r="Y54" s="1875"/>
      <c r="Z54" s="1875"/>
      <c r="AA54" s="1875"/>
      <c r="AB54" s="1875"/>
      <c r="AC54" s="1875"/>
    </row>
    <row r="55" spans="1:29" s="1206" customFormat="1" ht="12.75">
      <c r="A55" s="605" t="s">
        <v>515</v>
      </c>
      <c r="B55" s="606" t="e">
        <f t="shared" ref="B55:B61" si="16">ROUND($C$45*C55*D55,0)</f>
        <v>#DIV/0!</v>
      </c>
      <c r="C55" s="365">
        <f t="shared" si="15"/>
        <v>0.3</v>
      </c>
      <c r="D55" s="1946">
        <v>0.25</v>
      </c>
      <c r="E55" s="607"/>
      <c r="F55" s="1704" t="e">
        <f t="shared" si="14"/>
        <v>#DIV/0!</v>
      </c>
      <c r="G55" s="3275"/>
      <c r="H55" s="1709" t="str">
        <f>项目基本情况!B43</f>
        <v>六级</v>
      </c>
      <c r="I55" s="1707">
        <f>SUMIF(修正!$A$57:$A$68,H55,修正!C57:C68)</f>
        <v>0.3</v>
      </c>
      <c r="J55" s="1373"/>
      <c r="K55" s="2957"/>
      <c r="L55" s="1875"/>
      <c r="M55" s="1875"/>
      <c r="N55" s="1875"/>
      <c r="O55" s="1875"/>
      <c r="P55" s="1875"/>
      <c r="Q55" s="1875"/>
      <c r="R55" s="1875"/>
      <c r="S55" s="1875"/>
      <c r="T55" s="1875"/>
      <c r="U55" s="1875"/>
      <c r="V55" s="1875"/>
      <c r="W55" s="1875"/>
      <c r="X55" s="1875"/>
      <c r="Y55" s="1875"/>
      <c r="Z55" s="1875"/>
      <c r="AA55" s="1875"/>
      <c r="AB55" s="1875"/>
      <c r="AC55" s="1875"/>
    </row>
    <row r="56" spans="1:29" s="1206" customFormat="1" ht="12.75">
      <c r="A56" s="605" t="s">
        <v>516</v>
      </c>
      <c r="B56" s="606" t="e">
        <f t="shared" si="16"/>
        <v>#DIV/0!</v>
      </c>
      <c r="C56" s="365">
        <f t="shared" si="15"/>
        <v>0.25</v>
      </c>
      <c r="D56" s="1946">
        <v>0.25</v>
      </c>
      <c r="E56" s="607"/>
      <c r="F56" s="1704" t="e">
        <f t="shared" si="14"/>
        <v>#DIV/0!</v>
      </c>
      <c r="G56" s="3275"/>
      <c r="H56" s="1709" t="str">
        <f>项目基本情况!B43</f>
        <v>六级</v>
      </c>
      <c r="I56" s="1707">
        <f>SUMIF(修正!$A$57:$A$68,H56,修正!D57:D68)</f>
        <v>0.25</v>
      </c>
      <c r="J56" s="1373"/>
      <c r="K56" s="2957"/>
      <c r="L56" s="1875"/>
      <c r="M56" s="1875"/>
      <c r="N56" s="1875"/>
      <c r="O56" s="1875"/>
      <c r="P56" s="1875"/>
      <c r="Q56" s="1875"/>
      <c r="R56" s="1875"/>
      <c r="S56" s="1875"/>
      <c r="T56" s="1875"/>
      <c r="U56" s="1875"/>
      <c r="V56" s="1875"/>
      <c r="W56" s="1875"/>
      <c r="X56" s="1875"/>
      <c r="Y56" s="1875"/>
      <c r="Z56" s="1875"/>
      <c r="AA56" s="1875"/>
      <c r="AB56" s="1875"/>
      <c r="AC56" s="1875"/>
    </row>
    <row r="57" spans="1:29" s="1206" customFormat="1" ht="12.75">
      <c r="A57" s="2048" t="s">
        <v>1684</v>
      </c>
      <c r="B57" s="606" t="e">
        <f t="shared" si="16"/>
        <v>#DIV/0!</v>
      </c>
      <c r="C57" s="365">
        <f t="shared" si="15"/>
        <v>0.25</v>
      </c>
      <c r="D57" s="1946">
        <v>0.25</v>
      </c>
      <c r="E57" s="609">
        <f>'数据-汇总表'!E11</f>
        <v>0</v>
      </c>
      <c r="F57" s="1704" t="e">
        <f t="shared" si="14"/>
        <v>#DIV/0!</v>
      </c>
      <c r="G57" s="1710" t="s">
        <v>1643</v>
      </c>
      <c r="H57" s="1709" t="str">
        <f>项目基本情况!C43</f>
        <v>六级</v>
      </c>
      <c r="I57" s="1707">
        <f>SUMIF(修正!$A$57:$A$68,H57,修正!E57:E68)</f>
        <v>0.25</v>
      </c>
      <c r="J57" s="1373"/>
      <c r="K57" s="2957"/>
      <c r="L57" s="1875"/>
      <c r="M57" s="1875"/>
      <c r="N57" s="1875"/>
      <c r="O57" s="1875"/>
      <c r="P57" s="1875"/>
      <c r="Q57" s="1875"/>
      <c r="R57" s="1875"/>
      <c r="S57" s="1875"/>
      <c r="T57" s="1875"/>
      <c r="U57" s="1875"/>
      <c r="V57" s="1875"/>
      <c r="W57" s="1875"/>
      <c r="X57" s="1875"/>
      <c r="Y57" s="1875"/>
      <c r="Z57" s="1875"/>
      <c r="AA57" s="1875"/>
      <c r="AB57" s="1875"/>
      <c r="AC57" s="1875"/>
    </row>
    <row r="58" spans="1:29" s="1206" customFormat="1" ht="12.75">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SUMIF(修正!$A$57:$A$68,H58,修正!F57:F68)</f>
        <v>0.25</v>
      </c>
      <c r="J58" s="1373"/>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518</v>
      </c>
      <c r="B59" s="606" t="e">
        <f t="shared" si="16"/>
        <v>#DIV/0!</v>
      </c>
      <c r="C59" s="365">
        <f t="shared" si="15"/>
        <v>0.15</v>
      </c>
      <c r="D59" s="1946">
        <v>0.25</v>
      </c>
      <c r="E59" s="609">
        <f>'数据-汇总表'!E13</f>
        <v>5960.87</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519</v>
      </c>
      <c r="B60" s="606" t="e">
        <f t="shared" si="16"/>
        <v>#DIV/0!</v>
      </c>
      <c r="C60" s="365">
        <f t="shared" si="15"/>
        <v>0.15</v>
      </c>
      <c r="D60" s="1946">
        <v>0.25</v>
      </c>
      <c r="E60" s="609">
        <f>'数据-汇总表'!E14</f>
        <v>0</v>
      </c>
      <c r="F60" s="1704" t="e">
        <f t="shared" si="14"/>
        <v>#DIV/0!</v>
      </c>
      <c r="G60" s="1710" t="s">
        <v>1642</v>
      </c>
      <c r="H60" s="1709" t="str">
        <f>项目基本情况!B43</f>
        <v>六级</v>
      </c>
      <c r="I60" s="1707">
        <f>SUMIF(修正!$A$57:$A$68,H60,修正!G57:G68)</f>
        <v>0.15</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3.5" thickBot="1">
      <c r="A61" s="605" t="s">
        <v>520</v>
      </c>
      <c r="B61" s="606" t="e">
        <f t="shared" si="16"/>
        <v>#DIV/0!</v>
      </c>
      <c r="C61" s="365">
        <f t="shared" si="15"/>
        <v>0.15</v>
      </c>
      <c r="D61" s="1946">
        <v>0.25</v>
      </c>
      <c r="E61" s="609">
        <f>'数据-汇总表'!E15</f>
        <v>0</v>
      </c>
      <c r="F61" s="1704" t="e">
        <f t="shared" si="14"/>
        <v>#DIV/0!</v>
      </c>
      <c r="G61" s="1711" t="s">
        <v>1643</v>
      </c>
      <c r="H61" s="1712" t="str">
        <f>项目基本情况!C43</f>
        <v>六级</v>
      </c>
      <c r="I61" s="1707">
        <f>SUMIF(修正!$A$57:$A$68,H61,修正!G57:G68)</f>
        <v>0.15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3.5" thickBot="1">
      <c r="A62" s="610" t="s">
        <v>521</v>
      </c>
      <c r="B62" s="611" t="s">
        <v>11</v>
      </c>
      <c r="C62" s="611" t="s">
        <v>12</v>
      </c>
      <c r="D62" s="611" t="s">
        <v>1650</v>
      </c>
      <c r="E62" s="611">
        <f>IF(B43="楼面地价",SUM(E53:E61),'数据-汇总表'!D3)</f>
        <v>16124.25</v>
      </c>
      <c r="F62" s="612" t="e">
        <f>IF(B43="楼面地价",SUM(F53:F61),ROUND(C45*E62/10000,0))</f>
        <v>#DIV/0!</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2023-12-1</v>
      </c>
      <c r="D64" s="2277">
        <f>EDATE(C64,-3)</f>
        <v>45170</v>
      </c>
      <c r="E64" s="2277">
        <f t="shared" ref="E64:N64" si="17">EDATE(D64,-3)</f>
        <v>45078</v>
      </c>
      <c r="F64" s="2277">
        <f t="shared" si="17"/>
        <v>44986</v>
      </c>
      <c r="G64" s="2277">
        <f t="shared" si="17"/>
        <v>44896</v>
      </c>
      <c r="H64" s="2277">
        <f t="shared" si="17"/>
        <v>44805</v>
      </c>
      <c r="I64" s="2277">
        <f t="shared" si="17"/>
        <v>44713</v>
      </c>
      <c r="J64" s="2277">
        <f t="shared" si="17"/>
        <v>44621</v>
      </c>
      <c r="K64" s="2277">
        <f t="shared" si="17"/>
        <v>44531</v>
      </c>
      <c r="L64" s="2277">
        <f t="shared" si="17"/>
        <v>44440</v>
      </c>
      <c r="M64" s="2277">
        <f t="shared" si="17"/>
        <v>44348</v>
      </c>
      <c r="N64" s="2277">
        <f t="shared" si="17"/>
        <v>44256</v>
      </c>
      <c r="O64" s="1866"/>
      <c r="P64" s="1866"/>
      <c r="Q64" s="1866"/>
      <c r="R64" s="1866"/>
      <c r="S64" s="1866"/>
      <c r="T64" s="1866"/>
      <c r="U64" s="1866"/>
      <c r="V64" s="1866"/>
      <c r="W64" s="1866"/>
      <c r="X64" s="1866"/>
      <c r="Y64" s="1866"/>
      <c r="Z64" s="1866"/>
      <c r="AA64" s="1866"/>
      <c r="AB64" s="1866"/>
      <c r="AC64" s="1866"/>
    </row>
    <row r="65" spans="1:29" ht="21.75" thickBot="1">
      <c r="A65" s="1396" t="s">
        <v>522</v>
      </c>
      <c r="B65" s="1374"/>
      <c r="C65" s="1395"/>
      <c r="D65" s="1395"/>
      <c r="E65" s="1395"/>
      <c r="F65" s="1397"/>
      <c r="G65" s="1397"/>
      <c r="H65" s="1395"/>
      <c r="I65" s="1395"/>
      <c r="J65" s="1395"/>
      <c r="K65" s="1398"/>
      <c r="L65" s="1394"/>
      <c r="M65" s="1395"/>
      <c r="N65" s="1395"/>
      <c r="O65" s="1877"/>
      <c r="P65" s="1877"/>
      <c r="Q65" s="1878"/>
      <c r="R65" s="1866"/>
      <c r="S65" s="1866"/>
      <c r="T65" s="1866"/>
      <c r="U65" s="1866"/>
      <c r="V65" s="1866"/>
      <c r="W65" s="1866"/>
      <c r="X65" s="1866"/>
      <c r="Y65" s="1866"/>
      <c r="Z65" s="1866"/>
      <c r="AA65" s="1866"/>
      <c r="AB65" s="1866"/>
      <c r="AC65" s="1866"/>
    </row>
    <row r="66" spans="1:29" s="1207" customFormat="1" ht="15">
      <c r="A66" s="2183" t="s">
        <v>1815</v>
      </c>
      <c r="B66" s="614"/>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8" customFormat="1" ht="27.75" customHeight="1">
      <c r="A67" s="2276" t="s">
        <v>1930</v>
      </c>
      <c r="B67" s="465" t="str">
        <f>"北京市平均增长率"&amp;TEXT(基准地价!P28,"0.00%")</f>
        <v>北京市平均增长率0.00%</v>
      </c>
      <c r="C67" s="857">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8"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8" customFormat="1" ht="15">
      <c r="A69" s="627" t="s">
        <v>480</v>
      </c>
      <c r="B69" s="616"/>
      <c r="C69" s="628" t="s">
        <v>524</v>
      </c>
      <c r="D69" s="629"/>
      <c r="E69" s="629"/>
      <c r="F69" s="629"/>
      <c r="G69" s="629"/>
      <c r="H69" s="629"/>
      <c r="I69" s="629"/>
      <c r="J69" s="629"/>
      <c r="K69" s="629"/>
      <c r="L69" s="630"/>
      <c r="M69" s="631"/>
      <c r="N69" s="2966"/>
      <c r="O69" s="1882"/>
      <c r="P69" s="1883"/>
      <c r="Q69" s="1878"/>
      <c r="R69" s="1744"/>
      <c r="S69" s="1744"/>
      <c r="T69" s="1744"/>
      <c r="U69" s="1744"/>
      <c r="V69" s="1744"/>
      <c r="W69" s="1744"/>
      <c r="X69" s="1744"/>
      <c r="Y69" s="1744"/>
      <c r="Z69" s="1744"/>
      <c r="AA69" s="1744"/>
      <c r="AB69" s="1744"/>
      <c r="AC69" s="1744"/>
    </row>
    <row r="70" spans="1:29" s="1118" customFormat="1" ht="15.75" thickBot="1">
      <c r="A70" s="627"/>
      <c r="B70" s="616"/>
      <c r="C70" s="617">
        <v>100</v>
      </c>
      <c r="D70" s="618"/>
      <c r="E70" s="618"/>
      <c r="F70" s="618"/>
      <c r="G70" s="618"/>
      <c r="H70" s="618"/>
      <c r="I70" s="618"/>
      <c r="J70" s="618"/>
      <c r="K70" s="618"/>
      <c r="L70" s="618"/>
      <c r="M70" s="620"/>
      <c r="N70" s="2966"/>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67"/>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68"/>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67"/>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68"/>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67"/>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8"/>
      <c r="O77" s="1886"/>
      <c r="P77" s="1885"/>
      <c r="Q77" s="1878"/>
      <c r="R77" s="1866"/>
      <c r="S77" s="1866"/>
      <c r="T77" s="1866"/>
      <c r="U77" s="1866"/>
      <c r="V77" s="1866"/>
      <c r="W77" s="1866"/>
      <c r="X77" s="1866"/>
      <c r="Y77" s="1866"/>
      <c r="Z77" s="1866"/>
      <c r="AA77" s="1866"/>
      <c r="AB77" s="1866"/>
      <c r="AC77" s="1866"/>
    </row>
    <row r="78" spans="1:29" s="1200" customFormat="1" ht="15.75" thickTop="1">
      <c r="A78" s="655"/>
      <c r="B78" s="641">
        <f>B14</f>
        <v>111</v>
      </c>
      <c r="C78" s="656"/>
      <c r="D78" s="656"/>
      <c r="E78" s="656"/>
      <c r="F78" s="656"/>
      <c r="G78" s="656"/>
      <c r="H78" s="657"/>
      <c r="I78" s="657"/>
      <c r="J78" s="657"/>
      <c r="K78" s="657"/>
      <c r="L78" s="658"/>
      <c r="M78" s="659"/>
      <c r="N78" s="2969"/>
      <c r="O78" s="1887"/>
      <c r="P78" s="1888"/>
      <c r="Q78" s="1889"/>
      <c r="R78" s="1890"/>
      <c r="S78" s="1890"/>
      <c r="T78" s="1890"/>
      <c r="U78" s="1890"/>
      <c r="V78" s="1890"/>
      <c r="W78" s="1890"/>
      <c r="X78" s="1890"/>
      <c r="Y78" s="1890"/>
      <c r="Z78" s="1890"/>
      <c r="AA78" s="1890"/>
      <c r="AB78" s="1890"/>
      <c r="AC78" s="1890"/>
    </row>
    <row r="79" spans="1:29" s="1200" customFormat="1" ht="15.75" thickBot="1">
      <c r="A79" s="655"/>
      <c r="B79" s="646"/>
      <c r="C79" s="660"/>
      <c r="D79" s="639"/>
      <c r="E79" s="639"/>
      <c r="F79" s="639"/>
      <c r="G79" s="639"/>
      <c r="H79" s="639"/>
      <c r="I79" s="639"/>
      <c r="J79" s="639"/>
      <c r="K79" s="639"/>
      <c r="L79" s="639"/>
      <c r="M79" s="640"/>
      <c r="N79" s="2968"/>
      <c r="O79" s="1886"/>
      <c r="P79" s="1888"/>
      <c r="Q79" s="1889"/>
      <c r="R79" s="1890"/>
      <c r="S79" s="1890"/>
      <c r="T79" s="1890"/>
      <c r="U79" s="1890"/>
      <c r="V79" s="1890"/>
      <c r="W79" s="1890"/>
      <c r="X79" s="1890"/>
      <c r="Y79" s="1890"/>
      <c r="Z79" s="1890"/>
      <c r="AA79" s="1890"/>
      <c r="AB79" s="1890"/>
      <c r="AC79" s="1890"/>
    </row>
    <row r="80" spans="1:29" s="1200" customFormat="1" ht="15.75" thickTop="1">
      <c r="A80" s="655"/>
      <c r="B80" s="641">
        <f>B15</f>
        <v>111</v>
      </c>
      <c r="C80" s="656"/>
      <c r="D80" s="656"/>
      <c r="E80" s="656"/>
      <c r="F80" s="656"/>
      <c r="G80" s="656"/>
      <c r="H80" s="657"/>
      <c r="I80" s="657"/>
      <c r="J80" s="657"/>
      <c r="K80" s="657"/>
      <c r="L80" s="658"/>
      <c r="M80" s="659"/>
      <c r="N80" s="2969"/>
      <c r="O80" s="1887"/>
      <c r="P80" s="1891"/>
      <c r="Q80" s="1892"/>
      <c r="R80" s="1890"/>
      <c r="S80" s="1890"/>
      <c r="T80" s="1890"/>
      <c r="U80" s="1890"/>
      <c r="V80" s="1890"/>
      <c r="W80" s="1890"/>
      <c r="X80" s="1890"/>
      <c r="Y80" s="1890"/>
      <c r="Z80" s="1890"/>
      <c r="AA80" s="1890"/>
      <c r="AB80" s="1890"/>
      <c r="AC80" s="1890"/>
    </row>
    <row r="81" spans="1:29" s="1200" customFormat="1" ht="15.75" thickBot="1">
      <c r="A81" s="655"/>
      <c r="B81" s="646"/>
      <c r="C81" s="660"/>
      <c r="D81" s="660"/>
      <c r="E81" s="660"/>
      <c r="F81" s="660"/>
      <c r="G81" s="660"/>
      <c r="H81" s="661"/>
      <c r="I81" s="661"/>
      <c r="J81" s="661"/>
      <c r="K81" s="661"/>
      <c r="L81" s="661"/>
      <c r="M81" s="662"/>
      <c r="N81" s="2969"/>
      <c r="O81" s="1887"/>
      <c r="P81" s="1888"/>
      <c r="Q81" s="1889"/>
      <c r="R81" s="1890"/>
      <c r="S81" s="1890"/>
      <c r="T81" s="1890"/>
      <c r="U81" s="1890"/>
      <c r="V81" s="1890"/>
      <c r="W81" s="1890"/>
      <c r="X81" s="1890"/>
      <c r="Y81" s="1890"/>
      <c r="Z81" s="1890"/>
      <c r="AA81" s="1890"/>
      <c r="AB81" s="1890"/>
      <c r="AC81" s="1890"/>
    </row>
    <row r="82" spans="1:29" s="1200" customFormat="1" ht="15.75" thickTop="1">
      <c r="A82" s="655"/>
      <c r="B82" s="649">
        <f>B16</f>
        <v>111</v>
      </c>
      <c r="C82" s="629"/>
      <c r="D82" s="629"/>
      <c r="E82" s="629"/>
      <c r="F82" s="629"/>
      <c r="G82" s="629"/>
      <c r="H82" s="663"/>
      <c r="I82" s="663"/>
      <c r="J82" s="663"/>
      <c r="K82" s="663"/>
      <c r="L82" s="664"/>
      <c r="M82" s="665"/>
      <c r="N82" s="2969"/>
      <c r="O82" s="1887"/>
      <c r="P82" s="1893"/>
      <c r="Q82" s="1889"/>
      <c r="R82" s="1890"/>
      <c r="S82" s="1890"/>
      <c r="T82" s="1890"/>
      <c r="U82" s="1890"/>
      <c r="V82" s="1890"/>
      <c r="W82" s="1890"/>
      <c r="X82" s="1890"/>
      <c r="Y82" s="1890"/>
      <c r="Z82" s="1890"/>
      <c r="AA82" s="1890"/>
      <c r="AB82" s="1890"/>
      <c r="AC82" s="1890"/>
    </row>
    <row r="83" spans="1:29" s="1200" customFormat="1" ht="15.75" thickBot="1">
      <c r="A83" s="666"/>
      <c r="B83" s="667"/>
      <c r="C83" s="668"/>
      <c r="D83" s="668"/>
      <c r="E83" s="668"/>
      <c r="F83" s="668"/>
      <c r="G83" s="668"/>
      <c r="H83" s="669"/>
      <c r="I83" s="669"/>
      <c r="J83" s="669"/>
      <c r="K83" s="669"/>
      <c r="L83" s="669"/>
      <c r="M83" s="670"/>
      <c r="N83" s="2969"/>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67"/>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8"/>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67"/>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8"/>
      <c r="O87" s="1886"/>
      <c r="P87" s="1885"/>
      <c r="Q87" s="1878"/>
      <c r="R87" s="1866"/>
      <c r="S87" s="1866"/>
      <c r="T87" s="1866"/>
      <c r="U87" s="1866"/>
      <c r="V87" s="1866"/>
      <c r="W87" s="1866"/>
      <c r="X87" s="1866"/>
      <c r="Y87" s="1866"/>
      <c r="Z87" s="1866"/>
      <c r="AA87" s="1866"/>
      <c r="AB87" s="1866"/>
      <c r="AC87" s="1866"/>
    </row>
    <row r="88" spans="1:29" s="1118" customFormat="1" ht="15.75" thickTop="1">
      <c r="A88" s="677"/>
      <c r="B88" s="641" t="s">
        <v>535</v>
      </c>
      <c r="C88" s="676" t="s">
        <v>527</v>
      </c>
      <c r="D88" s="676" t="s">
        <v>528</v>
      </c>
      <c r="E88" s="676" t="s">
        <v>529</v>
      </c>
      <c r="F88" s="676" t="s">
        <v>530</v>
      </c>
      <c r="G88" s="676" t="s">
        <v>531</v>
      </c>
      <c r="H88" s="676"/>
      <c r="I88" s="676"/>
      <c r="J88" s="676"/>
      <c r="K88" s="676"/>
      <c r="L88" s="678"/>
      <c r="M88" s="679"/>
      <c r="N88" s="2966"/>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8"/>
      <c r="O89" s="1886"/>
      <c r="P89" s="1885"/>
      <c r="Q89" s="1878"/>
      <c r="R89" s="1744"/>
      <c r="S89" s="1744"/>
      <c r="T89" s="1744"/>
      <c r="U89" s="1744"/>
      <c r="V89" s="1744"/>
      <c r="W89" s="1744"/>
      <c r="X89" s="1744"/>
      <c r="Y89" s="1744"/>
      <c r="Z89" s="1744"/>
      <c r="AA89" s="1744"/>
      <c r="AB89" s="1744"/>
      <c r="AC89" s="1744"/>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6"/>
      <c r="O90" s="1882"/>
      <c r="P90" s="1885"/>
      <c r="Q90" s="1878"/>
      <c r="R90" s="1744"/>
      <c r="S90" s="1744"/>
      <c r="T90" s="1744"/>
      <c r="U90" s="1744"/>
      <c r="V90" s="1744"/>
      <c r="W90" s="1744"/>
      <c r="X90" s="1744"/>
      <c r="Y90" s="1744"/>
      <c r="Z90" s="1744"/>
      <c r="AA90" s="1744"/>
      <c r="AB90" s="1744"/>
      <c r="AC90" s="1744"/>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8"/>
      <c r="O91" s="1886"/>
      <c r="P91" s="1885"/>
      <c r="Q91" s="1878"/>
      <c r="R91" s="1744"/>
      <c r="S91" s="1744"/>
      <c r="T91" s="1744"/>
      <c r="U91" s="1744"/>
      <c r="V91" s="1744"/>
      <c r="W91" s="1744"/>
      <c r="X91" s="1744"/>
      <c r="Y91" s="1744"/>
      <c r="Z91" s="1744"/>
      <c r="AA91" s="1744"/>
      <c r="AB91" s="1744"/>
      <c r="AC91" s="1744"/>
    </row>
    <row r="92" spans="1:29" s="1200" customFormat="1" ht="15.75" thickTop="1">
      <c r="A92" s="655"/>
      <c r="B92" s="1650" t="s">
        <v>1830</v>
      </c>
      <c r="C92" s="671" t="s">
        <v>527</v>
      </c>
      <c r="D92" s="671" t="s">
        <v>528</v>
      </c>
      <c r="E92" s="671" t="s">
        <v>529</v>
      </c>
      <c r="F92" s="671" t="s">
        <v>530</v>
      </c>
      <c r="G92" s="671" t="s">
        <v>531</v>
      </c>
      <c r="H92" s="681"/>
      <c r="I92" s="681"/>
      <c r="J92" s="681"/>
      <c r="K92" s="681"/>
      <c r="L92" s="682"/>
      <c r="M92" s="683"/>
      <c r="N92" s="2969"/>
      <c r="O92" s="1887"/>
      <c r="P92" s="1888"/>
      <c r="Q92" s="1889"/>
      <c r="R92" s="1890"/>
      <c r="S92" s="1890"/>
      <c r="T92" s="1890"/>
      <c r="U92" s="1890"/>
      <c r="V92" s="1890"/>
      <c r="W92" s="1890"/>
      <c r="X92" s="1890"/>
      <c r="Y92" s="1890"/>
      <c r="Z92" s="1890"/>
      <c r="AA92" s="1890"/>
      <c r="AB92" s="1890"/>
      <c r="AC92" s="1890"/>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69"/>
      <c r="O93" s="1887"/>
      <c r="P93" s="1888"/>
      <c r="Q93" s="1889"/>
      <c r="R93" s="1890"/>
      <c r="S93" s="1890"/>
      <c r="T93" s="1890"/>
      <c r="U93" s="1890"/>
      <c r="V93" s="1890"/>
      <c r="W93" s="1890"/>
      <c r="X93" s="1890"/>
      <c r="Y93" s="1890"/>
      <c r="Z93" s="1890"/>
      <c r="AA93" s="1890"/>
      <c r="AB93" s="1890"/>
      <c r="AC93" s="1890"/>
    </row>
    <row r="94" spans="1:29" s="1200" customFormat="1" ht="15.75" thickTop="1">
      <c r="A94" s="655"/>
      <c r="B94" s="2203" t="s">
        <v>1832</v>
      </c>
      <c r="C94" s="2204" t="s">
        <v>1833</v>
      </c>
      <c r="D94" s="2204" t="s">
        <v>1834</v>
      </c>
      <c r="E94" s="2204" t="s">
        <v>1835</v>
      </c>
      <c r="F94" s="2204" t="s">
        <v>1836</v>
      </c>
      <c r="G94" s="2204" t="s">
        <v>1837</v>
      </c>
      <c r="H94" s="681"/>
      <c r="I94" s="681"/>
      <c r="J94" s="681"/>
      <c r="K94" s="681"/>
      <c r="L94" s="681"/>
      <c r="M94" s="683"/>
      <c r="N94" s="2969"/>
      <c r="O94" s="1887"/>
      <c r="P94" s="1888"/>
      <c r="Q94" s="1889"/>
      <c r="R94" s="1890"/>
      <c r="S94" s="1890"/>
      <c r="T94" s="1890"/>
      <c r="U94" s="1890"/>
      <c r="V94" s="1890"/>
      <c r="W94" s="1890"/>
      <c r="X94" s="1890"/>
      <c r="Y94" s="1890"/>
      <c r="Z94" s="1890"/>
      <c r="AA94" s="1890"/>
      <c r="AB94" s="1890"/>
      <c r="AC94" s="1890"/>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6"/>
      <c r="N95" s="2969"/>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67"/>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8"/>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67"/>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8"/>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67"/>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67"/>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68"/>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67"/>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68"/>
      <c r="O105" s="1886"/>
      <c r="P105" s="1885"/>
      <c r="Q105" s="1878"/>
      <c r="R105" s="1866"/>
      <c r="S105" s="1866"/>
      <c r="T105" s="1866"/>
      <c r="U105" s="1866"/>
      <c r="V105" s="1866"/>
      <c r="W105" s="1866"/>
      <c r="X105" s="1866"/>
      <c r="Y105" s="1866"/>
      <c r="Z105" s="1866"/>
      <c r="AA105" s="1866"/>
      <c r="AB105" s="1866"/>
      <c r="AC105" s="1866"/>
    </row>
    <row r="106" spans="1:29" s="1200" customFormat="1" ht="15" thickTop="1">
      <c r="A106" s="696"/>
      <c r="B106" s="697">
        <f>B35</f>
        <v>111</v>
      </c>
      <c r="C106" s="629"/>
      <c r="D106" s="629"/>
      <c r="E106" s="629"/>
      <c r="F106" s="629"/>
      <c r="G106" s="698"/>
      <c r="H106" s="698"/>
      <c r="I106" s="698"/>
      <c r="J106" s="699"/>
      <c r="K106" s="699"/>
      <c r="L106" s="700"/>
      <c r="M106" s="701"/>
      <c r="N106" s="2969"/>
      <c r="O106" s="1887"/>
      <c r="P106" s="1888"/>
      <c r="Q106" s="1889"/>
      <c r="R106" s="1890"/>
      <c r="S106" s="1890"/>
      <c r="T106" s="1890"/>
      <c r="U106" s="1890"/>
      <c r="V106" s="1890"/>
      <c r="W106" s="1890"/>
      <c r="X106" s="1890"/>
      <c r="Y106" s="1890"/>
      <c r="Z106" s="1890"/>
      <c r="AA106" s="1890"/>
      <c r="AB106" s="1890"/>
      <c r="AC106" s="1890"/>
    </row>
    <row r="107" spans="1:29" s="1200" customFormat="1" ht="15.75" thickBot="1">
      <c r="A107" s="655"/>
      <c r="B107" s="649"/>
      <c r="C107" s="668"/>
      <c r="D107" s="668"/>
      <c r="E107" s="668"/>
      <c r="F107" s="668"/>
      <c r="G107" s="562"/>
      <c r="H107" s="562"/>
      <c r="I107" s="562"/>
      <c r="J107" s="562"/>
      <c r="K107" s="562"/>
      <c r="L107" s="562"/>
      <c r="M107" s="702"/>
      <c r="N107" s="2968"/>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67"/>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68"/>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7"/>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8"/>
      <c r="O112" s="1886"/>
      <c r="P112" s="1885"/>
      <c r="Q112" s="1878"/>
      <c r="R112" s="1866"/>
      <c r="S112" s="1866"/>
      <c r="T112" s="1866"/>
      <c r="U112" s="1866"/>
      <c r="V112" s="1866"/>
      <c r="W112" s="1866"/>
      <c r="X112" s="1866"/>
      <c r="Y112" s="1866"/>
      <c r="Z112" s="1866"/>
      <c r="AA112" s="1866"/>
      <c r="AB112" s="1866"/>
      <c r="AC112" s="1866"/>
    </row>
    <row r="113" spans="1:29" s="1200" customFormat="1" ht="15" thickTop="1">
      <c r="A113" s="696"/>
      <c r="B113" s="1650" t="s">
        <v>1776</v>
      </c>
      <c r="C113" s="1233"/>
      <c r="D113" s="1233"/>
      <c r="E113" s="1233"/>
      <c r="F113" s="1233"/>
      <c r="G113" s="1233"/>
      <c r="H113" s="686"/>
      <c r="I113" s="686"/>
      <c r="J113" s="686"/>
      <c r="K113" s="687"/>
      <c r="L113" s="688"/>
      <c r="M113" s="689"/>
      <c r="N113" s="2969"/>
      <c r="O113" s="1887"/>
      <c r="P113" s="1888"/>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7"/>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67"/>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68"/>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67"/>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68"/>
      <c r="O120" s="1886"/>
      <c r="P120" s="1885"/>
      <c r="Q120" s="1878"/>
      <c r="R120" s="1866"/>
      <c r="S120" s="1866"/>
      <c r="T120" s="1866"/>
      <c r="U120" s="1866"/>
      <c r="V120" s="1866"/>
      <c r="W120" s="1866"/>
      <c r="X120" s="1866"/>
      <c r="Y120" s="1866"/>
      <c r="Z120" s="1866"/>
      <c r="AA120" s="1866"/>
      <c r="AB120" s="1866"/>
      <c r="AC120" s="1866"/>
    </row>
    <row r="121" spans="1:29" s="1200" customFormat="1" ht="15" thickTop="1">
      <c r="A121" s="696"/>
      <c r="B121" s="641">
        <f>B42</f>
        <v>111</v>
      </c>
      <c r="C121" s="629"/>
      <c r="D121" s="629"/>
      <c r="E121" s="629"/>
      <c r="F121" s="629"/>
      <c r="G121" s="657"/>
      <c r="H121" s="657"/>
      <c r="I121" s="657"/>
      <c r="J121" s="657"/>
      <c r="K121" s="657"/>
      <c r="L121" s="658"/>
      <c r="M121" s="659"/>
      <c r="N121" s="2969"/>
      <c r="O121" s="1887"/>
      <c r="P121" s="1888"/>
      <c r="Q121" s="1889"/>
      <c r="R121" s="1890"/>
      <c r="S121" s="1890"/>
      <c r="T121" s="1890"/>
      <c r="U121" s="1890"/>
      <c r="V121" s="1890"/>
      <c r="W121" s="1890"/>
      <c r="X121" s="1890"/>
      <c r="Y121" s="1890"/>
      <c r="Z121" s="1890"/>
      <c r="AA121" s="1890"/>
      <c r="AB121" s="1890"/>
      <c r="AC121" s="1890"/>
    </row>
    <row r="122" spans="1:29" s="1200" customFormat="1" ht="15.75" thickBot="1">
      <c r="A122" s="666"/>
      <c r="B122" s="704"/>
      <c r="C122" s="668"/>
      <c r="D122" s="668"/>
      <c r="E122" s="668"/>
      <c r="F122" s="668"/>
      <c r="G122" s="694"/>
      <c r="H122" s="694"/>
      <c r="I122" s="694"/>
      <c r="J122" s="694"/>
      <c r="K122" s="694"/>
      <c r="L122" s="694"/>
      <c r="M122" s="695"/>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9" priority="18" stopIfTrue="1" operator="containsText" text="超过">
      <formula>NOT(ISERROR(SEARCH("超过",F48)))</formula>
    </cfRule>
  </conditionalFormatting>
  <conditionalFormatting sqref="J50">
    <cfRule type="containsText" dxfId="168" priority="17" stopIfTrue="1" operator="containsText" text="超过">
      <formula>NOT(ISERROR(SEARCH("超过",J50)))</formula>
    </cfRule>
  </conditionalFormatting>
  <conditionalFormatting sqref="H50">
    <cfRule type="containsText" dxfId="167" priority="16" stopIfTrue="1" operator="containsText" text="超过">
      <formula>NOT(ISERROR(SEARCH("超过",H50)))</formula>
    </cfRule>
  </conditionalFormatting>
  <conditionalFormatting sqref="F50">
    <cfRule type="containsText" dxfId="166" priority="15" stopIfTrue="1" operator="containsText" text="超过">
      <formula>NOT(ISERROR(SEARCH("超过",F50)))</formula>
    </cfRule>
  </conditionalFormatting>
  <conditionalFormatting sqref="F49 H49 J49">
    <cfRule type="containsText" dxfId="165" priority="14" stopIfTrue="1" operator="containsText" text="超过">
      <formula>NOT(ISERROR(SEARCH("超过",F49)))</formula>
    </cfRule>
  </conditionalFormatting>
  <conditionalFormatting sqref="E48">
    <cfRule type="expression" dxfId="164" priority="13" stopIfTrue="1">
      <formula>$F$48="超过30%"</formula>
    </cfRule>
  </conditionalFormatting>
  <conditionalFormatting sqref="G50">
    <cfRule type="expression" dxfId="163" priority="12" stopIfTrue="1">
      <formula>$H$50="超过30%"</formula>
    </cfRule>
  </conditionalFormatting>
  <conditionalFormatting sqref="E50">
    <cfRule type="expression" dxfId="162" priority="10" stopIfTrue="1">
      <formula>$F$50="超过30%"</formula>
    </cfRule>
  </conditionalFormatting>
  <conditionalFormatting sqref="G48">
    <cfRule type="expression" dxfId="161" priority="9" stopIfTrue="1">
      <formula>$H$48="超过30%"</formula>
    </cfRule>
  </conditionalFormatting>
  <conditionalFormatting sqref="G49">
    <cfRule type="expression" dxfId="160" priority="8" stopIfTrue="1">
      <formula>$H$49="超过20%"</formula>
    </cfRule>
  </conditionalFormatting>
  <conditionalFormatting sqref="I48">
    <cfRule type="expression" dxfId="159" priority="7" stopIfTrue="1">
      <formula>$J$48="超过30%"</formula>
    </cfRule>
  </conditionalFormatting>
  <conditionalFormatting sqref="I49">
    <cfRule type="expression" dxfId="158" priority="6" stopIfTrue="1">
      <formula>$J$49="超过20%"</formula>
    </cfRule>
  </conditionalFormatting>
  <conditionalFormatting sqref="I50">
    <cfRule type="expression" dxfId="157" priority="5" stopIfTrue="1">
      <formula>$J$50="超过30%"</formula>
    </cfRule>
  </conditionalFormatting>
  <conditionalFormatting sqref="E49">
    <cfRule type="expression" dxfId="156" priority="51" stopIfTrue="1">
      <formula>#REF!+$F$49="超过20%"</formula>
    </cfRule>
  </conditionalFormatting>
  <conditionalFormatting sqref="F44">
    <cfRule type="expression" dxfId="155" priority="4">
      <formula>$D$44="简单平均"</formula>
    </cfRule>
  </conditionalFormatting>
  <conditionalFormatting sqref="H44">
    <cfRule type="expression" dxfId="154" priority="3">
      <formula>$D$44="简单平均"</formula>
    </cfRule>
  </conditionalFormatting>
  <conditionalFormatting sqref="J44">
    <cfRule type="expression" dxfId="153" priority="2">
      <formula>$D$44="简单平均"</formula>
    </cfRule>
  </conditionalFormatting>
  <conditionalFormatting sqref="F9:F42 H9:H42 J9:J42">
    <cfRule type="cellIs" dxfId="15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topLeftCell="A16"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915</v>
      </c>
      <c r="D1" s="1340">
        <f>SUM(D33:D34,D37:D42)</f>
        <v>5960.87</v>
      </c>
      <c r="E1" s="1260" t="s">
        <v>1778</v>
      </c>
      <c r="F1" s="2103">
        <f>'数据-汇总表'!R20</f>
        <v>2371.4</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1174</v>
      </c>
      <c r="T1" s="2413" t="s">
        <v>2060</v>
      </c>
      <c r="U1" s="2413" t="s">
        <v>2061</v>
      </c>
      <c r="V1" s="2413" t="s">
        <v>916</v>
      </c>
      <c r="W1" s="1909"/>
      <c r="X1" s="1909"/>
      <c r="Y1" s="1909"/>
      <c r="Z1" s="1909"/>
      <c r="AA1" s="1909"/>
      <c r="AB1" s="1909"/>
      <c r="AC1" s="1910"/>
    </row>
    <row r="2" spans="1:39" ht="15.75">
      <c r="A2" s="1260" t="s">
        <v>848</v>
      </c>
      <c r="B2" s="991" t="e">
        <f>C30</f>
        <v>#DIV/0!</v>
      </c>
      <c r="C2" s="1261" t="s">
        <v>849</v>
      </c>
      <c r="D2" s="1262" t="s">
        <v>833</v>
      </c>
      <c r="E2" s="1263" t="s">
        <v>2736</v>
      </c>
      <c r="F2" s="1262" t="s">
        <v>834</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2458</v>
      </c>
      <c r="F3" s="1267" t="s">
        <v>3539</v>
      </c>
      <c r="G3" s="992">
        <f>IF(F3="宗地容积率",'数据-汇总表'!I4,IF(F3="估价对象容积率",'数据-汇总表'!I6,'数据-汇总表'!I7))</f>
        <v>0</v>
      </c>
      <c r="H3" s="1268" t="s">
        <v>857</v>
      </c>
      <c r="I3" s="993">
        <v>1</v>
      </c>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11600</v>
      </c>
      <c r="D5" s="2545">
        <f>ROUND(C6*C17+C20,0)</f>
        <v>11600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11600</v>
      </c>
      <c r="D6" s="3518" t="s">
        <v>1228</v>
      </c>
      <c r="E6" s="1276"/>
      <c r="F6" s="1276"/>
      <c r="G6" s="3519"/>
      <c r="H6" s="3519"/>
      <c r="I6" s="3519"/>
      <c r="J6" s="3520"/>
      <c r="K6" s="2973"/>
      <c r="L6" s="1639" t="s">
        <v>1601</v>
      </c>
      <c r="M6" s="1640">
        <f>SUMPRODUCT((区片价!B127:B189=I2)*(区片价!C3:G3=E2)*(区片价!C127:G189))</f>
        <v>11600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15.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3664" t="s">
        <v>2045</v>
      </c>
      <c r="X7" s="2405" t="str">
        <f>G2</f>
        <v>六级</v>
      </c>
      <c r="Y7" s="2405" t="s">
        <v>2046</v>
      </c>
      <c r="Z7" s="2406">
        <f>G3</f>
        <v>0</v>
      </c>
      <c r="AA7" s="1912"/>
      <c r="AB7" s="1912"/>
      <c r="AC7" s="1913"/>
      <c r="AD7" s="2407"/>
      <c r="AE7" s="2407"/>
      <c r="AF7" s="2407"/>
      <c r="AG7" s="2407"/>
      <c r="AH7" s="2407"/>
      <c r="AI7" s="2407"/>
      <c r="AJ7" s="2408"/>
    </row>
    <row r="8" spans="1:39" ht="25.5">
      <c r="A8" s="3527"/>
      <c r="B8" s="1268" t="s">
        <v>862</v>
      </c>
      <c r="C8" s="3528" t="s">
        <v>3264</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47" t="s">
        <v>2059</v>
      </c>
      <c r="X8" s="3948"/>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49"/>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49"/>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680">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0.88249999999999995</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50" t="s">
        <v>1370</v>
      </c>
      <c r="B20" s="1277" t="s">
        <v>875</v>
      </c>
      <c r="C20" s="998">
        <f>ROUND(IF(F21="与级别开发程度一致",0,(G21-E21)/C21),0)</f>
        <v>0</v>
      </c>
      <c r="D20" s="3952" t="s">
        <v>879</v>
      </c>
      <c r="E20" s="3953"/>
      <c r="F20" s="3952" t="s">
        <v>876</v>
      </c>
      <c r="G20" s="3953"/>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51"/>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3265</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1355</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1356</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96" t="s">
        <v>882</v>
      </c>
      <c r="E23" s="1000">
        <v>44197</v>
      </c>
      <c r="F23" s="1296" t="s">
        <v>883</v>
      </c>
      <c r="G23" s="1001">
        <f>'数据-取费表'!B2</f>
        <v>45266</v>
      </c>
      <c r="H23" s="1297" t="s">
        <v>2241</v>
      </c>
      <c r="I23" s="2264" t="str">
        <f>IF(H23="季度增幅（自定义）",SUMIF(N25:N28,E2,O25:O28),"")</f>
        <v/>
      </c>
      <c r="J23" s="3562" t="s">
        <v>3266</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1357</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40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1.5019</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0.99409999999999998</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900</v>
      </c>
      <c r="N30" s="1278" t="s">
        <v>902</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'数据-汇总表'!F20</f>
        <v>0</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13.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45"/>
      <c r="B37" s="1343" t="s">
        <v>923</v>
      </c>
      <c r="C37" s="1005" t="e">
        <f>ROUND(D5*C22*C23*C24*C28*F37,0)</f>
        <v>#DIV/0!</v>
      </c>
      <c r="D37" s="1355">
        <f>'数据-汇总表'!G20</f>
        <v>5960.87</v>
      </c>
      <c r="E37" s="996" t="e">
        <f>ROUND(C37*D37/10000,0)</f>
        <v>#DIV/0!</v>
      </c>
      <c r="F37" s="996">
        <f>SUMIF(修正!A57:A68,G2,修正!B57:B68)</f>
        <v>0.6</v>
      </c>
      <c r="G37" s="996" t="e">
        <f>ROUND(IF(E2="工业",C37*$M$42,C37*$M$41),0)</f>
        <v>#DIV/0!</v>
      </c>
      <c r="H37" s="996">
        <f>D37</f>
        <v>5960.87</v>
      </c>
      <c r="I37" s="996" t="e">
        <f>ROUND(G37*H37/10000,0)</f>
        <v>#DIV/0!</v>
      </c>
      <c r="J37" s="3945"/>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46"/>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46"/>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46"/>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46"/>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c r="E40" s="996" t="e">
        <f t="shared" si="4"/>
        <v>#DIV/0!</v>
      </c>
      <c r="F40" s="1005">
        <f>SUMIF(修正!A57:A68,G2,修正!E57:E68)</f>
        <v>0.25</v>
      </c>
      <c r="G40" s="996" t="e">
        <f>ROUND(IF(E2="工业",C40*$M$42,C40*$M$41),0)</f>
        <v>#DIV/0!</v>
      </c>
      <c r="H40" s="996">
        <f t="shared" si="5"/>
        <v>0</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2987</v>
      </c>
      <c r="D41" s="1355"/>
      <c r="E41" s="996">
        <f t="shared" si="4"/>
        <v>0</v>
      </c>
      <c r="F41" s="1005">
        <f>SUMIF(修正!A57:A68,G2,修正!F57:F68)</f>
        <v>0.25</v>
      </c>
      <c r="G41" s="996">
        <f>ROUND(IF(E2="工业",C41*$M$42,C41*$M$41),0)</f>
        <v>747</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1792</v>
      </c>
      <c r="D42" s="1356"/>
      <c r="E42" s="997">
        <f t="shared" si="4"/>
        <v>0</v>
      </c>
      <c r="F42" s="1007">
        <f>SUMIF(修正!A57:A68,G2,修正!G57:G68)</f>
        <v>0.15</v>
      </c>
      <c r="G42" s="997">
        <f>ROUND(IF(E2="工业",C42*$M$42,C42*$M$41),0)</f>
        <v>448</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900</v>
      </c>
      <c r="B48" s="3644">
        <f>1+E50</f>
        <v>0.99409999999999998</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662"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t="s">
        <v>3267</v>
      </c>
      <c r="D50" s="3594">
        <f t="shared" ref="D50:D58" si="7">SUMIF($J$49:$N$49,C50,J50:N50)</f>
        <v>-1.95E-2</v>
      </c>
      <c r="E50" s="3595">
        <f>ROUND(SUM(D50:D58),4)</f>
        <v>-5.8999999999999999E-3</v>
      </c>
      <c r="F50" s="3596">
        <f>IF(E2="商业",SUMIF(L1:L12,G2,N1:N12),"——")</f>
        <v>0.13</v>
      </c>
      <c r="G50" s="3597">
        <v>1.95E-2</v>
      </c>
      <c r="H50" s="3598">
        <f t="shared" ref="H50:H58" si="8">IFERROR(ROUNDDOWN(($F$50*I50/2),4),"——")</f>
        <v>1.95E-2</v>
      </c>
      <c r="I50" s="3572">
        <v>0.3</v>
      </c>
      <c r="J50" s="3599">
        <f t="shared" ref="J50:J58" si="9">K50+$G50</f>
        <v>3.9E-2</v>
      </c>
      <c r="K50" s="3599">
        <f t="shared" ref="K50:K58" si="10">$L50+$G50</f>
        <v>1.95E-2</v>
      </c>
      <c r="L50" s="3599">
        <v>0</v>
      </c>
      <c r="M50" s="3599">
        <f t="shared" ref="M50:N58" si="11">L50-$G50</f>
        <v>-1.95E-2</v>
      </c>
      <c r="N50" s="3599">
        <f t="shared" si="11"/>
        <v>-3.9E-2</v>
      </c>
      <c r="P50" s="1918"/>
      <c r="Q50" s="1918"/>
      <c r="R50" s="1918"/>
      <c r="S50" s="1918"/>
      <c r="T50" s="1918"/>
      <c r="U50" s="1918"/>
      <c r="V50" s="1918"/>
      <c r="W50" s="1918"/>
      <c r="X50" s="1918"/>
      <c r="Y50" s="1918"/>
      <c r="Z50" s="1918"/>
      <c r="AA50" s="1918"/>
      <c r="AB50" s="1918"/>
      <c r="AC50" s="1918"/>
      <c r="AD50" s="1918"/>
    </row>
    <row r="51" spans="1:30" s="3579" customFormat="1" ht="14.25">
      <c r="A51" s="3585" t="s">
        <v>943</v>
      </c>
      <c r="B51" s="3586" t="str">
        <f>估价对象房地状况!C18</f>
        <v>一般</v>
      </c>
      <c r="C51" s="3593" t="s">
        <v>3268</v>
      </c>
      <c r="D51" s="3594">
        <f t="shared" si="7"/>
        <v>0</v>
      </c>
      <c r="E51" s="3600"/>
      <c r="F51" s="3596"/>
      <c r="G51" s="3597">
        <v>1.43E-2</v>
      </c>
      <c r="H51" s="3598">
        <f t="shared" si="8"/>
        <v>1.43E-2</v>
      </c>
      <c r="I51" s="3572">
        <v>0.22</v>
      </c>
      <c r="J51" s="3599">
        <f t="shared" si="9"/>
        <v>2.86E-2</v>
      </c>
      <c r="K51" s="3599">
        <f t="shared" si="10"/>
        <v>1.43E-2</v>
      </c>
      <c r="L51" s="3599">
        <v>0</v>
      </c>
      <c r="M51" s="3599">
        <f t="shared" si="11"/>
        <v>-1.43E-2</v>
      </c>
      <c r="N51" s="3599">
        <f t="shared" si="11"/>
        <v>-2.86E-2</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t="s">
        <v>3268</v>
      </c>
      <c r="D52" s="3594">
        <f t="shared" si="7"/>
        <v>0</v>
      </c>
      <c r="E52" s="3600"/>
      <c r="F52" s="3596"/>
      <c r="G52" s="3597">
        <v>7.7999999999999996E-3</v>
      </c>
      <c r="H52" s="3598">
        <f t="shared" si="8"/>
        <v>7.7999999999999996E-3</v>
      </c>
      <c r="I52" s="3572">
        <v>0.12</v>
      </c>
      <c r="J52" s="3599">
        <f t="shared" si="9"/>
        <v>1.5599999999999999E-2</v>
      </c>
      <c r="K52" s="3599">
        <f t="shared" si="10"/>
        <v>7.7999999999999996E-3</v>
      </c>
      <c r="L52" s="3599">
        <v>0</v>
      </c>
      <c r="M52" s="3599">
        <f t="shared" si="11"/>
        <v>-7.7999999999999996E-3</v>
      </c>
      <c r="N52" s="3599">
        <f t="shared" si="11"/>
        <v>-1.5599999999999999E-2</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t="s">
        <v>3268</v>
      </c>
      <c r="D53" s="3594">
        <f t="shared" si="7"/>
        <v>0</v>
      </c>
      <c r="E53" s="3600"/>
      <c r="F53" s="3596"/>
      <c r="G53" s="3597">
        <v>3.2000000000000002E-3</v>
      </c>
      <c r="H53" s="3598">
        <f t="shared" si="8"/>
        <v>3.2000000000000002E-3</v>
      </c>
      <c r="I53" s="3572">
        <v>0.05</v>
      </c>
      <c r="J53" s="3599">
        <f t="shared" si="9"/>
        <v>6.4000000000000003E-3</v>
      </c>
      <c r="K53" s="3599">
        <f t="shared" si="10"/>
        <v>3.2000000000000002E-3</v>
      </c>
      <c r="L53" s="3599">
        <v>0</v>
      </c>
      <c r="M53" s="3599">
        <f t="shared" si="11"/>
        <v>-3.2000000000000002E-3</v>
      </c>
      <c r="N53" s="3599">
        <f t="shared" si="11"/>
        <v>-6.4000000000000003E-3</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t="s">
        <v>3268</v>
      </c>
      <c r="D54" s="3594">
        <f t="shared" si="7"/>
        <v>0</v>
      </c>
      <c r="E54" s="3600"/>
      <c r="F54" s="3596"/>
      <c r="G54" s="3597">
        <v>5.1999999999999998E-3</v>
      </c>
      <c r="H54" s="3598">
        <f t="shared" si="8"/>
        <v>5.1999999999999998E-3</v>
      </c>
      <c r="I54" s="3572">
        <v>0.08</v>
      </c>
      <c r="J54" s="3599">
        <f t="shared" si="9"/>
        <v>1.04E-2</v>
      </c>
      <c r="K54" s="3599">
        <f t="shared" si="10"/>
        <v>5.1999999999999998E-3</v>
      </c>
      <c r="L54" s="3599">
        <v>0</v>
      </c>
      <c r="M54" s="3599">
        <f t="shared" si="11"/>
        <v>-5.1999999999999998E-3</v>
      </c>
      <c r="N54" s="3599">
        <f t="shared" si="11"/>
        <v>-1.04E-2</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t="s">
        <v>3269</v>
      </c>
      <c r="D55" s="3594">
        <f t="shared" si="7"/>
        <v>3.2000000000000002E-3</v>
      </c>
      <c r="E55" s="3600"/>
      <c r="F55" s="3596"/>
      <c r="G55" s="3597">
        <v>3.2000000000000002E-3</v>
      </c>
      <c r="H55" s="3598">
        <f t="shared" si="8"/>
        <v>3.2000000000000002E-3</v>
      </c>
      <c r="I55" s="3572">
        <v>0.05</v>
      </c>
      <c r="J55" s="3599">
        <f t="shared" si="9"/>
        <v>6.4000000000000003E-3</v>
      </c>
      <c r="K55" s="3599">
        <f t="shared" si="10"/>
        <v>3.2000000000000002E-3</v>
      </c>
      <c r="L55" s="3599">
        <v>0</v>
      </c>
      <c r="M55" s="3599">
        <f t="shared" si="11"/>
        <v>-3.2000000000000002E-3</v>
      </c>
      <c r="N55" s="3599">
        <f t="shared" si="11"/>
        <v>-6.4000000000000003E-3</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t="s">
        <v>3268</v>
      </c>
      <c r="D56" s="3594">
        <f t="shared" si="7"/>
        <v>0</v>
      </c>
      <c r="E56" s="3600"/>
      <c r="F56" s="3596"/>
      <c r="G56" s="3597">
        <v>3.2000000000000002E-3</v>
      </c>
      <c r="H56" s="3598">
        <f t="shared" si="8"/>
        <v>3.2000000000000002E-3</v>
      </c>
      <c r="I56" s="3572">
        <v>0.05</v>
      </c>
      <c r="J56" s="3599">
        <f t="shared" si="9"/>
        <v>6.4000000000000003E-3</v>
      </c>
      <c r="K56" s="3599">
        <f t="shared" si="10"/>
        <v>3.2000000000000002E-3</v>
      </c>
      <c r="L56" s="3599">
        <v>0</v>
      </c>
      <c r="M56" s="3599">
        <f t="shared" si="11"/>
        <v>-3.2000000000000002E-3</v>
      </c>
      <c r="N56" s="3599">
        <f t="shared" si="11"/>
        <v>-6.4000000000000003E-3</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t="s">
        <v>3270</v>
      </c>
      <c r="D57" s="3594">
        <f t="shared" si="7"/>
        <v>1.04E-2</v>
      </c>
      <c r="E57" s="3600"/>
      <c r="F57" s="3596"/>
      <c r="G57" s="3597">
        <v>5.1999999999999998E-3</v>
      </c>
      <c r="H57" s="3598">
        <f t="shared" si="8"/>
        <v>5.1999999999999998E-3</v>
      </c>
      <c r="I57" s="3572">
        <v>0.08</v>
      </c>
      <c r="J57" s="3599">
        <f t="shared" si="9"/>
        <v>1.04E-2</v>
      </c>
      <c r="K57" s="3599">
        <f t="shared" si="10"/>
        <v>5.1999999999999998E-3</v>
      </c>
      <c r="L57" s="3599">
        <v>0</v>
      </c>
      <c r="M57" s="3599">
        <f t="shared" si="11"/>
        <v>-5.1999999999999998E-3</v>
      </c>
      <c r="N57" s="3599">
        <f t="shared" si="11"/>
        <v>-1.04E-2</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t="s">
        <v>3268</v>
      </c>
      <c r="D58" s="3594">
        <f t="shared" si="7"/>
        <v>0</v>
      </c>
      <c r="E58" s="3607"/>
      <c r="F58" s="3596"/>
      <c r="G58" s="3597">
        <v>3.2000000000000002E-3</v>
      </c>
      <c r="H58" s="3598">
        <f t="shared" si="8"/>
        <v>3.2000000000000002E-3</v>
      </c>
      <c r="I58" s="3574">
        <v>0.05</v>
      </c>
      <c r="J58" s="3599">
        <f t="shared" si="9"/>
        <v>6.4000000000000003E-3</v>
      </c>
      <c r="K58" s="3599">
        <f t="shared" si="10"/>
        <v>3.2000000000000002E-3</v>
      </c>
      <c r="L58" s="3599">
        <v>0</v>
      </c>
      <c r="M58" s="3599">
        <f t="shared" si="11"/>
        <v>-3.2000000000000002E-3</v>
      </c>
      <c r="N58" s="3599">
        <f t="shared" si="11"/>
        <v>-6.4000000000000003E-3</v>
      </c>
      <c r="P58" s="1918"/>
      <c r="Q58" s="1918"/>
      <c r="R58" s="1918"/>
      <c r="S58" s="1918"/>
      <c r="T58" s="1918"/>
      <c r="U58" s="1918"/>
      <c r="V58" s="1918"/>
      <c r="W58" s="1918"/>
      <c r="X58" s="1918"/>
      <c r="Y58" s="1918"/>
      <c r="Z58" s="1918"/>
      <c r="AA58" s="1918"/>
      <c r="AB58" s="1918"/>
      <c r="AC58" s="1918"/>
      <c r="AD58" s="1918"/>
    </row>
    <row r="59" spans="1:30" s="3579" customFormat="1" ht="15">
      <c r="A59" s="3580" t="s">
        <v>902</v>
      </c>
      <c r="B59" s="3644">
        <f>1+E61</f>
        <v>0.99219999999999997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662" t="s">
        <v>1608</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3267</v>
      </c>
      <c r="D61" s="3594">
        <f t="shared" ref="D61:D69" si="12">SUMIF($J$60:$N$60,C61,J61:N61)</f>
        <v>-1.6199999999999999E-2</v>
      </c>
      <c r="E61" s="3595">
        <f>ROUND(SUM(D61:D69),4)</f>
        <v>-7.7999999999999996E-3</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14.25">
      <c r="A62" s="3585" t="s">
        <v>943</v>
      </c>
      <c r="B62" s="3586" t="str">
        <f>估价对象房地状况!C18</f>
        <v>一般</v>
      </c>
      <c r="C62" s="3593" t="s">
        <v>3268</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3267</v>
      </c>
      <c r="D63" s="3594">
        <f t="shared" si="12"/>
        <v>-7.1000000000000004E-3</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2194</v>
      </c>
      <c r="C64" s="3593" t="s">
        <v>3268</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3268</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3269</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3268</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3270</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3268</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835</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662" t="s">
        <v>1608</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14.25">
      <c r="A73" s="3585" t="s">
        <v>943</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909</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662" t="s">
        <v>1608</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943</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101"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si="28"/>
        <v>0</v>
      </c>
      <c r="N94" s="3623">
        <f t="shared" si="28"/>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1">K95+$G95</f>
        <v>0</v>
      </c>
      <c r="K95" s="3623">
        <f t="shared" si="27"/>
        <v>0</v>
      </c>
      <c r="L95" s="3623">
        <v>0</v>
      </c>
      <c r="M95" s="3623">
        <f t="shared" si="28"/>
        <v>0</v>
      </c>
      <c r="N95" s="3623">
        <f t="shared" si="28"/>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1"/>
        <v>0</v>
      </c>
      <c r="K96" s="3623">
        <f t="shared" si="27"/>
        <v>0</v>
      </c>
      <c r="L96" s="3623">
        <v>0</v>
      </c>
      <c r="M96" s="3623">
        <f>L96-$G96</f>
        <v>0</v>
      </c>
      <c r="N96" s="3623">
        <f t="shared" si="28"/>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1"/>
        <v>0</v>
      </c>
      <c r="K97" s="3623">
        <f t="shared" si="27"/>
        <v>0</v>
      </c>
      <c r="L97" s="3623">
        <v>0</v>
      </c>
      <c r="M97" s="3623">
        <f t="shared" si="28"/>
        <v>0</v>
      </c>
      <c r="N97" s="3623">
        <f t="shared" si="28"/>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1"/>
        <v>0</v>
      </c>
      <c r="K98" s="3623">
        <f t="shared" si="27"/>
        <v>0</v>
      </c>
      <c r="L98" s="3623">
        <v>0</v>
      </c>
      <c r="M98" s="3623">
        <f t="shared" si="28"/>
        <v>0</v>
      </c>
      <c r="N98" s="3623">
        <f t="shared" si="28"/>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1"/>
        <v>0</v>
      </c>
      <c r="K99" s="3623">
        <f t="shared" si="27"/>
        <v>0</v>
      </c>
      <c r="L99" s="3623">
        <v>0</v>
      </c>
      <c r="M99" s="3623">
        <f t="shared" si="28"/>
        <v>0</v>
      </c>
      <c r="N99" s="3623">
        <f t="shared" si="28"/>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1"/>
        <v>0</v>
      </c>
      <c r="K100" s="3623">
        <f t="shared" si="27"/>
        <v>0</v>
      </c>
      <c r="L100" s="3623">
        <v>0</v>
      </c>
      <c r="M100" s="3623">
        <f t="shared" si="28"/>
        <v>0</v>
      </c>
      <c r="N100" s="3623">
        <f t="shared" si="28"/>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1"/>
        <v>0</v>
      </c>
      <c r="K101" s="3623">
        <f t="shared" si="27"/>
        <v>0</v>
      </c>
      <c r="L101" s="3623">
        <v>0</v>
      </c>
      <c r="M101" s="3623">
        <f t="shared" si="28"/>
        <v>0</v>
      </c>
      <c r="N101" s="3623">
        <f t="shared" si="28"/>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54" t="s">
        <v>1172</v>
      </c>
      <c r="B104" s="3954"/>
      <c r="C104" s="3954"/>
      <c r="D104" s="3954"/>
      <c r="E104" s="3954"/>
      <c r="F104" s="3954"/>
      <c r="G104" s="3954"/>
      <c r="H104" s="3954"/>
      <c r="I104" s="3954"/>
      <c r="J104" s="3954"/>
      <c r="K104" s="3666"/>
      <c r="L104" s="3666"/>
      <c r="M104" s="3666"/>
      <c r="N104" s="3666"/>
    </row>
    <row r="105" spans="1:36">
      <c r="A105" s="3955" t="s">
        <v>833</v>
      </c>
      <c r="B105" s="3955" t="s">
        <v>1173</v>
      </c>
      <c r="C105" s="1041" t="s">
        <v>1174</v>
      </c>
      <c r="D105" s="1042"/>
      <c r="E105" s="1042"/>
      <c r="F105" s="1042"/>
      <c r="G105" s="1042"/>
      <c r="H105" s="1042"/>
      <c r="I105" s="1042"/>
      <c r="J105" s="1043"/>
      <c r="K105" s="1035"/>
      <c r="L105" s="1035"/>
      <c r="M105" s="1035"/>
      <c r="N105" s="1035"/>
    </row>
    <row r="106" spans="1:36">
      <c r="A106" s="3955"/>
      <c r="B106" s="3955"/>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56"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7"/>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58"/>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59" t="s">
        <v>1175</v>
      </c>
      <c r="B114" s="3959"/>
      <c r="C114" s="3959"/>
      <c r="D114" s="3959"/>
      <c r="E114" s="3959"/>
      <c r="F114" s="3959"/>
      <c r="G114" s="3959"/>
      <c r="H114" s="3959"/>
      <c r="I114" s="3959"/>
      <c r="J114" s="3959"/>
      <c r="K114" s="3665"/>
      <c r="L114" s="3665"/>
      <c r="M114" s="3665"/>
      <c r="N114" s="3665"/>
    </row>
    <row r="116" spans="1:14" ht="12.75" thickBot="1"/>
    <row r="117" spans="1:14" ht="25.5" thickBot="1">
      <c r="A117" s="976" t="s">
        <v>831</v>
      </c>
      <c r="B117" s="2102">
        <f>G3</f>
        <v>0</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3">I119</f>
        <v>0.84860000000000002</v>
      </c>
      <c r="K119" s="3570">
        <f t="shared" si="33"/>
        <v>0.84860000000000002</v>
      </c>
      <c r="L119" s="3570">
        <f t="shared" si="33"/>
        <v>0.84860000000000002</v>
      </c>
      <c r="M119" s="3631">
        <f t="shared" si="33"/>
        <v>0.84860000000000002</v>
      </c>
    </row>
    <row r="120" spans="1:14" ht="12.75">
      <c r="A120" s="3628" t="s">
        <v>3234</v>
      </c>
      <c r="B120" s="3570">
        <f>ROUND(0.993-0.0112*B117,4)</f>
        <v>0.99299999999999999</v>
      </c>
      <c r="C120" s="3570">
        <f>B120</f>
        <v>0.99299999999999999</v>
      </c>
      <c r="D120" s="3570">
        <f>ROUND(0.9415-0.0142*B117,4)</f>
        <v>0.9415</v>
      </c>
      <c r="E120" s="3570">
        <f t="shared" ref="E120:H121" si="34">D120</f>
        <v>0.9415</v>
      </c>
      <c r="F120" s="3570">
        <f t="shared" si="34"/>
        <v>0.9415</v>
      </c>
      <c r="G120" s="3570">
        <f t="shared" si="34"/>
        <v>0.9415</v>
      </c>
      <c r="H120" s="3570">
        <f t="shared" si="34"/>
        <v>0.9415</v>
      </c>
      <c r="I120" s="3570">
        <f>ROUND(0.838-0.0182*B117,4)</f>
        <v>0.83799999999999997</v>
      </c>
      <c r="J120" s="3570">
        <f t="shared" si="33"/>
        <v>0.83799999999999997</v>
      </c>
      <c r="K120" s="3570">
        <f t="shared" si="33"/>
        <v>0.83799999999999997</v>
      </c>
      <c r="L120" s="3570">
        <f t="shared" si="33"/>
        <v>0.83799999999999997</v>
      </c>
      <c r="M120" s="3631">
        <f t="shared" si="33"/>
        <v>0.83799999999999997</v>
      </c>
    </row>
    <row r="121" spans="1:14" ht="12.75">
      <c r="A121" s="3628" t="s">
        <v>3235</v>
      </c>
      <c r="B121" s="3570">
        <f>ROUND(0.9448-0.0115*B117,4)</f>
        <v>0.94479999999999997</v>
      </c>
      <c r="C121" s="3570">
        <f>B121</f>
        <v>0.94479999999999997</v>
      </c>
      <c r="D121" s="3570">
        <f>ROUND(0.937-0.0145*B117,4)</f>
        <v>0.93700000000000006</v>
      </c>
      <c r="E121" s="3570">
        <f t="shared" si="34"/>
        <v>0.93700000000000006</v>
      </c>
      <c r="F121" s="3570">
        <f t="shared" si="34"/>
        <v>0.93700000000000006</v>
      </c>
      <c r="G121" s="3570">
        <f t="shared" si="34"/>
        <v>0.93700000000000006</v>
      </c>
      <c r="H121" s="3570">
        <f t="shared" si="34"/>
        <v>0.93700000000000006</v>
      </c>
      <c r="I121" s="3570">
        <f>ROUND(0.7965-0.0185*B117,4)</f>
        <v>0.79649999999999999</v>
      </c>
      <c r="J121" s="3570">
        <f t="shared" si="33"/>
        <v>0.79649999999999999</v>
      </c>
      <c r="K121" s="3570">
        <f t="shared" si="33"/>
        <v>0.79649999999999999</v>
      </c>
      <c r="L121" s="3570">
        <f t="shared" si="33"/>
        <v>0.79649999999999999</v>
      </c>
      <c r="M121" s="3631">
        <f t="shared" si="33"/>
        <v>0.79649999999999999</v>
      </c>
    </row>
    <row r="122" spans="1:14" ht="13.5"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3"/>
        <v>0.59050000000000002</v>
      </c>
      <c r="K122" s="3632">
        <f t="shared" si="33"/>
        <v>0.59050000000000002</v>
      </c>
      <c r="L122" s="3632">
        <f t="shared" si="33"/>
        <v>0.59050000000000002</v>
      </c>
      <c r="M122" s="3633">
        <f t="shared" si="33"/>
        <v>0.59050000000000002</v>
      </c>
    </row>
    <row r="123" spans="1:14" ht="12.75">
      <c r="A123" s="3630" t="s">
        <v>3217</v>
      </c>
      <c r="B123" s="3570">
        <f>ROUND(0.9404-0.0106*B117,4)</f>
        <v>0.94040000000000001</v>
      </c>
      <c r="C123" s="3570">
        <f>B123</f>
        <v>0.94040000000000001</v>
      </c>
      <c r="D123" s="3570">
        <f>ROUND(0.8955-0.0135*B117,4)</f>
        <v>0.89549999999999996</v>
      </c>
      <c r="E123" s="3570">
        <f t="shared" ref="E123:H123" si="35">D123</f>
        <v>0.89549999999999996</v>
      </c>
      <c r="F123" s="3570">
        <f t="shared" si="35"/>
        <v>0.89549999999999996</v>
      </c>
      <c r="G123" s="3570">
        <f t="shared" si="35"/>
        <v>0.89549999999999996</v>
      </c>
      <c r="H123" s="3570">
        <f t="shared" si="35"/>
        <v>0.89549999999999996</v>
      </c>
      <c r="I123" s="3570">
        <f>ROUND(0.7632-0.0166*B117,4)</f>
        <v>0.76319999999999999</v>
      </c>
      <c r="J123" s="3570">
        <f t="shared" si="33"/>
        <v>0.76319999999999999</v>
      </c>
      <c r="K123" s="3570">
        <f t="shared" si="33"/>
        <v>0.76319999999999999</v>
      </c>
      <c r="L123" s="3570">
        <f t="shared" si="33"/>
        <v>0.76319999999999999</v>
      </c>
      <c r="M123" s="3631">
        <f t="shared" si="33"/>
        <v>0.76319999999999999</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51" priority="5" stopIfTrue="1" operator="notEqual">
      <formula>"——"</formula>
    </cfRule>
  </conditionalFormatting>
  <conditionalFormatting sqref="F61">
    <cfRule type="cellIs" dxfId="150" priority="4" stopIfTrue="1" operator="notEqual">
      <formula>"——"</formula>
    </cfRule>
  </conditionalFormatting>
  <conditionalFormatting sqref="F72">
    <cfRule type="cellIs" dxfId="149" priority="3" stopIfTrue="1" operator="notEqual">
      <formula>"——"</formula>
    </cfRule>
  </conditionalFormatting>
  <conditionalFormatting sqref="F83">
    <cfRule type="cellIs" dxfId="148" priority="2" stopIfTrue="1" operator="notEqual">
      <formula>"——"</formula>
    </cfRule>
  </conditionalFormatting>
  <conditionalFormatting sqref="H50:H58 H72:H80 H83:H91 H93:H102 H61:H69">
    <cfRule type="cellIs" dxfId="14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37"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1777</v>
      </c>
      <c r="D1" s="1340">
        <f>SUM(D33:D34,D37:D42)</f>
        <v>33957.110000000008</v>
      </c>
      <c r="E1" s="1260" t="s">
        <v>1778</v>
      </c>
      <c r="F1" s="2103">
        <f>'数据-汇总表'!R19+'数据-汇总表'!R21</f>
        <v>13752.84</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2043</v>
      </c>
      <c r="T1" s="2413" t="s">
        <v>2060</v>
      </c>
      <c r="U1" s="2413" t="s">
        <v>2061</v>
      </c>
      <c r="V1" s="2413" t="s">
        <v>2062</v>
      </c>
      <c r="W1" s="1909"/>
      <c r="X1" s="1909"/>
      <c r="Y1" s="1909"/>
      <c r="Z1" s="1909"/>
      <c r="AA1" s="1909"/>
      <c r="AB1" s="1909"/>
      <c r="AC1" s="1910"/>
    </row>
    <row r="2" spans="1:39" ht="15.75">
      <c r="A2" s="1260" t="s">
        <v>848</v>
      </c>
      <c r="B2" s="991" t="e">
        <f>C30</f>
        <v>#DIV/0!</v>
      </c>
      <c r="C2" s="1261" t="s">
        <v>849</v>
      </c>
      <c r="D2" s="1262" t="s">
        <v>850</v>
      </c>
      <c r="E2" s="1263" t="s">
        <v>1212</v>
      </c>
      <c r="F2" s="1262" t="s">
        <v>852</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3263</v>
      </c>
      <c r="F3" s="1267" t="s">
        <v>3539</v>
      </c>
      <c r="G3" s="992">
        <f>IF(F3="宗地容积率",'数据-汇总表'!I4,IF(F3="估价对象容积率",'数据-汇总表'!I6,'数据-汇总表'!I7))</f>
        <v>0</v>
      </c>
      <c r="H3" s="1268" t="s">
        <v>857</v>
      </c>
      <c r="I3" s="993"/>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11560</v>
      </c>
      <c r="D5" s="2545">
        <f>ROUND(C6*C17+C20,0)</f>
        <v>11560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11560</v>
      </c>
      <c r="D6" s="3518" t="s">
        <v>1228</v>
      </c>
      <c r="E6" s="1276"/>
      <c r="F6" s="1276"/>
      <c r="G6" s="3519"/>
      <c r="H6" s="3519"/>
      <c r="I6" s="3519"/>
      <c r="J6" s="3520"/>
      <c r="K6" s="2973"/>
      <c r="L6" s="1639" t="s">
        <v>1601</v>
      </c>
      <c r="M6" s="1640">
        <f>SUMPRODUCT((区片价!B127:B189=I2)*(区片价!C3:G3=E2)*(区片价!C127:G189))</f>
        <v>11560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15.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2412" t="s">
        <v>2045</v>
      </c>
      <c r="X7" s="2405" t="str">
        <f>G2</f>
        <v>六级</v>
      </c>
      <c r="Y7" s="2405" t="s">
        <v>2046</v>
      </c>
      <c r="Z7" s="2406">
        <f>G3</f>
        <v>0</v>
      </c>
      <c r="AA7" s="1912"/>
      <c r="AB7" s="1912"/>
      <c r="AC7" s="1913"/>
      <c r="AD7" s="2407"/>
      <c r="AE7" s="2407"/>
      <c r="AF7" s="2407"/>
      <c r="AG7" s="2407"/>
      <c r="AH7" s="2407"/>
      <c r="AI7" s="2407"/>
      <c r="AJ7" s="2408"/>
    </row>
    <row r="8" spans="1:39" ht="25.5">
      <c r="A8" s="3527"/>
      <c r="B8" s="1268" t="s">
        <v>862</v>
      </c>
      <c r="C8" s="3528" t="s">
        <v>3264</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47" t="s">
        <v>2059</v>
      </c>
      <c r="X8" s="3948"/>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49"/>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49"/>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508">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0.93120000000000003</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50" t="s">
        <v>1370</v>
      </c>
      <c r="B20" s="1277" t="s">
        <v>875</v>
      </c>
      <c r="C20" s="998">
        <f>ROUND(IF(F21="与级别开发程度一致",0,(G21-E21)/C21),0)</f>
        <v>0</v>
      </c>
      <c r="D20" s="3952" t="s">
        <v>879</v>
      </c>
      <c r="E20" s="3953"/>
      <c r="F20" s="3952" t="s">
        <v>876</v>
      </c>
      <c r="G20" s="3953"/>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51"/>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3265</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1358</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1364</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1.0269999999999999</v>
      </c>
      <c r="D23" s="1296" t="s">
        <v>882</v>
      </c>
      <c r="E23" s="1000">
        <v>44197</v>
      </c>
      <c r="F23" s="1296" t="s">
        <v>883</v>
      </c>
      <c r="G23" s="1001">
        <f>'数据-取费表'!B2</f>
        <v>45266</v>
      </c>
      <c r="H23" s="1297" t="s">
        <v>2241</v>
      </c>
      <c r="I23" s="2264" t="str">
        <f>IF(H23="季度增幅（自定义）",SUMIF(N25:N28,E2,O25:O28),"")</f>
        <v/>
      </c>
      <c r="J23" s="3562" t="s">
        <v>3266</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1365</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50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0.99929999999999997</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907</v>
      </c>
      <c r="N30" s="1278" t="s">
        <v>908</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'数据-汇总表'!F19</f>
        <v>33492.110000000008</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13.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45"/>
      <c r="B37" s="1343" t="s">
        <v>923</v>
      </c>
      <c r="C37" s="1005" t="e">
        <f>ROUND(D5*C22*C23*C24*C28*F37,0)</f>
        <v>#DIV/0!</v>
      </c>
      <c r="D37" s="1355"/>
      <c r="E37" s="996" t="e">
        <f>ROUND(C37*D37/10000,0)</f>
        <v>#DIV/0!</v>
      </c>
      <c r="F37" s="996">
        <f>SUMIF(修正!A57:A68,G2,修正!B57:B68)</f>
        <v>0.6</v>
      </c>
      <c r="G37" s="996" t="e">
        <f>ROUND(IF(E2="工业",C37*$M$42,C37*$M$41),0)</f>
        <v>#DIV/0!</v>
      </c>
      <c r="H37" s="996">
        <f>D37</f>
        <v>0</v>
      </c>
      <c r="I37" s="996" t="e">
        <f>ROUND(G37*H37/10000,0)</f>
        <v>#DIV/0!</v>
      </c>
      <c r="J37" s="3945"/>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46"/>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46"/>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46"/>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46"/>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f>'数据-基础表'!AN18+465</f>
        <v>465</v>
      </c>
      <c r="E40" s="996" t="e">
        <f t="shared" si="4"/>
        <v>#DIV/0!</v>
      </c>
      <c r="F40" s="1005">
        <f>SUMIF(修正!A57:A68,G2,修正!E57:E68)</f>
        <v>0.25</v>
      </c>
      <c r="G40" s="996" t="e">
        <f>ROUND(IF(E2="工业",C40*$M$42,C40*$M$41),0)</f>
        <v>#DIV/0!</v>
      </c>
      <c r="H40" s="996">
        <f t="shared" si="5"/>
        <v>465</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2956</v>
      </c>
      <c r="D41" s="1355"/>
      <c r="E41" s="996">
        <f t="shared" si="4"/>
        <v>0</v>
      </c>
      <c r="F41" s="1005">
        <f>SUMIF(修正!A57:A68,G2,修正!F57:F68)</f>
        <v>0.25</v>
      </c>
      <c r="G41" s="996">
        <f>ROUND(IF(E2="工业",C41*$M$42,C41*$M$41),0)</f>
        <v>739</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1774</v>
      </c>
      <c r="D42" s="1356">
        <f>'数据-汇总表'!G21</f>
        <v>0</v>
      </c>
      <c r="E42" s="997">
        <f t="shared" si="4"/>
        <v>0</v>
      </c>
      <c r="F42" s="1007">
        <f>SUMIF(修正!A57:A68,G2,修正!G57:G68)</f>
        <v>0.15</v>
      </c>
      <c r="G42" s="997">
        <f>ROUND(IF(E2="工业",C42*$M$42,C42*$M$41),0)</f>
        <v>444</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458"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24">
      <c r="A50" s="3585" t="s">
        <v>942</v>
      </c>
      <c r="B50" s="3592" t="str">
        <f>估价对象房地状况!C16</f>
        <v>一般</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14.25">
      <c r="A51" s="3585" t="s">
        <v>943</v>
      </c>
      <c r="B51" s="3586" t="str">
        <f>估价对象房地状况!C18</f>
        <v>一般</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5">
      <c r="A59" s="3580" t="s">
        <v>951</v>
      </c>
      <c r="B59" s="3644">
        <f>1+E61</f>
        <v>0.99929999999999997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458" t="s">
        <v>1609</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24">
      <c r="A61" s="3585" t="s">
        <v>952</v>
      </c>
      <c r="B61" s="3592" t="str">
        <f>估价对象房地状况!C17</f>
        <v>一般</v>
      </c>
      <c r="C61" s="3593" t="s">
        <v>3267</v>
      </c>
      <c r="D61" s="3594">
        <f t="shared" ref="D61:D69" si="12">SUMIF($J$60:$N$60,C61,J61:N61)</f>
        <v>-1.6199999999999999E-2</v>
      </c>
      <c r="E61" s="3595">
        <f>ROUND(SUM(D61:D69),4)</f>
        <v>-6.9999999999999999E-4</v>
      </c>
      <c r="F61" s="3596">
        <f>IF(E2="办公",SUMIF(L1:L12,G2,N1:N12),"——")</f>
        <v>0.13</v>
      </c>
      <c r="G61" s="3597">
        <v>1.6199999999999999E-2</v>
      </c>
      <c r="H61" s="3598">
        <f>IFERROR(ROUNDDOWN($F$61*I61/2,4),"——")</f>
        <v>1.6199999999999999E-2</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14.25">
      <c r="A62" s="3585" t="s">
        <v>943</v>
      </c>
      <c r="B62" s="3586" t="str">
        <f>估价对象房地状况!C18</f>
        <v>一般</v>
      </c>
      <c r="C62" s="3593" t="s">
        <v>3268</v>
      </c>
      <c r="D62" s="3594">
        <f t="shared" si="12"/>
        <v>0</v>
      </c>
      <c r="E62" s="3600"/>
      <c r="F62" s="3596"/>
      <c r="G62" s="3597">
        <v>1.6899999999999998E-2</v>
      </c>
      <c r="H62" s="3598">
        <f t="shared" ref="H62:H69" si="16">IFERROR(ROUNDDOWN($F$61*I62/2,4),"——")</f>
        <v>1.6899999999999998E-2</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3268</v>
      </c>
      <c r="D63" s="3594">
        <f t="shared" si="12"/>
        <v>0</v>
      </c>
      <c r="E63" s="3600"/>
      <c r="F63" s="3596"/>
      <c r="G63" s="3597">
        <v>7.1000000000000004E-3</v>
      </c>
      <c r="H63" s="3598">
        <f t="shared" si="16"/>
        <v>7.1000000000000004E-3</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2195</v>
      </c>
      <c r="C64" s="3593" t="s">
        <v>3268</v>
      </c>
      <c r="D64" s="3594">
        <f t="shared" si="12"/>
        <v>0</v>
      </c>
      <c r="E64" s="3600"/>
      <c r="F64" s="3596"/>
      <c r="G64" s="3597">
        <v>3.2000000000000002E-3</v>
      </c>
      <c r="H64" s="3598">
        <f t="shared" si="16"/>
        <v>3.2000000000000002E-3</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3268</v>
      </c>
      <c r="D65" s="3594">
        <f t="shared" si="12"/>
        <v>0</v>
      </c>
      <c r="E65" s="3600"/>
      <c r="F65" s="3596"/>
      <c r="G65" s="3597">
        <v>3.2000000000000002E-3</v>
      </c>
      <c r="H65" s="3598">
        <f t="shared" si="16"/>
        <v>3.2000000000000002E-3</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3269</v>
      </c>
      <c r="D66" s="3594">
        <f t="shared" si="12"/>
        <v>3.8999999999999998E-3</v>
      </c>
      <c r="E66" s="3600"/>
      <c r="F66" s="3596"/>
      <c r="G66" s="3597">
        <v>3.8999999999999998E-3</v>
      </c>
      <c r="H66" s="3598">
        <f t="shared" si="16"/>
        <v>3.8999999999999998E-3</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3268</v>
      </c>
      <c r="D67" s="3594">
        <f t="shared" si="12"/>
        <v>0</v>
      </c>
      <c r="E67" s="3600"/>
      <c r="F67" s="3596"/>
      <c r="G67" s="3597">
        <v>3.8999999999999998E-3</v>
      </c>
      <c r="H67" s="3598">
        <f t="shared" si="16"/>
        <v>3.8999999999999998E-3</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3270</v>
      </c>
      <c r="D68" s="3594">
        <f t="shared" si="12"/>
        <v>1.1599999999999999E-2</v>
      </c>
      <c r="E68" s="3600"/>
      <c r="F68" s="3596"/>
      <c r="G68" s="3597">
        <v>5.7999999999999996E-3</v>
      </c>
      <c r="H68" s="3598">
        <f t="shared" si="16"/>
        <v>5.7999999999999996E-3</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3268</v>
      </c>
      <c r="D69" s="3594">
        <f t="shared" si="12"/>
        <v>0</v>
      </c>
      <c r="E69" s="3607"/>
      <c r="F69" s="3596"/>
      <c r="G69" s="3597">
        <v>4.4999999999999997E-3</v>
      </c>
      <c r="H69" s="3598">
        <f t="shared" si="16"/>
        <v>4.4999999999999997E-3</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458" t="s">
        <v>1610</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24">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14.25">
      <c r="A73" s="3585" t="s">
        <v>955</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458" t="s">
        <v>1611</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93"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ref="M94:M101" si="31">L94-$G94</f>
        <v>0</v>
      </c>
      <c r="N94" s="3623">
        <f t="shared" ref="N94:N101" si="32">M94-$G94</f>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3">K95+$G95</f>
        <v>0</v>
      </c>
      <c r="K95" s="3623">
        <f t="shared" si="27"/>
        <v>0</v>
      </c>
      <c r="L95" s="3623">
        <v>0</v>
      </c>
      <c r="M95" s="3623">
        <f t="shared" si="31"/>
        <v>0</v>
      </c>
      <c r="N95" s="3623">
        <f t="shared" si="32"/>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3"/>
        <v>0</v>
      </c>
      <c r="K96" s="3623">
        <f t="shared" si="27"/>
        <v>0</v>
      </c>
      <c r="L96" s="3623">
        <v>0</v>
      </c>
      <c r="M96" s="3623">
        <f>L96-$G96</f>
        <v>0</v>
      </c>
      <c r="N96" s="3623">
        <f t="shared" si="32"/>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3"/>
        <v>0</v>
      </c>
      <c r="K97" s="3623">
        <f t="shared" si="27"/>
        <v>0</v>
      </c>
      <c r="L97" s="3623">
        <v>0</v>
      </c>
      <c r="M97" s="3623">
        <f t="shared" si="31"/>
        <v>0</v>
      </c>
      <c r="N97" s="3623">
        <f t="shared" si="32"/>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3"/>
        <v>0</v>
      </c>
      <c r="K98" s="3623">
        <f t="shared" si="27"/>
        <v>0</v>
      </c>
      <c r="L98" s="3623">
        <v>0</v>
      </c>
      <c r="M98" s="3623">
        <f t="shared" si="31"/>
        <v>0</v>
      </c>
      <c r="N98" s="3623">
        <f t="shared" si="32"/>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3"/>
        <v>0</v>
      </c>
      <c r="K99" s="3623">
        <f t="shared" si="27"/>
        <v>0</v>
      </c>
      <c r="L99" s="3623">
        <v>0</v>
      </c>
      <c r="M99" s="3623">
        <f t="shared" si="31"/>
        <v>0</v>
      </c>
      <c r="N99" s="3623">
        <f t="shared" si="32"/>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3"/>
        <v>0</v>
      </c>
      <c r="K100" s="3623">
        <f t="shared" si="27"/>
        <v>0</v>
      </c>
      <c r="L100" s="3623">
        <v>0</v>
      </c>
      <c r="M100" s="3623">
        <f t="shared" si="31"/>
        <v>0</v>
      </c>
      <c r="N100" s="3623">
        <f t="shared" si="32"/>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3"/>
        <v>0</v>
      </c>
      <c r="K101" s="3623">
        <f t="shared" si="27"/>
        <v>0</v>
      </c>
      <c r="L101" s="3623">
        <v>0</v>
      </c>
      <c r="M101" s="3623">
        <f t="shared" si="31"/>
        <v>0</v>
      </c>
      <c r="N101" s="3623">
        <f t="shared" si="32"/>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54" t="s">
        <v>1172</v>
      </c>
      <c r="B104" s="3954"/>
      <c r="C104" s="3954"/>
      <c r="D104" s="3954"/>
      <c r="E104" s="3954"/>
      <c r="F104" s="3954"/>
      <c r="G104" s="3954"/>
      <c r="H104" s="3954"/>
      <c r="I104" s="3954"/>
      <c r="J104" s="3954"/>
      <c r="K104" s="2101"/>
      <c r="L104" s="2101"/>
      <c r="M104" s="2101"/>
      <c r="N104" s="2101"/>
    </row>
    <row r="105" spans="1:36">
      <c r="A105" s="3955" t="s">
        <v>1161</v>
      </c>
      <c r="B105" s="3955" t="s">
        <v>1173</v>
      </c>
      <c r="C105" s="1041" t="s">
        <v>1174</v>
      </c>
      <c r="D105" s="1042"/>
      <c r="E105" s="1042"/>
      <c r="F105" s="1042"/>
      <c r="G105" s="1042"/>
      <c r="H105" s="1042"/>
      <c r="I105" s="1042"/>
      <c r="J105" s="1043"/>
      <c r="K105" s="1035"/>
      <c r="L105" s="1035"/>
      <c r="M105" s="1035"/>
      <c r="N105" s="1035"/>
    </row>
    <row r="106" spans="1:36">
      <c r="A106" s="3955"/>
      <c r="B106" s="395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56"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7"/>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7"/>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7"/>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7"/>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7"/>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8"/>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9" t="s">
        <v>1175</v>
      </c>
      <c r="B114" s="3959"/>
      <c r="C114" s="3959"/>
      <c r="D114" s="3959"/>
      <c r="E114" s="3959"/>
      <c r="F114" s="3959"/>
      <c r="G114" s="3959"/>
      <c r="H114" s="3959"/>
      <c r="I114" s="3959"/>
      <c r="J114" s="3959"/>
      <c r="K114" s="2099"/>
      <c r="L114" s="2099"/>
      <c r="M114" s="2099"/>
      <c r="N114" s="2099"/>
    </row>
    <row r="116" spans="1:14" ht="12.75" thickBot="1"/>
    <row r="117" spans="1:14" ht="25.5" thickBot="1">
      <c r="A117" s="976" t="s">
        <v>831</v>
      </c>
      <c r="B117" s="2102">
        <f>G3</f>
        <v>0</v>
      </c>
      <c r="C117" s="977" t="s">
        <v>832</v>
      </c>
      <c r="D117" s="978" t="e">
        <f>SUMPRODUCT((A118:A122=F116)*(B117:M117=H116)*B118:M122)</f>
        <v>#VALUE!</v>
      </c>
      <c r="E117" s="979" t="s">
        <v>833</v>
      </c>
      <c r="F117" s="980" t="str">
        <f>E2</f>
        <v>办公</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5">I119</f>
        <v>0.84860000000000002</v>
      </c>
      <c r="K119" s="3570">
        <f t="shared" si="35"/>
        <v>0.84860000000000002</v>
      </c>
      <c r="L119" s="3570">
        <f t="shared" si="35"/>
        <v>0.84860000000000002</v>
      </c>
      <c r="M119" s="3631">
        <f t="shared" si="35"/>
        <v>0.84860000000000002</v>
      </c>
    </row>
    <row r="120" spans="1:14" ht="12.75">
      <c r="A120" s="3628" t="s">
        <v>3234</v>
      </c>
      <c r="B120" s="3570">
        <f>ROUND(0.993-0.0112*B117,4)</f>
        <v>0.99299999999999999</v>
      </c>
      <c r="C120" s="3570">
        <f>B120</f>
        <v>0.99299999999999999</v>
      </c>
      <c r="D120" s="3570">
        <f>ROUND(0.9415-0.0142*B117,4)</f>
        <v>0.9415</v>
      </c>
      <c r="E120" s="3570">
        <f t="shared" ref="E120:H121" si="36">D120</f>
        <v>0.9415</v>
      </c>
      <c r="F120" s="3570">
        <f t="shared" si="36"/>
        <v>0.9415</v>
      </c>
      <c r="G120" s="3570">
        <f t="shared" si="36"/>
        <v>0.9415</v>
      </c>
      <c r="H120" s="3570">
        <f t="shared" si="36"/>
        <v>0.9415</v>
      </c>
      <c r="I120" s="3570">
        <f>ROUND(0.838-0.0182*B117,4)</f>
        <v>0.83799999999999997</v>
      </c>
      <c r="J120" s="3570">
        <f t="shared" si="35"/>
        <v>0.83799999999999997</v>
      </c>
      <c r="K120" s="3570">
        <f t="shared" si="35"/>
        <v>0.83799999999999997</v>
      </c>
      <c r="L120" s="3570">
        <f t="shared" si="35"/>
        <v>0.83799999999999997</v>
      </c>
      <c r="M120" s="3631">
        <f t="shared" si="35"/>
        <v>0.83799999999999997</v>
      </c>
    </row>
    <row r="121" spans="1:14" ht="12.75">
      <c r="A121" s="3628" t="s">
        <v>3235</v>
      </c>
      <c r="B121" s="3570">
        <f>ROUND(0.9448-0.0115*B117,4)</f>
        <v>0.94479999999999997</v>
      </c>
      <c r="C121" s="3570">
        <f>B121</f>
        <v>0.94479999999999997</v>
      </c>
      <c r="D121" s="3570">
        <f>ROUND(0.937-0.0145*B117,4)</f>
        <v>0.93700000000000006</v>
      </c>
      <c r="E121" s="3570">
        <f t="shared" si="36"/>
        <v>0.93700000000000006</v>
      </c>
      <c r="F121" s="3570">
        <f t="shared" si="36"/>
        <v>0.93700000000000006</v>
      </c>
      <c r="G121" s="3570">
        <f t="shared" si="36"/>
        <v>0.93700000000000006</v>
      </c>
      <c r="H121" s="3570">
        <f t="shared" si="36"/>
        <v>0.93700000000000006</v>
      </c>
      <c r="I121" s="3570">
        <f>ROUND(0.7965-0.0185*B117,4)</f>
        <v>0.79649999999999999</v>
      </c>
      <c r="J121" s="3570">
        <f t="shared" si="35"/>
        <v>0.79649999999999999</v>
      </c>
      <c r="K121" s="3570">
        <f t="shared" si="35"/>
        <v>0.79649999999999999</v>
      </c>
      <c r="L121" s="3570">
        <f t="shared" si="35"/>
        <v>0.79649999999999999</v>
      </c>
      <c r="M121" s="3631">
        <f t="shared" si="35"/>
        <v>0.79649999999999999</v>
      </c>
    </row>
    <row r="122" spans="1:14" ht="13.5"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5"/>
        <v>0.59050000000000002</v>
      </c>
      <c r="K122" s="3632">
        <f t="shared" si="35"/>
        <v>0.59050000000000002</v>
      </c>
      <c r="L122" s="3632">
        <f t="shared" si="35"/>
        <v>0.59050000000000002</v>
      </c>
      <c r="M122" s="3633">
        <f t="shared" si="35"/>
        <v>0.59050000000000002</v>
      </c>
    </row>
    <row r="123" spans="1:14" ht="12.75">
      <c r="A123" s="3630" t="s">
        <v>3217</v>
      </c>
      <c r="B123" s="3570">
        <f>ROUND(0.9404-0.0106*B117,4)</f>
        <v>0.94040000000000001</v>
      </c>
      <c r="C123" s="3570">
        <f>B123</f>
        <v>0.94040000000000001</v>
      </c>
      <c r="D123" s="3570">
        <f>ROUND(0.8955-0.0135*B117,4)</f>
        <v>0.89549999999999996</v>
      </c>
      <c r="E123" s="3570">
        <f t="shared" ref="E123:H123" si="37">D123</f>
        <v>0.89549999999999996</v>
      </c>
      <c r="F123" s="3570">
        <f t="shared" si="37"/>
        <v>0.89549999999999996</v>
      </c>
      <c r="G123" s="3570">
        <f t="shared" si="37"/>
        <v>0.89549999999999996</v>
      </c>
      <c r="H123" s="3570">
        <f t="shared" si="37"/>
        <v>0.89549999999999996</v>
      </c>
      <c r="I123" s="3570">
        <f>ROUND(0.7632-0.0166*B117,4)</f>
        <v>0.76319999999999999</v>
      </c>
      <c r="J123" s="3570">
        <f t="shared" si="35"/>
        <v>0.76319999999999999</v>
      </c>
      <c r="K123" s="3570">
        <f t="shared" si="35"/>
        <v>0.76319999999999999</v>
      </c>
      <c r="L123" s="3570">
        <f t="shared" si="35"/>
        <v>0.76319999999999999</v>
      </c>
      <c r="M123" s="363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29" t="s">
        <v>2736</v>
      </c>
      <c r="B2" s="3230">
        <v>3.5</v>
      </c>
      <c r="C2" s="3230">
        <v>3.5</v>
      </c>
      <c r="D2" s="3231">
        <v>2.5</v>
      </c>
      <c r="E2" s="3231">
        <v>2.5</v>
      </c>
      <c r="F2" s="3231">
        <v>2.5</v>
      </c>
      <c r="G2" s="3231">
        <v>2.5</v>
      </c>
      <c r="H2" s="3231">
        <v>2.5</v>
      </c>
      <c r="I2" s="3230">
        <v>2</v>
      </c>
      <c r="J2" s="3230">
        <v>2</v>
      </c>
      <c r="K2" s="3230">
        <v>2</v>
      </c>
      <c r="L2" s="3230">
        <v>2</v>
      </c>
      <c r="M2" s="3232">
        <v>2</v>
      </c>
    </row>
    <row r="3" spans="1:13">
      <c r="A3" s="3233" t="s">
        <v>1212</v>
      </c>
      <c r="B3" s="3234">
        <v>3.5</v>
      </c>
      <c r="C3" s="3234">
        <v>3.5</v>
      </c>
      <c r="D3" s="3235">
        <v>2.5</v>
      </c>
      <c r="E3" s="3235">
        <v>2.5</v>
      </c>
      <c r="F3" s="3235">
        <v>2.5</v>
      </c>
      <c r="G3" s="3235">
        <v>2.5</v>
      </c>
      <c r="H3" s="3235">
        <v>2.5</v>
      </c>
      <c r="I3" s="3234">
        <v>2</v>
      </c>
      <c r="J3" s="3234">
        <v>2</v>
      </c>
      <c r="K3" s="3234">
        <v>2</v>
      </c>
      <c r="L3" s="3234">
        <v>2</v>
      </c>
      <c r="M3" s="3236">
        <v>2</v>
      </c>
    </row>
    <row r="4" spans="1:13">
      <c r="A4" s="3233" t="s">
        <v>851</v>
      </c>
      <c r="B4" s="3235">
        <v>2.5</v>
      </c>
      <c r="C4" s="3235">
        <v>2.5</v>
      </c>
      <c r="D4" s="3235">
        <v>2.5</v>
      </c>
      <c r="E4" s="3235">
        <v>2.5</v>
      </c>
      <c r="F4" s="3235">
        <v>2.5</v>
      </c>
      <c r="G4" s="3235">
        <v>2.5</v>
      </c>
      <c r="H4" s="3235">
        <v>2.5</v>
      </c>
      <c r="I4" s="3234">
        <v>1.5</v>
      </c>
      <c r="J4" s="3234">
        <v>1.5</v>
      </c>
      <c r="K4" s="3234">
        <v>1.5</v>
      </c>
      <c r="L4" s="3234">
        <v>1.5</v>
      </c>
      <c r="M4" s="3236">
        <v>1.5</v>
      </c>
    </row>
    <row r="5" spans="1:13">
      <c r="A5" s="3237" t="s">
        <v>905</v>
      </c>
      <c r="B5" s="3234">
        <v>1.5</v>
      </c>
      <c r="C5" s="3234">
        <v>1.5</v>
      </c>
      <c r="D5" s="3234">
        <v>1.5</v>
      </c>
      <c r="E5" s="3234">
        <v>1.5</v>
      </c>
      <c r="F5" s="3234">
        <v>1.5</v>
      </c>
      <c r="G5" s="3234">
        <v>1.2</v>
      </c>
      <c r="H5" s="3234">
        <v>1.2</v>
      </c>
      <c r="I5" s="3234">
        <v>1</v>
      </c>
      <c r="J5" s="3234">
        <v>1</v>
      </c>
      <c r="K5" s="3234">
        <v>1</v>
      </c>
      <c r="L5" s="3234">
        <v>1</v>
      </c>
      <c r="M5" s="3236">
        <v>1</v>
      </c>
    </row>
    <row r="6" spans="1:13">
      <c r="A6" s="3238" t="s">
        <v>2762</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2734</v>
      </c>
      <c r="B7" s="3243">
        <v>2.5</v>
      </c>
      <c r="C7" s="3243">
        <v>2.5</v>
      </c>
      <c r="D7" s="3243">
        <v>2</v>
      </c>
      <c r="E7" s="3243">
        <v>2</v>
      </c>
      <c r="F7" s="3243">
        <v>2</v>
      </c>
      <c r="G7" s="3243">
        <v>2</v>
      </c>
      <c r="H7" s="3243">
        <v>2</v>
      </c>
      <c r="I7" s="3244">
        <v>1.5</v>
      </c>
      <c r="J7" s="3244">
        <v>1.5</v>
      </c>
      <c r="K7" s="3244">
        <v>1.5</v>
      </c>
      <c r="L7" s="3244">
        <v>1.5</v>
      </c>
      <c r="M7" s="3245">
        <v>1.5</v>
      </c>
    </row>
    <row r="8" spans="1:13">
      <c r="A8" s="1027" t="s">
        <v>2763</v>
      </c>
      <c r="B8" s="3246">
        <v>80</v>
      </c>
      <c r="C8" s="3246">
        <v>80</v>
      </c>
      <c r="D8" s="3246">
        <v>70</v>
      </c>
      <c r="E8" s="3246">
        <v>70</v>
      </c>
      <c r="F8" s="3246">
        <v>70</v>
      </c>
      <c r="G8" s="3246">
        <v>70</v>
      </c>
      <c r="H8" s="3246">
        <v>70</v>
      </c>
      <c r="I8" s="3246">
        <v>60</v>
      </c>
      <c r="J8" s="3246">
        <v>60</v>
      </c>
      <c r="K8" s="3246">
        <v>60</v>
      </c>
      <c r="L8" s="3246">
        <v>60</v>
      </c>
      <c r="M8" s="3247">
        <v>60</v>
      </c>
    </row>
    <row r="9" spans="1:13">
      <c r="A9" s="1009" t="s">
        <v>2764</v>
      </c>
      <c r="B9" s="3248">
        <v>70</v>
      </c>
      <c r="C9" s="3248">
        <v>70</v>
      </c>
      <c r="D9" s="3248">
        <v>60</v>
      </c>
      <c r="E9" s="3248">
        <v>60</v>
      </c>
      <c r="F9" s="3248">
        <v>60</v>
      </c>
      <c r="G9" s="3248">
        <v>60</v>
      </c>
      <c r="H9" s="3248">
        <v>60</v>
      </c>
      <c r="I9" s="3248">
        <v>50</v>
      </c>
      <c r="J9" s="3248">
        <v>50</v>
      </c>
      <c r="K9" s="3248">
        <v>50</v>
      </c>
      <c r="L9" s="3248">
        <v>50</v>
      </c>
      <c r="M9" s="3249">
        <v>50</v>
      </c>
    </row>
    <row r="10" spans="1:13">
      <c r="A10" s="1009" t="s">
        <v>2765</v>
      </c>
      <c r="B10" s="3248">
        <v>20</v>
      </c>
      <c r="C10" s="3248">
        <v>20</v>
      </c>
      <c r="D10" s="3248">
        <v>15</v>
      </c>
      <c r="E10" s="3248">
        <v>15</v>
      </c>
      <c r="F10" s="3248">
        <v>15</v>
      </c>
      <c r="G10" s="3248">
        <v>15</v>
      </c>
      <c r="H10" s="3248">
        <v>15</v>
      </c>
      <c r="I10" s="3248">
        <v>10</v>
      </c>
      <c r="J10" s="3248">
        <v>10</v>
      </c>
      <c r="K10" s="3248">
        <v>10</v>
      </c>
      <c r="L10" s="3248">
        <v>10</v>
      </c>
      <c r="M10" s="3249">
        <v>10</v>
      </c>
    </row>
    <row r="11" spans="1:13">
      <c r="A11" s="1009" t="s">
        <v>2766</v>
      </c>
      <c r="B11" s="3248">
        <v>30</v>
      </c>
      <c r="C11" s="3248">
        <v>30</v>
      </c>
      <c r="D11" s="3248">
        <v>25</v>
      </c>
      <c r="E11" s="3248">
        <v>25</v>
      </c>
      <c r="F11" s="3248">
        <v>25</v>
      </c>
      <c r="G11" s="3248">
        <v>25</v>
      </c>
      <c r="H11" s="3248">
        <v>25</v>
      </c>
      <c r="I11" s="3248">
        <v>20</v>
      </c>
      <c r="J11" s="3248">
        <v>20</v>
      </c>
      <c r="K11" s="3248">
        <v>20</v>
      </c>
      <c r="L11" s="3248">
        <v>20</v>
      </c>
      <c r="M11" s="3249">
        <v>20</v>
      </c>
    </row>
    <row r="12" spans="1:13">
      <c r="A12" s="1009" t="s">
        <v>2767</v>
      </c>
      <c r="B12" s="3248">
        <v>45</v>
      </c>
      <c r="C12" s="3248">
        <v>45</v>
      </c>
      <c r="D12" s="3248">
        <v>40</v>
      </c>
      <c r="E12" s="3248">
        <v>40</v>
      </c>
      <c r="F12" s="3248">
        <v>40</v>
      </c>
      <c r="G12" s="3248">
        <v>40</v>
      </c>
      <c r="H12" s="3248">
        <v>40</v>
      </c>
      <c r="I12" s="3248">
        <v>35</v>
      </c>
      <c r="J12" s="3248">
        <v>35</v>
      </c>
      <c r="K12" s="3248">
        <v>35</v>
      </c>
      <c r="L12" s="3248">
        <v>35</v>
      </c>
      <c r="M12" s="3249">
        <v>35</v>
      </c>
    </row>
    <row r="13" spans="1:13">
      <c r="A13" s="1009" t="s">
        <v>2768</v>
      </c>
      <c r="B13" s="3248">
        <v>60</v>
      </c>
      <c r="C13" s="3248">
        <v>60</v>
      </c>
      <c r="D13" s="3248">
        <v>50</v>
      </c>
      <c r="E13" s="3248">
        <v>50</v>
      </c>
      <c r="F13" s="3248">
        <v>50</v>
      </c>
      <c r="G13" s="3248">
        <v>50</v>
      </c>
      <c r="H13" s="3248">
        <v>50</v>
      </c>
      <c r="I13" s="3248">
        <v>40</v>
      </c>
      <c r="J13" s="3248">
        <v>40</v>
      </c>
      <c r="K13" s="3248">
        <v>40</v>
      </c>
      <c r="L13" s="3248">
        <v>40</v>
      </c>
      <c r="M13" s="3249">
        <v>40</v>
      </c>
    </row>
    <row r="14" spans="1:13">
      <c r="A14" s="1009" t="s">
        <v>2769</v>
      </c>
      <c r="B14" s="3248">
        <v>50</v>
      </c>
      <c r="C14" s="3248">
        <v>50</v>
      </c>
      <c r="D14" s="3248">
        <v>40</v>
      </c>
      <c r="E14" s="3248">
        <v>40</v>
      </c>
      <c r="F14" s="3248">
        <v>40</v>
      </c>
      <c r="G14" s="3248">
        <v>40</v>
      </c>
      <c r="H14" s="3248">
        <v>40</v>
      </c>
      <c r="I14" s="3248">
        <v>30</v>
      </c>
      <c r="J14" s="3248">
        <v>30</v>
      </c>
      <c r="K14" s="3248">
        <v>30</v>
      </c>
      <c r="L14" s="3248">
        <v>30</v>
      </c>
      <c r="M14" s="3249">
        <v>30</v>
      </c>
    </row>
    <row r="15" spans="1:13">
      <c r="A15" s="1028" t="s">
        <v>2770</v>
      </c>
      <c r="B15" s="3250">
        <v>20</v>
      </c>
      <c r="C15" s="3250">
        <v>20</v>
      </c>
      <c r="D15" s="3250">
        <v>15</v>
      </c>
      <c r="E15" s="3250">
        <v>15</v>
      </c>
      <c r="F15" s="3250">
        <v>15</v>
      </c>
      <c r="G15" s="3250">
        <v>15</v>
      </c>
      <c r="H15" s="3250">
        <v>15</v>
      </c>
      <c r="I15" s="3250">
        <v>10</v>
      </c>
      <c r="J15" s="3250">
        <v>10</v>
      </c>
      <c r="K15" s="3250">
        <v>10</v>
      </c>
      <c r="L15" s="3250">
        <v>10</v>
      </c>
      <c r="M15" s="3251">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5" t="s">
        <v>2771</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30" t="s">
        <v>1160</v>
      </c>
      <c r="B18" s="1030"/>
      <c r="C18" s="1031"/>
      <c r="D18" s="1031"/>
      <c r="E18" s="1030"/>
      <c r="F18" s="1031"/>
      <c r="G18" s="1031"/>
    </row>
    <row r="19" spans="1:13" ht="14.25" thickBot="1">
      <c r="A19" s="3250" t="s">
        <v>2453</v>
      </c>
      <c r="B19" s="3252" t="s">
        <v>2454</v>
      </c>
      <c r="C19" s="3253" t="s">
        <v>2455</v>
      </c>
      <c r="D19" s="3254"/>
      <c r="E19" s="3248" t="s">
        <v>2456</v>
      </c>
      <c r="F19" s="1033"/>
      <c r="G19" s="1033"/>
    </row>
    <row r="20" spans="1:13" s="1407" customFormat="1">
      <c r="A20" s="3964" t="s">
        <v>2447</v>
      </c>
      <c r="B20" s="3967" t="s">
        <v>2457</v>
      </c>
      <c r="C20" s="3255" t="s">
        <v>2458</v>
      </c>
      <c r="D20" s="3256"/>
      <c r="E20" s="3257">
        <v>1</v>
      </c>
      <c r="F20" s="3258" t="s">
        <v>2459</v>
      </c>
      <c r="G20" s="1035"/>
      <c r="H20" s="1025"/>
      <c r="I20" s="1025"/>
    </row>
    <row r="21" spans="1:13" s="1407" customFormat="1">
      <c r="A21" s="3965"/>
      <c r="B21" s="3963"/>
      <c r="C21" s="3259" t="s">
        <v>2460</v>
      </c>
      <c r="D21" s="3260"/>
      <c r="E21" s="3261">
        <v>1</v>
      </c>
      <c r="F21" s="3258" t="s">
        <v>2461</v>
      </c>
      <c r="G21" s="1035"/>
      <c r="H21" s="1025"/>
      <c r="I21" s="1025"/>
    </row>
    <row r="22" spans="1:13" s="1407" customFormat="1">
      <c r="A22" s="3965"/>
      <c r="B22" s="3963"/>
      <c r="C22" s="3259" t="s">
        <v>2462</v>
      </c>
      <c r="D22" s="3260"/>
      <c r="E22" s="3261">
        <v>0.9</v>
      </c>
      <c r="F22" s="3258" t="s">
        <v>2463</v>
      </c>
      <c r="G22" s="1035"/>
      <c r="H22" s="1025"/>
      <c r="I22" s="1025"/>
    </row>
    <row r="23" spans="1:13" s="1407" customFormat="1">
      <c r="A23" s="3965"/>
      <c r="B23" s="3963"/>
      <c r="C23" s="3259" t="s">
        <v>2464</v>
      </c>
      <c r="D23" s="3260"/>
      <c r="E23" s="3261">
        <v>0.9</v>
      </c>
      <c r="F23" s="3258" t="s">
        <v>2465</v>
      </c>
      <c r="G23" s="1035"/>
      <c r="H23" s="1025"/>
      <c r="I23" s="1025"/>
    </row>
    <row r="24" spans="1:13" s="1407" customFormat="1">
      <c r="A24" s="3965"/>
      <c r="B24" s="3963"/>
      <c r="C24" s="3259" t="s">
        <v>2466</v>
      </c>
      <c r="D24" s="3260"/>
      <c r="E24" s="3261">
        <v>0.8</v>
      </c>
      <c r="F24" s="3258" t="s">
        <v>2467</v>
      </c>
      <c r="G24" s="1035"/>
      <c r="H24" s="1025"/>
      <c r="I24" s="1025"/>
    </row>
    <row r="25" spans="1:13" s="1407" customFormat="1" ht="14.25" thickBot="1">
      <c r="A25" s="3966"/>
      <c r="B25" s="3968"/>
      <c r="C25" s="3262" t="s">
        <v>2468</v>
      </c>
      <c r="D25" s="3263"/>
      <c r="E25" s="3264">
        <v>0.8</v>
      </c>
      <c r="F25" s="3258" t="s">
        <v>2469</v>
      </c>
      <c r="G25" s="1035"/>
      <c r="H25" s="1025"/>
      <c r="I25" s="1025"/>
    </row>
    <row r="26" spans="1:13" s="1407" customFormat="1" ht="14.25" thickBot="1">
      <c r="A26" s="3265" t="s">
        <v>2448</v>
      </c>
      <c r="B26" s="3266" t="s">
        <v>2457</v>
      </c>
      <c r="C26" s="3267" t="s">
        <v>2470</v>
      </c>
      <c r="D26" s="3268"/>
      <c r="E26" s="3269">
        <v>1</v>
      </c>
      <c r="F26" s="3258" t="s">
        <v>2471</v>
      </c>
      <c r="G26" s="1035"/>
      <c r="H26" s="1025"/>
      <c r="I26" s="1025"/>
    </row>
    <row r="27" spans="1:13" s="1407" customFormat="1">
      <c r="A27" s="3969" t="s">
        <v>2452</v>
      </c>
      <c r="B27" s="3967" t="s">
        <v>2452</v>
      </c>
      <c r="C27" s="3255" t="s">
        <v>2472</v>
      </c>
      <c r="D27" s="3256"/>
      <c r="E27" s="3257">
        <v>1</v>
      </c>
      <c r="F27" s="3258" t="s">
        <v>2473</v>
      </c>
      <c r="G27" s="1035"/>
      <c r="H27" s="1025"/>
      <c r="I27" s="1025"/>
    </row>
    <row r="28" spans="1:13" s="1407" customFormat="1">
      <c r="A28" s="3970"/>
      <c r="B28" s="3963"/>
      <c r="C28" s="3259" t="s">
        <v>2474</v>
      </c>
      <c r="D28" s="3260"/>
      <c r="E28" s="3261">
        <v>1</v>
      </c>
      <c r="F28" s="3258" t="s">
        <v>2475</v>
      </c>
      <c r="G28" s="1035"/>
      <c r="H28" s="1025"/>
      <c r="I28" s="1025"/>
    </row>
    <row r="29" spans="1:13" s="1407" customFormat="1">
      <c r="A29" s="3970"/>
      <c r="B29" s="3963"/>
      <c r="C29" s="3259" t="s">
        <v>2476</v>
      </c>
      <c r="D29" s="3260"/>
      <c r="E29" s="3261">
        <v>0.8</v>
      </c>
      <c r="F29" s="3258" t="s">
        <v>2477</v>
      </c>
      <c r="G29" s="1035"/>
      <c r="H29" s="1025"/>
      <c r="I29" s="1025"/>
    </row>
    <row r="30" spans="1:13" s="1407" customFormat="1">
      <c r="A30" s="3970"/>
      <c r="B30" s="3963"/>
      <c r="C30" s="3259" t="s">
        <v>2478</v>
      </c>
      <c r="D30" s="3260"/>
      <c r="E30" s="3261">
        <v>0.8</v>
      </c>
      <c r="F30" s="3258" t="s">
        <v>2479</v>
      </c>
      <c r="G30" s="1035"/>
      <c r="H30" s="1025"/>
      <c r="I30" s="1025"/>
    </row>
    <row r="31" spans="1:13" s="1407" customFormat="1">
      <c r="A31" s="3970"/>
      <c r="B31" s="3963"/>
      <c r="C31" s="3259" t="s">
        <v>2480</v>
      </c>
      <c r="D31" s="3260"/>
      <c r="E31" s="3261">
        <v>0.8</v>
      </c>
      <c r="F31" s="3258" t="s">
        <v>2481</v>
      </c>
      <c r="G31" s="1035"/>
      <c r="H31" s="1025"/>
      <c r="I31" s="1025"/>
    </row>
    <row r="32" spans="1:13" s="1407" customFormat="1">
      <c r="A32" s="3970"/>
      <c r="B32" s="3963"/>
      <c r="C32" s="3259" t="s">
        <v>2482</v>
      </c>
      <c r="D32" s="3260"/>
      <c r="E32" s="3261">
        <v>0.7</v>
      </c>
      <c r="F32" s="3258" t="s">
        <v>2483</v>
      </c>
      <c r="G32" s="1035"/>
      <c r="H32" s="1025"/>
      <c r="I32" s="1025"/>
    </row>
    <row r="33" spans="1:9" s="1407" customFormat="1">
      <c r="A33" s="3970"/>
      <c r="B33" s="3963"/>
      <c r="C33" s="3259" t="s">
        <v>2484</v>
      </c>
      <c r="D33" s="3260"/>
      <c r="E33" s="3261">
        <v>0.8</v>
      </c>
      <c r="F33" s="3258" t="s">
        <v>2485</v>
      </c>
      <c r="G33" s="1035"/>
      <c r="H33" s="1025"/>
      <c r="I33" s="1025"/>
    </row>
    <row r="34" spans="1:9" s="1407" customFormat="1">
      <c r="A34" s="3970"/>
      <c r="B34" s="3963"/>
      <c r="C34" s="3259" t="s">
        <v>2486</v>
      </c>
      <c r="D34" s="3260"/>
      <c r="E34" s="3261">
        <v>0.6</v>
      </c>
      <c r="F34" s="3258" t="s">
        <v>2487</v>
      </c>
      <c r="G34" s="1035"/>
      <c r="H34" s="1025"/>
      <c r="I34" s="1025"/>
    </row>
    <row r="35" spans="1:9" s="1407" customFormat="1">
      <c r="A35" s="3970"/>
      <c r="B35" s="3963"/>
      <c r="C35" s="3259" t="s">
        <v>2488</v>
      </c>
      <c r="D35" s="3260"/>
      <c r="E35" s="3261">
        <v>0.2</v>
      </c>
      <c r="F35" s="3258" t="s">
        <v>2489</v>
      </c>
      <c r="G35" s="1035"/>
      <c r="H35" s="1025"/>
      <c r="I35" s="1025"/>
    </row>
    <row r="36" spans="1:9" s="1407" customFormat="1">
      <c r="A36" s="3970"/>
      <c r="B36" s="3963"/>
      <c r="C36" s="3259" t="s">
        <v>2490</v>
      </c>
      <c r="D36" s="3260"/>
      <c r="E36" s="3261">
        <v>0.2</v>
      </c>
      <c r="F36" s="3258" t="s">
        <v>2491</v>
      </c>
      <c r="G36" s="1035"/>
      <c r="H36" s="1025"/>
      <c r="I36" s="1025"/>
    </row>
    <row r="37" spans="1:9" s="1407" customFormat="1">
      <c r="A37" s="3970"/>
      <c r="B37" s="3961" t="s">
        <v>2492</v>
      </c>
      <c r="C37" s="3259" t="s">
        <v>2493</v>
      </c>
      <c r="D37" s="3260"/>
      <c r="E37" s="3261">
        <v>0.6</v>
      </c>
      <c r="F37" s="3258" t="s">
        <v>2494</v>
      </c>
      <c r="G37" s="1035"/>
      <c r="H37" s="1025"/>
      <c r="I37" s="1025"/>
    </row>
    <row r="38" spans="1:9" s="1407" customFormat="1">
      <c r="A38" s="3970"/>
      <c r="B38" s="3963"/>
      <c r="C38" s="3259" t="s">
        <v>2495</v>
      </c>
      <c r="D38" s="3260"/>
      <c r="E38" s="3261">
        <v>0.6</v>
      </c>
      <c r="F38" s="3258" t="s">
        <v>2496</v>
      </c>
      <c r="G38" s="1035"/>
      <c r="H38" s="1025"/>
      <c r="I38" s="1025"/>
    </row>
    <row r="39" spans="1:9" s="1407" customFormat="1" ht="14.25" thickBot="1">
      <c r="A39" s="3971"/>
      <c r="B39" s="3968"/>
      <c r="C39" s="3262" t="s">
        <v>2497</v>
      </c>
      <c r="D39" s="3263"/>
      <c r="E39" s="3264">
        <v>0.6</v>
      </c>
      <c r="F39" s="3258" t="s">
        <v>2498</v>
      </c>
      <c r="G39" s="1035"/>
      <c r="H39" s="1025"/>
      <c r="I39" s="1025"/>
    </row>
    <row r="40" spans="1:9" s="1407" customFormat="1" ht="14.25" thickBot="1">
      <c r="A40" s="3265" t="s">
        <v>2449</v>
      </c>
      <c r="B40" s="3266" t="s">
        <v>2449</v>
      </c>
      <c r="C40" s="3267" t="s">
        <v>2499</v>
      </c>
      <c r="D40" s="3268"/>
      <c r="E40" s="3269">
        <v>1</v>
      </c>
      <c r="F40" s="3258" t="s">
        <v>2500</v>
      </c>
      <c r="G40" s="1035"/>
      <c r="H40" s="1025"/>
      <c r="I40" s="1025"/>
    </row>
    <row r="41" spans="1:9" s="1407" customFormat="1">
      <c r="A41" s="3964" t="s">
        <v>2450</v>
      </c>
      <c r="B41" s="3967" t="s">
        <v>2501</v>
      </c>
      <c r="C41" s="3255" t="s">
        <v>2502</v>
      </c>
      <c r="D41" s="3256"/>
      <c r="E41" s="3257">
        <v>1</v>
      </c>
      <c r="F41" s="3258" t="s">
        <v>2503</v>
      </c>
      <c r="G41" s="1035"/>
      <c r="H41" s="1025"/>
      <c r="I41" s="1025"/>
    </row>
    <row r="42" spans="1:9" s="1407" customFormat="1">
      <c r="A42" s="3965"/>
      <c r="B42" s="3963"/>
      <c r="C42" s="3259" t="s">
        <v>2504</v>
      </c>
      <c r="D42" s="3260"/>
      <c r="E42" s="3261">
        <v>1</v>
      </c>
      <c r="F42" s="3258" t="s">
        <v>2505</v>
      </c>
      <c r="G42" s="1035"/>
      <c r="H42" s="1025"/>
      <c r="I42" s="1025"/>
    </row>
    <row r="43" spans="1:9" s="1407" customFormat="1">
      <c r="A43" s="3965"/>
      <c r="B43" s="3962"/>
      <c r="C43" s="3259" t="s">
        <v>2506</v>
      </c>
      <c r="D43" s="3260"/>
      <c r="E43" s="3261">
        <v>1.5</v>
      </c>
      <c r="F43" s="3258" t="s">
        <v>2507</v>
      </c>
      <c r="G43" s="1035"/>
      <c r="H43" s="1025"/>
      <c r="I43" s="1025"/>
    </row>
    <row r="44" spans="1:9" s="1407" customFormat="1">
      <c r="A44" s="3965"/>
      <c r="B44" s="3270" t="s">
        <v>2452</v>
      </c>
      <c r="C44" s="3259" t="s">
        <v>2451</v>
      </c>
      <c r="D44" s="3260"/>
      <c r="E44" s="3261">
        <v>2</v>
      </c>
      <c r="F44" s="3258" t="s">
        <v>2508</v>
      </c>
      <c r="G44" s="1035"/>
      <c r="H44" s="1025"/>
      <c r="I44" s="1025"/>
    </row>
    <row r="45" spans="1:9" s="1407" customFormat="1">
      <c r="A45" s="3965"/>
      <c r="B45" s="3961" t="s">
        <v>2509</v>
      </c>
      <c r="C45" s="3259" t="s">
        <v>2510</v>
      </c>
      <c r="D45" s="3260"/>
      <c r="E45" s="3261">
        <v>1</v>
      </c>
      <c r="F45" s="3258" t="s">
        <v>2511</v>
      </c>
      <c r="G45" s="1035"/>
      <c r="H45" s="1025"/>
      <c r="I45" s="1025"/>
    </row>
    <row r="46" spans="1:9" s="1407" customFormat="1">
      <c r="A46" s="3965"/>
      <c r="B46" s="3963"/>
      <c r="C46" s="3259" t="s">
        <v>2512</v>
      </c>
      <c r="D46" s="3260"/>
      <c r="E46" s="3261">
        <v>1</v>
      </c>
      <c r="F46" s="3258" t="s">
        <v>2513</v>
      </c>
      <c r="G46" s="1035"/>
      <c r="H46" s="1025"/>
      <c r="I46" s="1025"/>
    </row>
    <row r="47" spans="1:9" s="1407" customFormat="1">
      <c r="A47" s="3965"/>
      <c r="B47" s="3963"/>
      <c r="C47" s="3259" t="s">
        <v>2514</v>
      </c>
      <c r="D47" s="3260"/>
      <c r="E47" s="3261">
        <v>1</v>
      </c>
      <c r="F47" s="3258" t="s">
        <v>2515</v>
      </c>
      <c r="G47" s="1035"/>
      <c r="H47" s="1025"/>
      <c r="I47" s="1025"/>
    </row>
    <row r="48" spans="1:9" s="1407" customFormat="1">
      <c r="A48" s="3965"/>
      <c r="B48" s="3963"/>
      <c r="C48" s="3259" t="s">
        <v>2516</v>
      </c>
      <c r="D48" s="3260"/>
      <c r="E48" s="3261">
        <v>1</v>
      </c>
      <c r="F48" s="3258" t="s">
        <v>2517</v>
      </c>
      <c r="G48" s="1035"/>
      <c r="H48" s="1025"/>
      <c r="I48" s="1025"/>
    </row>
    <row r="49" spans="1:9" s="1407" customFormat="1">
      <c r="A49" s="3965"/>
      <c r="B49" s="3963"/>
      <c r="C49" s="3259" t="s">
        <v>2518</v>
      </c>
      <c r="D49" s="3260"/>
      <c r="E49" s="3261">
        <v>1</v>
      </c>
      <c r="F49" s="3258" t="s">
        <v>2519</v>
      </c>
      <c r="G49" s="1035"/>
      <c r="H49" s="1025"/>
      <c r="I49" s="1025"/>
    </row>
    <row r="50" spans="1:9" s="1407" customFormat="1">
      <c r="A50" s="3965"/>
      <c r="B50" s="3963"/>
      <c r="C50" s="3259" t="s">
        <v>2520</v>
      </c>
      <c r="D50" s="3260"/>
      <c r="E50" s="3261">
        <v>1</v>
      </c>
      <c r="F50" s="3258" t="s">
        <v>2521</v>
      </c>
      <c r="G50" s="1035"/>
      <c r="H50" s="1025"/>
      <c r="I50" s="1025"/>
    </row>
    <row r="51" spans="1:9" s="1407" customFormat="1" ht="14.25" thickBot="1">
      <c r="A51" s="3966"/>
      <c r="B51" s="3968"/>
      <c r="C51" s="3262" t="s">
        <v>2522</v>
      </c>
      <c r="D51" s="3263"/>
      <c r="E51" s="3264">
        <v>1</v>
      </c>
      <c r="F51" s="3258" t="s">
        <v>2523</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48">
        <v>0.7</v>
      </c>
      <c r="C57" s="3248">
        <v>0.4</v>
      </c>
      <c r="D57" s="3248">
        <v>0.3</v>
      </c>
      <c r="E57" s="3254">
        <v>0.3</v>
      </c>
      <c r="F57" s="3248">
        <v>0.3</v>
      </c>
      <c r="G57" s="3248">
        <v>0.2</v>
      </c>
      <c r="I57" s="1008"/>
    </row>
    <row r="58" spans="1:9">
      <c r="A58" s="1051" t="s">
        <v>837</v>
      </c>
      <c r="B58" s="3248">
        <v>0.7</v>
      </c>
      <c r="C58" s="3248">
        <v>0.4</v>
      </c>
      <c r="D58" s="3248">
        <v>0.3</v>
      </c>
      <c r="E58" s="3248">
        <v>0.3</v>
      </c>
      <c r="F58" s="3248">
        <v>0.3</v>
      </c>
      <c r="G58" s="3248">
        <v>0.2</v>
      </c>
      <c r="I58" s="1008"/>
    </row>
    <row r="59" spans="1:9">
      <c r="A59" s="1051" t="s">
        <v>838</v>
      </c>
      <c r="B59" s="3248">
        <v>0.6</v>
      </c>
      <c r="C59" s="3248">
        <v>0.3</v>
      </c>
      <c r="D59" s="3248">
        <v>0.25</v>
      </c>
      <c r="E59" s="3248">
        <v>0.25</v>
      </c>
      <c r="F59" s="3248">
        <v>0.25</v>
      </c>
      <c r="G59" s="3248">
        <v>0.15</v>
      </c>
      <c r="I59" s="1008"/>
    </row>
    <row r="60" spans="1:9">
      <c r="A60" s="1051" t="s">
        <v>839</v>
      </c>
      <c r="B60" s="3248">
        <v>0.6</v>
      </c>
      <c r="C60" s="3248">
        <v>0.3</v>
      </c>
      <c r="D60" s="3248">
        <v>0.25</v>
      </c>
      <c r="E60" s="3248">
        <v>0.25</v>
      </c>
      <c r="F60" s="3248">
        <v>0.25</v>
      </c>
      <c r="G60" s="3248">
        <v>0.15</v>
      </c>
      <c r="I60" s="1008"/>
    </row>
    <row r="61" spans="1:9" s="1025" customFormat="1">
      <c r="A61" s="1051" t="s">
        <v>840</v>
      </c>
      <c r="B61" s="3248">
        <v>0.6</v>
      </c>
      <c r="C61" s="3248">
        <v>0.3</v>
      </c>
      <c r="D61" s="3248">
        <v>0.25</v>
      </c>
      <c r="E61" s="3248">
        <v>0.25</v>
      </c>
      <c r="F61" s="3248">
        <v>0.25</v>
      </c>
      <c r="G61" s="3248">
        <v>0.15</v>
      </c>
    </row>
    <row r="62" spans="1:9" s="1025" customFormat="1">
      <c r="A62" s="1051" t="s">
        <v>841</v>
      </c>
      <c r="B62" s="3248">
        <v>0.6</v>
      </c>
      <c r="C62" s="3248">
        <v>0.3</v>
      </c>
      <c r="D62" s="3248">
        <v>0.25</v>
      </c>
      <c r="E62" s="3248">
        <v>0.25</v>
      </c>
      <c r="F62" s="3248">
        <v>0.25</v>
      </c>
      <c r="G62" s="3248">
        <v>0.15</v>
      </c>
    </row>
    <row r="63" spans="1:9" s="1025" customFormat="1">
      <c r="A63" s="1051" t="s">
        <v>842</v>
      </c>
      <c r="B63" s="3248">
        <v>0.6</v>
      </c>
      <c r="C63" s="3248">
        <v>0.3</v>
      </c>
      <c r="D63" s="3248">
        <v>0.25</v>
      </c>
      <c r="E63" s="3248">
        <v>0.25</v>
      </c>
      <c r="F63" s="3248">
        <v>0.25</v>
      </c>
      <c r="G63" s="3248">
        <v>0.15</v>
      </c>
    </row>
    <row r="64" spans="1:9" s="1025" customFormat="1">
      <c r="A64" s="1051" t="s">
        <v>843</v>
      </c>
      <c r="B64" s="3248">
        <v>0.5</v>
      </c>
      <c r="C64" s="3248">
        <v>0.2</v>
      </c>
      <c r="D64" s="3248">
        <v>0.2</v>
      </c>
      <c r="E64" s="3248">
        <v>0.2</v>
      </c>
      <c r="F64" s="3248">
        <v>0.2</v>
      </c>
      <c r="G64" s="3248">
        <v>0.1</v>
      </c>
    </row>
    <row r="65" spans="1:8" s="1025" customFormat="1">
      <c r="A65" s="1051" t="s">
        <v>844</v>
      </c>
      <c r="B65" s="3248">
        <v>0.5</v>
      </c>
      <c r="C65" s="3248">
        <v>0.2</v>
      </c>
      <c r="D65" s="3248">
        <v>0.2</v>
      </c>
      <c r="E65" s="3248">
        <v>0.2</v>
      </c>
      <c r="F65" s="3248">
        <v>0.2</v>
      </c>
      <c r="G65" s="3248">
        <v>0.1</v>
      </c>
    </row>
    <row r="66" spans="1:8" s="1025" customFormat="1">
      <c r="A66" s="1051" t="s">
        <v>845</v>
      </c>
      <c r="B66" s="3248">
        <v>0.5</v>
      </c>
      <c r="C66" s="3248">
        <v>0.2</v>
      </c>
      <c r="D66" s="3248">
        <v>0.2</v>
      </c>
      <c r="E66" s="3248">
        <v>0.2</v>
      </c>
      <c r="F66" s="3248">
        <v>0.2</v>
      </c>
      <c r="G66" s="3248">
        <v>0.1</v>
      </c>
    </row>
    <row r="67" spans="1:8" s="1025" customFormat="1">
      <c r="A67" s="1051" t="s">
        <v>846</v>
      </c>
      <c r="B67" s="3248">
        <v>0.5</v>
      </c>
      <c r="C67" s="3248">
        <v>0.2</v>
      </c>
      <c r="D67" s="3248">
        <v>0.2</v>
      </c>
      <c r="E67" s="3248">
        <v>0.2</v>
      </c>
      <c r="F67" s="3248">
        <v>0.2</v>
      </c>
      <c r="G67" s="3248">
        <v>0.1</v>
      </c>
    </row>
    <row r="68" spans="1:8" s="1025" customFormat="1">
      <c r="A68" s="1051" t="s">
        <v>847</v>
      </c>
      <c r="B68" s="3248">
        <v>0.5</v>
      </c>
      <c r="C68" s="3248">
        <v>0.2</v>
      </c>
      <c r="D68" s="3248">
        <v>0.2</v>
      </c>
      <c r="E68" s="3248">
        <v>0.2</v>
      </c>
      <c r="F68" s="3248">
        <v>0.2</v>
      </c>
      <c r="G68" s="3248">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0">
        <v>1</v>
      </c>
      <c r="B73" s="3961" t="s">
        <v>2525</v>
      </c>
      <c r="C73" s="3248" t="s">
        <v>2526</v>
      </c>
      <c r="D73" s="3248" t="s">
        <v>2527</v>
      </c>
      <c r="E73" s="3271">
        <v>0.2</v>
      </c>
      <c r="F73" s="3270">
        <v>25</v>
      </c>
      <c r="H73" s="1025">
        <f>SUMIF(C71:C139,基准地价!C8,E71:E139)</f>
        <v>0</v>
      </c>
    </row>
    <row r="74" spans="1:8" s="1025" customFormat="1" ht="24">
      <c r="A74" s="3270">
        <v>2</v>
      </c>
      <c r="B74" s="3963"/>
      <c r="C74" s="3248" t="s">
        <v>2528</v>
      </c>
      <c r="D74" s="3248" t="s">
        <v>2529</v>
      </c>
      <c r="E74" s="3271">
        <v>0.2</v>
      </c>
      <c r="F74" s="3270">
        <v>25</v>
      </c>
    </row>
    <row r="75" spans="1:8" s="1025" customFormat="1" ht="24">
      <c r="A75" s="3270">
        <v>3</v>
      </c>
      <c r="B75" s="3963"/>
      <c r="C75" s="3248" t="s">
        <v>2530</v>
      </c>
      <c r="D75" s="3248" t="s">
        <v>2531</v>
      </c>
      <c r="E75" s="3271">
        <v>0.2</v>
      </c>
      <c r="F75" s="3270">
        <v>25</v>
      </c>
    </row>
    <row r="76" spans="1:8" s="1025" customFormat="1">
      <c r="A76" s="3270">
        <v>4</v>
      </c>
      <c r="B76" s="3963"/>
      <c r="C76" s="3248" t="s">
        <v>2532</v>
      </c>
      <c r="D76" s="3248" t="s">
        <v>2533</v>
      </c>
      <c r="E76" s="3271">
        <v>0.15</v>
      </c>
      <c r="F76" s="3270">
        <v>20</v>
      </c>
    </row>
    <row r="77" spans="1:8" s="1025" customFormat="1" ht="24">
      <c r="A77" s="3270">
        <v>5</v>
      </c>
      <c r="B77" s="3963"/>
      <c r="C77" s="3248" t="s">
        <v>2534</v>
      </c>
      <c r="D77" s="3248" t="s">
        <v>2535</v>
      </c>
      <c r="E77" s="3271">
        <v>0.15</v>
      </c>
      <c r="F77" s="3270">
        <v>20</v>
      </c>
    </row>
    <row r="78" spans="1:8" s="1025" customFormat="1" ht="24">
      <c r="A78" s="3270">
        <v>6</v>
      </c>
      <c r="B78" s="3963"/>
      <c r="C78" s="3248" t="s">
        <v>2536</v>
      </c>
      <c r="D78" s="3248" t="s">
        <v>2537</v>
      </c>
      <c r="E78" s="3271">
        <v>0.15</v>
      </c>
      <c r="F78" s="3270">
        <v>20</v>
      </c>
    </row>
    <row r="79" spans="1:8" s="1025" customFormat="1" ht="24">
      <c r="A79" s="3270">
        <v>7</v>
      </c>
      <c r="B79" s="3963"/>
      <c r="C79" s="3248" t="s">
        <v>2538</v>
      </c>
      <c r="D79" s="3248" t="s">
        <v>2539</v>
      </c>
      <c r="E79" s="3271">
        <v>0.15</v>
      </c>
      <c r="F79" s="3270">
        <v>20</v>
      </c>
    </row>
    <row r="80" spans="1:8" s="1025" customFormat="1" ht="24">
      <c r="A80" s="3270">
        <v>8</v>
      </c>
      <c r="B80" s="3963"/>
      <c r="C80" s="3248" t="s">
        <v>2540</v>
      </c>
      <c r="D80" s="3248" t="s">
        <v>2541</v>
      </c>
      <c r="E80" s="3271">
        <v>0.1</v>
      </c>
      <c r="F80" s="3270">
        <v>15</v>
      </c>
    </row>
    <row r="81" spans="1:6" s="1025" customFormat="1" ht="24">
      <c r="A81" s="3270">
        <v>9</v>
      </c>
      <c r="B81" s="3963"/>
      <c r="C81" s="3248" t="s">
        <v>2542</v>
      </c>
      <c r="D81" s="3248" t="s">
        <v>2543</v>
      </c>
      <c r="E81" s="3271">
        <v>0.1</v>
      </c>
      <c r="F81" s="3270">
        <v>15</v>
      </c>
    </row>
    <row r="82" spans="1:6" s="1025" customFormat="1" ht="24">
      <c r="A82" s="3270">
        <v>10</v>
      </c>
      <c r="B82" s="3963"/>
      <c r="C82" s="3248" t="s">
        <v>2544</v>
      </c>
      <c r="D82" s="3248" t="s">
        <v>2545</v>
      </c>
      <c r="E82" s="3271">
        <v>0.1</v>
      </c>
      <c r="F82" s="3270">
        <v>15</v>
      </c>
    </row>
    <row r="83" spans="1:6" s="1025" customFormat="1" ht="24">
      <c r="A83" s="3270">
        <v>11</v>
      </c>
      <c r="B83" s="3963"/>
      <c r="C83" s="3248" t="s">
        <v>2546</v>
      </c>
      <c r="D83" s="3248" t="s">
        <v>2547</v>
      </c>
      <c r="E83" s="3271">
        <v>0.1</v>
      </c>
      <c r="F83" s="3270">
        <v>15</v>
      </c>
    </row>
    <row r="84" spans="1:6" s="1025" customFormat="1" ht="24">
      <c r="A84" s="3270">
        <v>12</v>
      </c>
      <c r="B84" s="3963"/>
      <c r="C84" s="3248" t="s">
        <v>2548</v>
      </c>
      <c r="D84" s="3248" t="s">
        <v>2549</v>
      </c>
      <c r="E84" s="3271">
        <v>0.1</v>
      </c>
      <c r="F84" s="3270">
        <v>15</v>
      </c>
    </row>
    <row r="85" spans="1:6" s="1025" customFormat="1">
      <c r="A85" s="3270">
        <v>13</v>
      </c>
      <c r="B85" s="3963"/>
      <c r="C85" s="3248" t="s">
        <v>2550</v>
      </c>
      <c r="D85" s="3248" t="s">
        <v>2551</v>
      </c>
      <c r="E85" s="3271">
        <v>0.1</v>
      </c>
      <c r="F85" s="3270">
        <v>15</v>
      </c>
    </row>
    <row r="86" spans="1:6" s="1025" customFormat="1">
      <c r="A86" s="3270">
        <v>14</v>
      </c>
      <c r="B86" s="3963"/>
      <c r="C86" s="3248" t="s">
        <v>2552</v>
      </c>
      <c r="D86" s="3248" t="s">
        <v>2553</v>
      </c>
      <c r="E86" s="3271">
        <v>0.1</v>
      </c>
      <c r="F86" s="3270">
        <v>15</v>
      </c>
    </row>
    <row r="87" spans="1:6" s="1025" customFormat="1">
      <c r="A87" s="3270">
        <v>15</v>
      </c>
      <c r="B87" s="3963"/>
      <c r="C87" s="3248" t="s">
        <v>2554</v>
      </c>
      <c r="D87" s="3248" t="s">
        <v>2555</v>
      </c>
      <c r="E87" s="3271">
        <v>0.1</v>
      </c>
      <c r="F87" s="3270">
        <v>15</v>
      </c>
    </row>
    <row r="88" spans="1:6" s="1025" customFormat="1" ht="24">
      <c r="A88" s="3270">
        <v>16</v>
      </c>
      <c r="B88" s="3963"/>
      <c r="C88" s="3248" t="s">
        <v>2556</v>
      </c>
      <c r="D88" s="3248" t="s">
        <v>2557</v>
      </c>
      <c r="E88" s="3271">
        <v>0.1</v>
      </c>
      <c r="F88" s="3270">
        <v>15</v>
      </c>
    </row>
    <row r="89" spans="1:6" s="1025" customFormat="1" ht="24">
      <c r="A89" s="3270">
        <v>17</v>
      </c>
      <c r="B89" s="3962"/>
      <c r="C89" s="3248" t="s">
        <v>2558</v>
      </c>
      <c r="D89" s="3248" t="s">
        <v>2559</v>
      </c>
      <c r="E89" s="3271">
        <v>0.1</v>
      </c>
      <c r="F89" s="3270">
        <v>15</v>
      </c>
    </row>
    <row r="90" spans="1:6" s="1025" customFormat="1">
      <c r="A90" s="3270">
        <v>18</v>
      </c>
      <c r="B90" s="3961" t="s">
        <v>2560</v>
      </c>
      <c r="C90" s="3248" t="s">
        <v>2561</v>
      </c>
      <c r="D90" s="3248" t="s">
        <v>2562</v>
      </c>
      <c r="E90" s="3271">
        <v>0.2</v>
      </c>
      <c r="F90" s="3270">
        <v>25</v>
      </c>
    </row>
    <row r="91" spans="1:6" s="1025" customFormat="1" ht="24">
      <c r="A91" s="3270">
        <v>19</v>
      </c>
      <c r="B91" s="3963"/>
      <c r="C91" s="3248" t="s">
        <v>2563</v>
      </c>
      <c r="D91" s="3248" t="s">
        <v>2564</v>
      </c>
      <c r="E91" s="3271">
        <v>0.2</v>
      </c>
      <c r="F91" s="3270">
        <v>25</v>
      </c>
    </row>
    <row r="92" spans="1:6" s="1025" customFormat="1">
      <c r="A92" s="3270">
        <v>20</v>
      </c>
      <c r="B92" s="3963"/>
      <c r="C92" s="3248" t="s">
        <v>2565</v>
      </c>
      <c r="D92" s="3248" t="s">
        <v>2566</v>
      </c>
      <c r="E92" s="3271">
        <v>0.15</v>
      </c>
      <c r="F92" s="3270">
        <v>20</v>
      </c>
    </row>
    <row r="93" spans="1:6" s="1025" customFormat="1" ht="24">
      <c r="A93" s="3270">
        <v>21</v>
      </c>
      <c r="B93" s="3963"/>
      <c r="C93" s="3248" t="s">
        <v>2567</v>
      </c>
      <c r="D93" s="3248" t="s">
        <v>2568</v>
      </c>
      <c r="E93" s="3271">
        <v>0.15</v>
      </c>
      <c r="F93" s="3270">
        <v>20</v>
      </c>
    </row>
    <row r="94" spans="1:6" s="1025" customFormat="1" ht="24">
      <c r="A94" s="3270">
        <v>22</v>
      </c>
      <c r="B94" s="3963"/>
      <c r="C94" s="3248" t="s">
        <v>2569</v>
      </c>
      <c r="D94" s="3248" t="s">
        <v>2570</v>
      </c>
      <c r="E94" s="3271">
        <v>0.15</v>
      </c>
      <c r="F94" s="3270">
        <v>20</v>
      </c>
    </row>
    <row r="95" spans="1:6" s="1025" customFormat="1" ht="36">
      <c r="A95" s="3270">
        <v>23</v>
      </c>
      <c r="B95" s="3963"/>
      <c r="C95" s="3248" t="s">
        <v>2571</v>
      </c>
      <c r="D95" s="3248" t="s">
        <v>2572</v>
      </c>
      <c r="E95" s="3271">
        <v>0.15</v>
      </c>
      <c r="F95" s="3270">
        <v>20</v>
      </c>
    </row>
    <row r="96" spans="1:6" s="1025" customFormat="1">
      <c r="A96" s="3270">
        <v>24</v>
      </c>
      <c r="B96" s="3963"/>
      <c r="C96" s="3248" t="s">
        <v>2573</v>
      </c>
      <c r="D96" s="3248" t="s">
        <v>2574</v>
      </c>
      <c r="E96" s="3271">
        <v>0.1</v>
      </c>
      <c r="F96" s="3270">
        <v>15</v>
      </c>
    </row>
    <row r="97" spans="1:6" s="1025" customFormat="1" ht="24">
      <c r="A97" s="3270">
        <v>25</v>
      </c>
      <c r="B97" s="3963"/>
      <c r="C97" s="3248" t="s">
        <v>2575</v>
      </c>
      <c r="D97" s="3248" t="s">
        <v>2576</v>
      </c>
      <c r="E97" s="3271">
        <v>0.1</v>
      </c>
      <c r="F97" s="3270">
        <v>15</v>
      </c>
    </row>
    <row r="98" spans="1:6" s="1025" customFormat="1" ht="24">
      <c r="A98" s="3270">
        <v>26</v>
      </c>
      <c r="B98" s="3963"/>
      <c r="C98" s="3248" t="s">
        <v>2577</v>
      </c>
      <c r="D98" s="3248" t="s">
        <v>2578</v>
      </c>
      <c r="E98" s="3271">
        <v>0.1</v>
      </c>
      <c r="F98" s="3270">
        <v>15</v>
      </c>
    </row>
    <row r="99" spans="1:6" s="1025" customFormat="1" ht="24">
      <c r="A99" s="3270">
        <v>27</v>
      </c>
      <c r="B99" s="3963"/>
      <c r="C99" s="3248" t="s">
        <v>2579</v>
      </c>
      <c r="D99" s="3248" t="s">
        <v>2580</v>
      </c>
      <c r="E99" s="3271">
        <v>0.1</v>
      </c>
      <c r="F99" s="3270">
        <v>15</v>
      </c>
    </row>
    <row r="100" spans="1:6" s="1025" customFormat="1" ht="24">
      <c r="A100" s="3270">
        <v>28</v>
      </c>
      <c r="B100" s="3963"/>
      <c r="C100" s="3248" t="s">
        <v>2581</v>
      </c>
      <c r="D100" s="3248" t="s">
        <v>2582</v>
      </c>
      <c r="E100" s="3271">
        <v>0.1</v>
      </c>
      <c r="F100" s="3270">
        <v>15</v>
      </c>
    </row>
    <row r="101" spans="1:6" s="1025" customFormat="1" ht="24">
      <c r="A101" s="3270">
        <v>29</v>
      </c>
      <c r="B101" s="3963"/>
      <c r="C101" s="3248" t="s">
        <v>2583</v>
      </c>
      <c r="D101" s="3248" t="s">
        <v>2584</v>
      </c>
      <c r="E101" s="3271">
        <v>0.1</v>
      </c>
      <c r="F101" s="3270">
        <v>15</v>
      </c>
    </row>
    <row r="102" spans="1:6" s="1025" customFormat="1" ht="24">
      <c r="A102" s="3270">
        <v>30</v>
      </c>
      <c r="B102" s="3963"/>
      <c r="C102" s="3248" t="s">
        <v>2585</v>
      </c>
      <c r="D102" s="3248" t="s">
        <v>2586</v>
      </c>
      <c r="E102" s="3271">
        <v>0.1</v>
      </c>
      <c r="F102" s="3270">
        <v>15</v>
      </c>
    </row>
    <row r="103" spans="1:6" s="1025" customFormat="1" ht="24">
      <c r="A103" s="3270">
        <v>31</v>
      </c>
      <c r="B103" s="3963"/>
      <c r="C103" s="3248" t="s">
        <v>2587</v>
      </c>
      <c r="D103" s="3248" t="s">
        <v>2588</v>
      </c>
      <c r="E103" s="3271">
        <v>0.1</v>
      </c>
      <c r="F103" s="3270">
        <v>15</v>
      </c>
    </row>
    <row r="104" spans="1:6" s="1025" customFormat="1" ht="24">
      <c r="A104" s="3270">
        <v>32</v>
      </c>
      <c r="B104" s="3963"/>
      <c r="C104" s="3248" t="s">
        <v>2589</v>
      </c>
      <c r="D104" s="3248" t="s">
        <v>2590</v>
      </c>
      <c r="E104" s="3271">
        <v>0.1</v>
      </c>
      <c r="F104" s="3270">
        <v>15</v>
      </c>
    </row>
    <row r="105" spans="1:6" s="1025" customFormat="1" ht="24">
      <c r="A105" s="3270">
        <v>33</v>
      </c>
      <c r="B105" s="3963"/>
      <c r="C105" s="3248" t="s">
        <v>2591</v>
      </c>
      <c r="D105" s="3248" t="s">
        <v>2592</v>
      </c>
      <c r="E105" s="3271">
        <v>0.1</v>
      </c>
      <c r="F105" s="3270">
        <v>15</v>
      </c>
    </row>
    <row r="106" spans="1:6" s="1025" customFormat="1" ht="24">
      <c r="A106" s="3270">
        <v>34</v>
      </c>
      <c r="B106" s="3962"/>
      <c r="C106" s="3248" t="s">
        <v>2593</v>
      </c>
      <c r="D106" s="3248" t="s">
        <v>2594</v>
      </c>
      <c r="E106" s="3271">
        <v>0.1</v>
      </c>
      <c r="F106" s="3270">
        <v>15</v>
      </c>
    </row>
    <row r="107" spans="1:6" s="1025" customFormat="1" ht="24">
      <c r="A107" s="3270">
        <v>35</v>
      </c>
      <c r="B107" s="3961" t="s">
        <v>2595</v>
      </c>
      <c r="C107" s="3270" t="s">
        <v>2596</v>
      </c>
      <c r="D107" s="3248" t="s">
        <v>2597</v>
      </c>
      <c r="E107" s="3271">
        <v>0.15</v>
      </c>
      <c r="F107" s="3270">
        <v>20</v>
      </c>
    </row>
    <row r="108" spans="1:6" s="1025" customFormat="1" ht="24">
      <c r="A108" s="3270">
        <v>36</v>
      </c>
      <c r="B108" s="3963"/>
      <c r="C108" s="3270" t="s">
        <v>2598</v>
      </c>
      <c r="D108" s="3248" t="s">
        <v>2599</v>
      </c>
      <c r="E108" s="3271">
        <v>0.15</v>
      </c>
      <c r="F108" s="3270">
        <v>20</v>
      </c>
    </row>
    <row r="109" spans="1:6" s="1025" customFormat="1" ht="24">
      <c r="A109" s="3270">
        <v>37</v>
      </c>
      <c r="B109" s="3963"/>
      <c r="C109" s="3270" t="s">
        <v>2600</v>
      </c>
      <c r="D109" s="3248" t="s">
        <v>2601</v>
      </c>
      <c r="E109" s="3271">
        <v>0.15</v>
      </c>
      <c r="F109" s="3270">
        <v>20</v>
      </c>
    </row>
    <row r="110" spans="1:6" s="1025" customFormat="1">
      <c r="A110" s="3270">
        <v>38</v>
      </c>
      <c r="B110" s="3963"/>
      <c r="C110" s="3270" t="s">
        <v>2602</v>
      </c>
      <c r="D110" s="3248" t="s">
        <v>2603</v>
      </c>
      <c r="E110" s="3271">
        <v>0.1</v>
      </c>
      <c r="F110" s="3270">
        <v>15</v>
      </c>
    </row>
    <row r="111" spans="1:6" s="1025" customFormat="1" ht="24">
      <c r="A111" s="3270">
        <v>39</v>
      </c>
      <c r="B111" s="3963"/>
      <c r="C111" s="3270" t="s">
        <v>2604</v>
      </c>
      <c r="D111" s="3248" t="s">
        <v>2605</v>
      </c>
      <c r="E111" s="3271">
        <v>0.1</v>
      </c>
      <c r="F111" s="3270">
        <v>15</v>
      </c>
    </row>
    <row r="112" spans="1:6" s="1025" customFormat="1" ht="24">
      <c r="A112" s="3270">
        <v>40</v>
      </c>
      <c r="B112" s="3962"/>
      <c r="C112" s="3270" t="s">
        <v>2606</v>
      </c>
      <c r="D112" s="3248" t="s">
        <v>2607</v>
      </c>
      <c r="E112" s="3271">
        <v>0.1</v>
      </c>
      <c r="F112" s="3270">
        <v>15</v>
      </c>
    </row>
    <row r="113" spans="1:6" s="1025" customFormat="1" ht="24">
      <c r="A113" s="3270">
        <v>41</v>
      </c>
      <c r="B113" s="3960" t="s">
        <v>2608</v>
      </c>
      <c r="C113" s="3270" t="s">
        <v>2609</v>
      </c>
      <c r="D113" s="3248" t="s">
        <v>2610</v>
      </c>
      <c r="E113" s="3271">
        <v>0.1</v>
      </c>
      <c r="F113" s="3270">
        <v>15</v>
      </c>
    </row>
    <row r="114" spans="1:6" s="1025" customFormat="1">
      <c r="A114" s="3270">
        <v>42</v>
      </c>
      <c r="B114" s="3960"/>
      <c r="C114" s="3270" t="s">
        <v>2611</v>
      </c>
      <c r="D114" s="3248" t="s">
        <v>2612</v>
      </c>
      <c r="E114" s="3271">
        <v>0.1</v>
      </c>
      <c r="F114" s="3270">
        <v>15</v>
      </c>
    </row>
    <row r="115" spans="1:6" s="1025" customFormat="1" ht="24">
      <c r="A115" s="3270">
        <v>43</v>
      </c>
      <c r="B115" s="3960"/>
      <c r="C115" s="3270" t="s">
        <v>2613</v>
      </c>
      <c r="D115" s="3248" t="s">
        <v>2614</v>
      </c>
      <c r="E115" s="3271">
        <v>0.1</v>
      </c>
      <c r="F115" s="3270">
        <v>15</v>
      </c>
    </row>
    <row r="116" spans="1:6" s="1025" customFormat="1" ht="24">
      <c r="A116" s="3270">
        <v>44</v>
      </c>
      <c r="B116" s="3961" t="s">
        <v>2615</v>
      </c>
      <c r="C116" s="3270" t="s">
        <v>2616</v>
      </c>
      <c r="D116" s="3248" t="s">
        <v>2617</v>
      </c>
      <c r="E116" s="3271">
        <v>0.1</v>
      </c>
      <c r="F116" s="3270">
        <v>15</v>
      </c>
    </row>
    <row r="117" spans="1:6" s="1025" customFormat="1" ht="24">
      <c r="A117" s="3270">
        <v>45</v>
      </c>
      <c r="B117" s="3962"/>
      <c r="C117" s="3248" t="s">
        <v>2618</v>
      </c>
      <c r="D117" s="3248" t="s">
        <v>2619</v>
      </c>
      <c r="E117" s="3271">
        <v>0.1</v>
      </c>
      <c r="F117" s="3270">
        <v>15</v>
      </c>
    </row>
    <row r="118" spans="1:6" s="1025" customFormat="1" ht="24">
      <c r="A118" s="3270">
        <v>46</v>
      </c>
      <c r="B118" s="3961" t="s">
        <v>2620</v>
      </c>
      <c r="C118" s="3270" t="s">
        <v>2621</v>
      </c>
      <c r="D118" s="3248" t="s">
        <v>2622</v>
      </c>
      <c r="E118" s="3271">
        <v>0.1</v>
      </c>
      <c r="F118" s="3270">
        <v>15</v>
      </c>
    </row>
    <row r="119" spans="1:6" s="1025" customFormat="1" ht="24">
      <c r="A119" s="3270">
        <v>47</v>
      </c>
      <c r="B119" s="3962"/>
      <c r="C119" s="3270" t="s">
        <v>2623</v>
      </c>
      <c r="D119" s="3248" t="s">
        <v>2624</v>
      </c>
      <c r="E119" s="3271">
        <v>0.1</v>
      </c>
      <c r="F119" s="3270">
        <v>15</v>
      </c>
    </row>
    <row r="120" spans="1:6" s="1025" customFormat="1" ht="24">
      <c r="A120" s="3270">
        <v>48</v>
      </c>
      <c r="B120" s="3961" t="s">
        <v>2625</v>
      </c>
      <c r="C120" s="3270" t="s">
        <v>2626</v>
      </c>
      <c r="D120" s="3248" t="s">
        <v>2627</v>
      </c>
      <c r="E120" s="3271">
        <v>0.1</v>
      </c>
      <c r="F120" s="3270">
        <v>15</v>
      </c>
    </row>
    <row r="121" spans="1:6" s="1025" customFormat="1">
      <c r="A121" s="3270">
        <v>49</v>
      </c>
      <c r="B121" s="3962"/>
      <c r="C121" s="3270" t="s">
        <v>2628</v>
      </c>
      <c r="D121" s="3248" t="s">
        <v>2629</v>
      </c>
      <c r="E121" s="3271">
        <v>0.1</v>
      </c>
      <c r="F121" s="3270">
        <v>15</v>
      </c>
    </row>
    <row r="122" spans="1:6" s="1025" customFormat="1" ht="24">
      <c r="A122" s="3270">
        <v>50</v>
      </c>
      <c r="B122" s="3960" t="s">
        <v>2630</v>
      </c>
      <c r="C122" s="3270" t="s">
        <v>2631</v>
      </c>
      <c r="D122" s="3248" t="s">
        <v>2632</v>
      </c>
      <c r="E122" s="3271">
        <v>0.1</v>
      </c>
      <c r="F122" s="3270">
        <v>15</v>
      </c>
    </row>
    <row r="123" spans="1:6" s="1025" customFormat="1" ht="24">
      <c r="A123" s="3270">
        <v>51</v>
      </c>
      <c r="B123" s="3960"/>
      <c r="C123" s="3270" t="s">
        <v>2633</v>
      </c>
      <c r="D123" s="3248" t="s">
        <v>2634</v>
      </c>
      <c r="E123" s="3271">
        <v>0.1</v>
      </c>
      <c r="F123" s="3270">
        <v>15</v>
      </c>
    </row>
    <row r="124" spans="1:6" s="1025" customFormat="1" ht="24">
      <c r="A124" s="3270">
        <v>52</v>
      </c>
      <c r="B124" s="3960" t="s">
        <v>2635</v>
      </c>
      <c r="C124" s="3270" t="s">
        <v>2636</v>
      </c>
      <c r="D124" s="3248" t="s">
        <v>2637</v>
      </c>
      <c r="E124" s="3271">
        <v>0.1</v>
      </c>
      <c r="F124" s="3270">
        <v>15</v>
      </c>
    </row>
    <row r="125" spans="1:6" s="1025" customFormat="1" ht="24">
      <c r="A125" s="3270">
        <v>53</v>
      </c>
      <c r="B125" s="3960"/>
      <c r="C125" s="3270" t="s">
        <v>2638</v>
      </c>
      <c r="D125" s="3248" t="s">
        <v>2639</v>
      </c>
      <c r="E125" s="3271">
        <v>0.1</v>
      </c>
      <c r="F125" s="3270">
        <v>15</v>
      </c>
    </row>
    <row r="126" spans="1:6" ht="24">
      <c r="A126" s="3270">
        <v>54</v>
      </c>
      <c r="B126" s="3270" t="s">
        <v>2640</v>
      </c>
      <c r="C126" s="3270" t="s">
        <v>2641</v>
      </c>
      <c r="D126" s="3248" t="s">
        <v>2642</v>
      </c>
      <c r="E126" s="3271">
        <v>0.1</v>
      </c>
      <c r="F126" s="3270">
        <v>15</v>
      </c>
    </row>
    <row r="127" spans="1:6">
      <c r="A127" s="3270">
        <v>55</v>
      </c>
      <c r="B127" s="3960" t="s">
        <v>2643</v>
      </c>
      <c r="C127" s="3270" t="s">
        <v>2644</v>
      </c>
      <c r="D127" s="3248" t="s">
        <v>2645</v>
      </c>
      <c r="E127" s="3271">
        <v>0.1</v>
      </c>
      <c r="F127" s="3270">
        <v>15</v>
      </c>
    </row>
    <row r="128" spans="1:6">
      <c r="A128" s="3270">
        <v>56</v>
      </c>
      <c r="B128" s="3960"/>
      <c r="C128" s="3270" t="s">
        <v>2646</v>
      </c>
      <c r="D128" s="3248" t="s">
        <v>2647</v>
      </c>
      <c r="E128" s="3271">
        <v>0.1</v>
      </c>
      <c r="F128" s="3270">
        <v>15</v>
      </c>
    </row>
    <row r="129" spans="1:14" ht="24">
      <c r="A129" s="3270">
        <v>57</v>
      </c>
      <c r="B129" s="3960"/>
      <c r="C129" s="3270" t="s">
        <v>2648</v>
      </c>
      <c r="D129" s="3248" t="s">
        <v>2649</v>
      </c>
      <c r="E129" s="3271">
        <v>0.1</v>
      </c>
      <c r="F129" s="3270">
        <v>15</v>
      </c>
    </row>
    <row r="130" spans="1:14" ht="24">
      <c r="A130" s="3270">
        <v>58</v>
      </c>
      <c r="B130" s="3960" t="s">
        <v>2650</v>
      </c>
      <c r="C130" s="3270" t="s">
        <v>2651</v>
      </c>
      <c r="D130" s="3248" t="s">
        <v>2652</v>
      </c>
      <c r="E130" s="3271">
        <v>0.1</v>
      </c>
      <c r="F130" s="3270">
        <v>15</v>
      </c>
    </row>
    <row r="131" spans="1:14" ht="24">
      <c r="A131" s="3270">
        <v>59</v>
      </c>
      <c r="B131" s="3960"/>
      <c r="C131" s="3270" t="s">
        <v>2653</v>
      </c>
      <c r="D131" s="3248" t="s">
        <v>2654</v>
      </c>
      <c r="E131" s="3271">
        <v>0.1</v>
      </c>
      <c r="F131" s="3270">
        <v>15</v>
      </c>
    </row>
    <row r="132" spans="1:14" ht="24">
      <c r="A132" s="3270">
        <v>60</v>
      </c>
      <c r="B132" s="3961" t="s">
        <v>2655</v>
      </c>
      <c r="C132" s="3270" t="s">
        <v>2656</v>
      </c>
      <c r="D132" s="3248" t="s">
        <v>2657</v>
      </c>
      <c r="E132" s="3271">
        <v>0.1</v>
      </c>
      <c r="F132" s="3270">
        <v>15</v>
      </c>
    </row>
    <row r="133" spans="1:14" ht="24">
      <c r="A133" s="3270">
        <v>61</v>
      </c>
      <c r="B133" s="3962"/>
      <c r="C133" s="3270" t="s">
        <v>2658</v>
      </c>
      <c r="D133" s="3248" t="s">
        <v>2659</v>
      </c>
      <c r="E133" s="3271">
        <v>0.1</v>
      </c>
      <c r="F133" s="3270">
        <v>15</v>
      </c>
    </row>
    <row r="134" spans="1:14" ht="24">
      <c r="A134" s="3270">
        <v>62</v>
      </c>
      <c r="B134" s="3270" t="s">
        <v>2660</v>
      </c>
      <c r="C134" s="3270" t="s">
        <v>2661</v>
      </c>
      <c r="D134" s="3248" t="s">
        <v>2662</v>
      </c>
      <c r="E134" s="3271">
        <v>0.1</v>
      </c>
      <c r="F134" s="3270">
        <v>15</v>
      </c>
    </row>
    <row r="135" spans="1:14" ht="24">
      <c r="A135" s="3270">
        <v>63</v>
      </c>
      <c r="B135" s="3960" t="s">
        <v>2663</v>
      </c>
      <c r="C135" s="3270" t="s">
        <v>2664</v>
      </c>
      <c r="D135" s="3248" t="s">
        <v>2665</v>
      </c>
      <c r="E135" s="3271">
        <v>0.1</v>
      </c>
      <c r="F135" s="3270">
        <v>15</v>
      </c>
    </row>
    <row r="136" spans="1:14">
      <c r="A136" s="3270">
        <v>64</v>
      </c>
      <c r="B136" s="3960"/>
      <c r="C136" s="3270" t="s">
        <v>2666</v>
      </c>
      <c r="D136" s="3248" t="s">
        <v>2667</v>
      </c>
      <c r="E136" s="3271">
        <v>0.1</v>
      </c>
      <c r="F136" s="3270">
        <v>15</v>
      </c>
    </row>
    <row r="137" spans="1:14" ht="24">
      <c r="A137" s="3270">
        <v>65</v>
      </c>
      <c r="B137" s="3270" t="s">
        <v>2668</v>
      </c>
      <c r="C137" s="3270" t="s">
        <v>2669</v>
      </c>
      <c r="D137" s="3248" t="s">
        <v>2670</v>
      </c>
      <c r="E137" s="3271">
        <v>0.1</v>
      </c>
      <c r="F137" s="3270">
        <v>15</v>
      </c>
    </row>
    <row r="138" spans="1:14">
      <c r="A138" s="1053"/>
      <c r="B138" s="3228"/>
      <c r="C138" s="1053"/>
      <c r="D138" s="1010"/>
      <c r="E138" s="1040"/>
      <c r="F138" s="1053"/>
    </row>
    <row r="139" spans="1:14">
      <c r="A139" s="1053"/>
      <c r="B139" s="1053"/>
      <c r="C139" s="1053"/>
      <c r="D139" s="1053"/>
      <c r="E139" s="1040"/>
      <c r="F139" s="1053"/>
    </row>
    <row r="141" spans="1:14">
      <c r="A141" s="3334"/>
      <c r="B141" s="3334"/>
      <c r="C141" s="3334"/>
      <c r="D141" s="3334"/>
      <c r="E141" s="3334"/>
      <c r="F141" s="3334"/>
      <c r="G141" s="3334"/>
      <c r="H141" s="3334"/>
      <c r="I141" s="3334"/>
      <c r="J141" s="3334"/>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11"/>
    <col min="9" max="9" width="9" style="1008"/>
    <col min="10" max="10" width="17.375" style="3455" customWidth="1"/>
    <col min="11" max="21" width="17.375" style="3429" customWidth="1"/>
    <col min="22" max="16384" width="9" style="1008"/>
  </cols>
  <sheetData>
    <row r="1" spans="1:21">
      <c r="A1" s="3972" t="s">
        <v>2811</v>
      </c>
      <c r="B1" s="3972"/>
      <c r="C1" s="3972"/>
      <c r="D1" s="3972"/>
      <c r="E1" s="3972"/>
      <c r="F1" s="3972"/>
      <c r="G1" s="3973"/>
      <c r="I1" s="1012"/>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4.2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2" customFormat="1" ht="19.5" customHeight="1">
      <c r="A3" s="3974" t="s">
        <v>2814</v>
      </c>
      <c r="B3" s="3411"/>
      <c r="C3" s="3412" t="s">
        <v>2791</v>
      </c>
      <c r="D3" s="3412" t="s">
        <v>2815</v>
      </c>
      <c r="E3" s="3412" t="s">
        <v>2793</v>
      </c>
      <c r="F3" s="3412" t="s">
        <v>2816</v>
      </c>
      <c r="G3" s="3412" t="s">
        <v>2735</v>
      </c>
      <c r="H3" s="1015"/>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2" customFormat="1" ht="19.5" customHeight="1" thickBot="1">
      <c r="A4" s="3975"/>
      <c r="B4" s="3413" t="s">
        <v>2817</v>
      </c>
      <c r="C4" s="3413" t="s">
        <v>2818</v>
      </c>
      <c r="D4" s="3413" t="s">
        <v>2818</v>
      </c>
      <c r="E4" s="3413" t="s">
        <v>2818</v>
      </c>
      <c r="F4" s="3414" t="s">
        <v>2818</v>
      </c>
      <c r="G4" s="3414" t="s">
        <v>2818</v>
      </c>
      <c r="H4" s="1015"/>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6" t="s">
        <v>961</v>
      </c>
      <c r="I5" s="1017">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8" t="s">
        <v>1000</v>
      </c>
      <c r="I6" s="1019">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8" t="s">
        <v>982</v>
      </c>
      <c r="C7" s="3419">
        <v>34850</v>
      </c>
      <c r="D7" s="3419">
        <v>34690</v>
      </c>
      <c r="E7" s="3419">
        <v>34550</v>
      </c>
      <c r="F7" s="3420">
        <v>14360</v>
      </c>
      <c r="G7" s="3420">
        <v>25620</v>
      </c>
      <c r="H7" s="1018" t="s">
        <v>838</v>
      </c>
      <c r="I7" s="1019">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8" t="s">
        <v>3022</v>
      </c>
    </row>
    <row r="8" spans="1:21" ht="14.25" customHeight="1">
      <c r="A8" s="3419" t="s">
        <v>990</v>
      </c>
      <c r="B8" s="3419" t="s">
        <v>991</v>
      </c>
      <c r="C8" s="3419">
        <v>32630</v>
      </c>
      <c r="D8" s="3419">
        <v>32510</v>
      </c>
      <c r="E8" s="3419">
        <v>32420</v>
      </c>
      <c r="F8" s="3420">
        <v>13300</v>
      </c>
      <c r="G8" s="3420">
        <v>24010</v>
      </c>
      <c r="H8" s="1018" t="s">
        <v>839</v>
      </c>
      <c r="I8" s="1019">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8" t="s">
        <v>840</v>
      </c>
      <c r="I9" s="1019">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8" t="s">
        <v>841</v>
      </c>
      <c r="I10" s="1019">
        <f>SUMPRODUCT((B127:B189=基准地价!I2)*(C3:G3=基准地价!E2)*(C127:G189))</f>
        <v>11560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8" t="s">
        <v>973</v>
      </c>
      <c r="C11" s="3419">
        <v>31590</v>
      </c>
      <c r="D11" s="3419">
        <v>29490</v>
      </c>
      <c r="E11" s="3419">
        <v>28700</v>
      </c>
      <c r="F11" s="3425">
        <v>10410</v>
      </c>
      <c r="G11" s="3425">
        <v>21460</v>
      </c>
      <c r="H11" s="1018" t="s">
        <v>842</v>
      </c>
      <c r="I11" s="1019">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8" t="s">
        <v>983</v>
      </c>
      <c r="C12" s="3419">
        <v>29640</v>
      </c>
      <c r="D12" s="3419">
        <v>27550</v>
      </c>
      <c r="E12" s="3419">
        <v>28010</v>
      </c>
      <c r="F12" s="3425">
        <v>8730</v>
      </c>
      <c r="G12" s="3425">
        <v>20050</v>
      </c>
      <c r="H12" s="1018" t="s">
        <v>843</v>
      </c>
      <c r="I12" s="1019">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8" t="s">
        <v>992</v>
      </c>
      <c r="C13" s="3419">
        <v>29680</v>
      </c>
      <c r="D13" s="3419">
        <v>27660</v>
      </c>
      <c r="E13" s="3419">
        <v>28210</v>
      </c>
      <c r="F13" s="3425">
        <v>9590</v>
      </c>
      <c r="G13" s="3425">
        <v>20120</v>
      </c>
      <c r="H13" s="1018" t="s">
        <v>844</v>
      </c>
      <c r="I13" s="1019">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8" t="s">
        <v>1002</v>
      </c>
      <c r="C14" s="3419">
        <v>30520</v>
      </c>
      <c r="D14" s="3419">
        <v>29510</v>
      </c>
      <c r="E14" s="3419">
        <v>29400</v>
      </c>
      <c r="F14" s="3425">
        <v>9630</v>
      </c>
      <c r="G14" s="3425">
        <v>21480</v>
      </c>
      <c r="H14" s="1018" t="s">
        <v>845</v>
      </c>
      <c r="I14" s="1019">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8" t="s">
        <v>1009</v>
      </c>
      <c r="C15" s="3419">
        <v>29090</v>
      </c>
      <c r="D15" s="3419">
        <v>27590</v>
      </c>
      <c r="E15" s="3419">
        <v>28120</v>
      </c>
      <c r="F15" s="3425">
        <v>9110</v>
      </c>
      <c r="G15" s="3425">
        <v>20070</v>
      </c>
      <c r="H15" s="1018" t="s">
        <v>846</v>
      </c>
      <c r="I15" s="1019">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8" t="s">
        <v>1015</v>
      </c>
      <c r="C16" s="3419">
        <v>26790</v>
      </c>
      <c r="D16" s="3419">
        <v>30370</v>
      </c>
      <c r="E16" s="3419">
        <v>30240</v>
      </c>
      <c r="F16" s="3425">
        <v>11590</v>
      </c>
      <c r="G16" s="3425">
        <v>22090</v>
      </c>
      <c r="H16" s="1020" t="s">
        <v>847</v>
      </c>
      <c r="I16" s="1021">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8" t="s">
        <v>1022</v>
      </c>
      <c r="C17" s="3419">
        <v>29180</v>
      </c>
      <c r="D17" s="3419">
        <v>27620</v>
      </c>
      <c r="E17" s="3419">
        <v>28180</v>
      </c>
      <c r="F17" s="3425">
        <v>10790</v>
      </c>
      <c r="G17" s="3426">
        <v>20090</v>
      </c>
      <c r="I17" s="1022"/>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8" t="s">
        <v>1032</v>
      </c>
      <c r="C18" s="3419">
        <v>26840</v>
      </c>
      <c r="D18" s="3419">
        <v>28930</v>
      </c>
      <c r="E18" s="3419">
        <v>28820</v>
      </c>
      <c r="F18" s="3425"/>
      <c r="G18" s="3426">
        <v>21050</v>
      </c>
      <c r="I18" s="1022"/>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8" t="s">
        <v>1041</v>
      </c>
      <c r="C19" s="3419">
        <v>27750</v>
      </c>
      <c r="D19" s="3419">
        <v>26680</v>
      </c>
      <c r="E19" s="3419">
        <v>26590</v>
      </c>
      <c r="F19" s="3425"/>
      <c r="G19" s="3426">
        <v>19420</v>
      </c>
      <c r="I19" s="1022"/>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8"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8"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8"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8"/>
    </row>
    <row r="23" spans="1:20" ht="14.25" customHeight="1">
      <c r="A23" s="3419" t="s">
        <v>1031</v>
      </c>
      <c r="B23" s="1288"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8"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8"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8"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8"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6"/>
      <c r="D28" s="1286">
        <v>31520</v>
      </c>
      <c r="E28" s="1286">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8" t="s">
        <v>2823</v>
      </c>
      <c r="C30" s="1288">
        <v>26890</v>
      </c>
      <c r="D30" s="1288">
        <v>26770</v>
      </c>
      <c r="E30" s="1288">
        <v>25700</v>
      </c>
      <c r="F30" s="3420">
        <v>8180</v>
      </c>
      <c r="G30" s="3420">
        <v>18740</v>
      </c>
      <c r="I30" s="1022"/>
      <c r="M30" s="3428" t="s">
        <v>2835</v>
      </c>
      <c r="N30" s="3419" t="s">
        <v>2842</v>
      </c>
      <c r="O30" s="3419" t="s">
        <v>2859</v>
      </c>
      <c r="P30" s="3419" t="s">
        <v>2906</v>
      </c>
      <c r="Q30" s="3419" t="s">
        <v>2936</v>
      </c>
      <c r="R30" s="3419" t="s">
        <v>2963</v>
      </c>
      <c r="S30" s="3428" t="s">
        <v>3002</v>
      </c>
    </row>
    <row r="31" spans="1:20" ht="14.25" customHeight="1">
      <c r="A31" s="3419" t="s">
        <v>1145</v>
      </c>
      <c r="B31" s="1288" t="s">
        <v>974</v>
      </c>
      <c r="C31" s="3419">
        <v>24550</v>
      </c>
      <c r="D31" s="3419">
        <v>23990</v>
      </c>
      <c r="E31" s="3419">
        <v>22930</v>
      </c>
      <c r="F31" s="3425">
        <v>7470</v>
      </c>
      <c r="G31" s="3425">
        <v>16790</v>
      </c>
      <c r="I31" s="1022"/>
      <c r="M31" s="3428" t="s">
        <v>2836</v>
      </c>
      <c r="N31" s="3419" t="s">
        <v>2843</v>
      </c>
      <c r="O31" s="3419" t="s">
        <v>2860</v>
      </c>
      <c r="P31" s="3419" t="s">
        <v>2907</v>
      </c>
      <c r="Q31" s="3419" t="s">
        <v>2937</v>
      </c>
      <c r="R31" s="3419" t="s">
        <v>2964</v>
      </c>
      <c r="S31" s="3428" t="s">
        <v>3003</v>
      </c>
    </row>
    <row r="32" spans="1:20" ht="14.25" customHeight="1">
      <c r="A32" s="3419" t="s">
        <v>1145</v>
      </c>
      <c r="B32" s="1288" t="s">
        <v>984</v>
      </c>
      <c r="C32" s="3419">
        <v>27210</v>
      </c>
      <c r="D32" s="3419">
        <v>23240</v>
      </c>
      <c r="E32" s="3419">
        <v>23260</v>
      </c>
      <c r="F32" s="3425">
        <v>7130</v>
      </c>
      <c r="G32" s="3425">
        <v>16270</v>
      </c>
      <c r="I32" s="1022"/>
      <c r="M32" s="3428" t="s">
        <v>2837</v>
      </c>
      <c r="N32" s="3419" t="s">
        <v>2844</v>
      </c>
      <c r="O32" s="3419" t="s">
        <v>1149</v>
      </c>
      <c r="P32" s="3419" t="s">
        <v>2908</v>
      </c>
      <c r="Q32" s="3419" t="s">
        <v>1148</v>
      </c>
      <c r="R32" s="3419" t="s">
        <v>2965</v>
      </c>
      <c r="S32" s="3428" t="s">
        <v>3004</v>
      </c>
    </row>
    <row r="33" spans="1:18" ht="14.25" customHeight="1">
      <c r="A33" s="3419" t="s">
        <v>1145</v>
      </c>
      <c r="B33" s="1288" t="s">
        <v>993</v>
      </c>
      <c r="C33" s="3419">
        <v>27300</v>
      </c>
      <c r="D33" s="3419">
        <v>22980</v>
      </c>
      <c r="E33" s="3419">
        <v>24260</v>
      </c>
      <c r="F33" s="3425">
        <v>5860</v>
      </c>
      <c r="G33" s="3425">
        <v>16090</v>
      </c>
      <c r="I33" s="1022"/>
      <c r="M33" s="3428" t="s">
        <v>2838</v>
      </c>
      <c r="N33" s="3419" t="s">
        <v>2845</v>
      </c>
      <c r="O33" s="3419" t="s">
        <v>1150</v>
      </c>
      <c r="P33" s="3419" t="s">
        <v>2909</v>
      </c>
      <c r="Q33" s="3419" t="s">
        <v>2938</v>
      </c>
      <c r="R33" s="3419" t="s">
        <v>2966</v>
      </c>
    </row>
    <row r="34" spans="1:18" ht="14.25" customHeight="1">
      <c r="A34" s="3419" t="s">
        <v>1145</v>
      </c>
      <c r="B34" s="1288" t="s">
        <v>1003</v>
      </c>
      <c r="C34" s="3419">
        <v>23090</v>
      </c>
      <c r="D34" s="3419">
        <v>23390</v>
      </c>
      <c r="E34" s="3419">
        <v>23510</v>
      </c>
      <c r="F34" s="3425">
        <v>6700</v>
      </c>
      <c r="G34" s="3425">
        <v>16370</v>
      </c>
      <c r="I34" s="1022"/>
      <c r="N34" s="3419" t="s">
        <v>2846</v>
      </c>
      <c r="O34" s="3419" t="s">
        <v>1151</v>
      </c>
      <c r="P34" s="3419" t="s">
        <v>2910</v>
      </c>
      <c r="Q34" s="3419" t="s">
        <v>2939</v>
      </c>
      <c r="R34" s="3419" t="s">
        <v>2967</v>
      </c>
    </row>
    <row r="35" spans="1:18" ht="14.25" customHeight="1">
      <c r="A35" s="3419" t="s">
        <v>1145</v>
      </c>
      <c r="B35" s="1288" t="s">
        <v>1010</v>
      </c>
      <c r="C35" s="3419">
        <v>27270</v>
      </c>
      <c r="D35" s="3419">
        <v>24270</v>
      </c>
      <c r="E35" s="3419">
        <v>24950</v>
      </c>
      <c r="F35" s="3425">
        <v>6600</v>
      </c>
      <c r="G35" s="3425">
        <v>16990</v>
      </c>
      <c r="I35" s="1022"/>
      <c r="N35" s="3419" t="s">
        <v>2847</v>
      </c>
      <c r="O35" s="3419" t="s">
        <v>2861</v>
      </c>
      <c r="P35" s="3419" t="s">
        <v>2911</v>
      </c>
      <c r="Q35" s="3419" t="s">
        <v>2940</v>
      </c>
      <c r="R35" s="3419" t="s">
        <v>2968</v>
      </c>
    </row>
    <row r="36" spans="1:18" ht="14.25" customHeight="1">
      <c r="A36" s="3419" t="s">
        <v>1145</v>
      </c>
      <c r="B36" s="1288" t="s">
        <v>1016</v>
      </c>
      <c r="C36" s="3419">
        <v>23490</v>
      </c>
      <c r="D36" s="3419">
        <v>23020</v>
      </c>
      <c r="E36" s="3419">
        <v>25230</v>
      </c>
      <c r="F36" s="3425">
        <v>6780</v>
      </c>
      <c r="G36" s="3425">
        <v>16120</v>
      </c>
      <c r="I36" s="1022"/>
      <c r="N36" s="3428" t="s">
        <v>2848</v>
      </c>
      <c r="O36" s="3456" t="s">
        <v>2862</v>
      </c>
      <c r="P36" s="3419" t="s">
        <v>2912</v>
      </c>
      <c r="Q36" s="3419" t="s">
        <v>2941</v>
      </c>
      <c r="R36" s="3419" t="s">
        <v>2969</v>
      </c>
    </row>
    <row r="37" spans="1:18" ht="14.25" customHeight="1">
      <c r="A37" s="3419" t="s">
        <v>1145</v>
      </c>
      <c r="B37" s="1288" t="s">
        <v>1023</v>
      </c>
      <c r="C37" s="3419">
        <v>24380</v>
      </c>
      <c r="D37" s="3419">
        <v>22240</v>
      </c>
      <c r="E37" s="3419">
        <v>25980</v>
      </c>
      <c r="F37" s="3425">
        <v>8160</v>
      </c>
      <c r="G37" s="3425">
        <v>15570</v>
      </c>
      <c r="I37" s="1023"/>
      <c r="N37" s="3428" t="s">
        <v>2849</v>
      </c>
      <c r="O37" s="3456" t="s">
        <v>2863</v>
      </c>
      <c r="P37" s="3419" t="s">
        <v>2913</v>
      </c>
      <c r="Q37" s="3419" t="s">
        <v>2942</v>
      </c>
      <c r="R37" s="3419" t="s">
        <v>2970</v>
      </c>
    </row>
    <row r="38" spans="1:18" ht="14.25" customHeight="1">
      <c r="A38" s="3419" t="s">
        <v>1145</v>
      </c>
      <c r="B38" s="1288" t="s">
        <v>1033</v>
      </c>
      <c r="C38" s="3419">
        <v>23120</v>
      </c>
      <c r="D38" s="3419">
        <v>24630</v>
      </c>
      <c r="E38" s="3419">
        <v>25030</v>
      </c>
      <c r="F38" s="3425">
        <v>7710</v>
      </c>
      <c r="G38" s="3425">
        <v>17240</v>
      </c>
      <c r="I38" s="1024"/>
      <c r="N38" s="3428" t="s">
        <v>2850</v>
      </c>
      <c r="O38" s="3456" t="s">
        <v>2864</v>
      </c>
      <c r="P38" s="3419" t="s">
        <v>2914</v>
      </c>
      <c r="Q38" s="3419" t="s">
        <v>2943</v>
      </c>
      <c r="R38" s="3419" t="s">
        <v>2971</v>
      </c>
    </row>
    <row r="39" spans="1:18" ht="14.25" customHeight="1">
      <c r="A39" s="3419" t="s">
        <v>1145</v>
      </c>
      <c r="B39" s="1288" t="s">
        <v>1042</v>
      </c>
      <c r="C39" s="3419">
        <v>22330</v>
      </c>
      <c r="D39" s="3419">
        <v>21140</v>
      </c>
      <c r="E39" s="3419">
        <v>23970</v>
      </c>
      <c r="F39" s="3425">
        <v>7940</v>
      </c>
      <c r="G39" s="3425">
        <v>14790</v>
      </c>
      <c r="I39" s="1024"/>
      <c r="N39" s="3428" t="s">
        <v>2851</v>
      </c>
      <c r="O39" s="3456" t="s">
        <v>2865</v>
      </c>
      <c r="P39" s="3419" t="s">
        <v>2915</v>
      </c>
      <c r="Q39" s="3419" t="s">
        <v>2944</v>
      </c>
      <c r="R39" s="3419" t="s">
        <v>2972</v>
      </c>
    </row>
    <row r="40" spans="1:18" ht="14.25" customHeight="1">
      <c r="A40" s="3419" t="s">
        <v>1145</v>
      </c>
      <c r="B40" s="1288" t="s">
        <v>1049</v>
      </c>
      <c r="C40" s="3419">
        <v>24740</v>
      </c>
      <c r="D40" s="3419">
        <v>24690</v>
      </c>
      <c r="E40" s="3419">
        <v>22610</v>
      </c>
      <c r="F40" s="3425"/>
      <c r="G40" s="3425">
        <v>17280</v>
      </c>
      <c r="I40" s="1024"/>
      <c r="N40" s="3428" t="s">
        <v>2852</v>
      </c>
      <c r="O40" s="3456" t="s">
        <v>2866</v>
      </c>
      <c r="P40" s="3419" t="s">
        <v>2916</v>
      </c>
      <c r="Q40" s="3419" t="s">
        <v>2945</v>
      </c>
      <c r="R40" s="3419" t="s">
        <v>2973</v>
      </c>
    </row>
    <row r="41" spans="1:18" ht="14.25" customHeight="1">
      <c r="A41" s="3419" t="s">
        <v>1145</v>
      </c>
      <c r="B41" s="1288" t="s">
        <v>1056</v>
      </c>
      <c r="C41" s="3419">
        <v>21220</v>
      </c>
      <c r="D41" s="3419">
        <v>21120</v>
      </c>
      <c r="E41" s="3419">
        <v>22590</v>
      </c>
      <c r="F41" s="3425"/>
      <c r="G41" s="3425">
        <v>14780</v>
      </c>
      <c r="I41" s="1024"/>
      <c r="N41" s="3428" t="s">
        <v>2853</v>
      </c>
      <c r="O41" s="3457" t="s">
        <v>2867</v>
      </c>
      <c r="P41" s="1288" t="s">
        <v>2917</v>
      </c>
      <c r="Q41" s="3428" t="s">
        <v>2946</v>
      </c>
      <c r="R41" s="1288" t="s">
        <v>2974</v>
      </c>
    </row>
    <row r="42" spans="1:18" ht="14.25" customHeight="1">
      <c r="A42" s="3419" t="s">
        <v>1145</v>
      </c>
      <c r="B42" s="1288" t="s">
        <v>1063</v>
      </c>
      <c r="C42" s="3419">
        <v>24800</v>
      </c>
      <c r="D42" s="3419">
        <v>22280</v>
      </c>
      <c r="E42" s="3419">
        <v>24350</v>
      </c>
      <c r="F42" s="3425"/>
      <c r="G42" s="3425">
        <v>15590</v>
      </c>
      <c r="I42" s="1024"/>
      <c r="O42" s="3419" t="s">
        <v>2868</v>
      </c>
      <c r="P42" s="3419" t="s">
        <v>2918</v>
      </c>
      <c r="Q42" s="3428" t="s">
        <v>2947</v>
      </c>
      <c r="R42" s="3419" t="s">
        <v>2975</v>
      </c>
    </row>
    <row r="43" spans="1:18" ht="14.25" customHeight="1">
      <c r="A43" s="3419" t="s">
        <v>1145</v>
      </c>
      <c r="B43" s="1288" t="s">
        <v>1071</v>
      </c>
      <c r="C43" s="3419">
        <v>21210</v>
      </c>
      <c r="D43" s="3419">
        <v>21160</v>
      </c>
      <c r="E43" s="3419">
        <v>22650</v>
      </c>
      <c r="F43" s="3425"/>
      <c r="G43" s="3425">
        <v>14800</v>
      </c>
      <c r="I43" s="1024"/>
      <c r="O43" s="3419" t="s">
        <v>2869</v>
      </c>
      <c r="P43" s="3419" t="s">
        <v>2919</v>
      </c>
      <c r="Q43" s="3428" t="s">
        <v>2948</v>
      </c>
      <c r="R43" s="3419" t="s">
        <v>2976</v>
      </c>
    </row>
    <row r="44" spans="1:18" ht="14.25" customHeight="1">
      <c r="A44" s="3419" t="s">
        <v>1145</v>
      </c>
      <c r="B44" s="1288" t="s">
        <v>1079</v>
      </c>
      <c r="C44" s="3419">
        <v>22370</v>
      </c>
      <c r="D44" s="3419">
        <v>23140</v>
      </c>
      <c r="E44" s="3419">
        <v>25090</v>
      </c>
      <c r="F44" s="3425"/>
      <c r="G44" s="3425">
        <v>16190</v>
      </c>
      <c r="I44" s="1024"/>
      <c r="O44" s="3419" t="s">
        <v>2870</v>
      </c>
      <c r="P44" s="3419" t="s">
        <v>2920</v>
      </c>
      <c r="Q44" s="3428" t="s">
        <v>2949</v>
      </c>
      <c r="R44" s="3419" t="s">
        <v>2977</v>
      </c>
    </row>
    <row r="45" spans="1:18" ht="14.25" customHeight="1">
      <c r="A45" s="3419" t="s">
        <v>1145</v>
      </c>
      <c r="B45" s="1288" t="s">
        <v>1084</v>
      </c>
      <c r="C45" s="3419">
        <v>21240</v>
      </c>
      <c r="D45" s="3419">
        <v>27050</v>
      </c>
      <c r="E45" s="3419">
        <v>28000</v>
      </c>
      <c r="F45" s="3425"/>
      <c r="G45" s="3425">
        <v>18940</v>
      </c>
      <c r="I45" s="1022"/>
      <c r="O45" s="3419" t="s">
        <v>2871</v>
      </c>
      <c r="P45" s="3419" t="s">
        <v>2921</v>
      </c>
      <c r="R45" s="3419" t="s">
        <v>2978</v>
      </c>
    </row>
    <row r="46" spans="1:18" ht="14.25" customHeight="1">
      <c r="A46" s="3419" t="s">
        <v>1145</v>
      </c>
      <c r="B46" s="1288" t="s">
        <v>1093</v>
      </c>
      <c r="C46" s="3419">
        <v>23240</v>
      </c>
      <c r="D46" s="3419">
        <v>23000</v>
      </c>
      <c r="E46" s="3419">
        <v>24980</v>
      </c>
      <c r="F46" s="3425"/>
      <c r="G46" s="3425">
        <v>16100</v>
      </c>
      <c r="I46" s="1024"/>
      <c r="O46" s="3419" t="s">
        <v>2872</v>
      </c>
      <c r="P46" s="3419"/>
      <c r="R46" s="3419" t="s">
        <v>2979</v>
      </c>
    </row>
    <row r="47" spans="1:18" ht="14.25" customHeight="1">
      <c r="A47" s="3419" t="s">
        <v>1145</v>
      </c>
      <c r="B47" s="2598" t="s">
        <v>1100</v>
      </c>
      <c r="C47" s="1286">
        <v>27150</v>
      </c>
      <c r="D47" s="1286">
        <v>23310</v>
      </c>
      <c r="E47" s="1286">
        <v>25150</v>
      </c>
      <c r="F47" s="3430"/>
      <c r="G47" s="3430">
        <v>16310</v>
      </c>
      <c r="I47" s="1024"/>
      <c r="O47" s="3419" t="s">
        <v>2873</v>
      </c>
      <c r="P47" s="3419"/>
      <c r="R47" s="3428" t="s">
        <v>2980</v>
      </c>
    </row>
    <row r="48" spans="1:18" ht="14.25" customHeight="1">
      <c r="A48" s="3419" t="s">
        <v>1145</v>
      </c>
      <c r="B48" s="3419" t="s">
        <v>1108</v>
      </c>
      <c r="C48" s="3419">
        <v>23100</v>
      </c>
      <c r="D48" s="3419">
        <v>21110</v>
      </c>
      <c r="E48" s="3419">
        <v>23080</v>
      </c>
      <c r="F48" s="3425"/>
      <c r="G48" s="3432">
        <v>14780</v>
      </c>
      <c r="I48" s="1022"/>
      <c r="O48" s="3419" t="s">
        <v>2874</v>
      </c>
      <c r="P48" s="3419"/>
      <c r="R48" s="3428" t="s">
        <v>2981</v>
      </c>
    </row>
    <row r="49" spans="1:18" ht="14.25" customHeight="1">
      <c r="A49" s="3419" t="s">
        <v>1145</v>
      </c>
      <c r="B49" s="1288" t="s">
        <v>1115</v>
      </c>
      <c r="C49" s="1288">
        <v>23400</v>
      </c>
      <c r="D49" s="1288">
        <v>22920</v>
      </c>
      <c r="E49" s="1288">
        <v>24900</v>
      </c>
      <c r="F49" s="3420"/>
      <c r="G49" s="3420">
        <v>16040</v>
      </c>
      <c r="I49" s="1024"/>
      <c r="O49" s="3419" t="s">
        <v>2875</v>
      </c>
      <c r="P49" s="3419"/>
      <c r="R49" s="3428" t="s">
        <v>2982</v>
      </c>
    </row>
    <row r="50" spans="1:18" ht="14.25" customHeight="1">
      <c r="A50" s="3419" t="s">
        <v>1145</v>
      </c>
      <c r="B50" s="3419" t="s">
        <v>2824</v>
      </c>
      <c r="C50" s="3419">
        <v>21200</v>
      </c>
      <c r="D50" s="3419">
        <v>26540</v>
      </c>
      <c r="E50" s="3419">
        <v>23200</v>
      </c>
      <c r="F50" s="3425"/>
      <c r="G50" s="3425">
        <v>18580</v>
      </c>
      <c r="I50" s="1024"/>
      <c r="O50" s="3428" t="s">
        <v>2876</v>
      </c>
      <c r="R50" s="3428" t="s">
        <v>2983</v>
      </c>
    </row>
    <row r="51" spans="1:18" ht="14.25" customHeight="1">
      <c r="A51" s="3419" t="s">
        <v>1145</v>
      </c>
      <c r="B51" s="3419" t="s">
        <v>2825</v>
      </c>
      <c r="C51" s="3419">
        <v>23000</v>
      </c>
      <c r="D51" s="3419">
        <v>23460</v>
      </c>
      <c r="E51" s="3419">
        <v>25290</v>
      </c>
      <c r="F51" s="3425"/>
      <c r="G51" s="3425">
        <v>16420</v>
      </c>
      <c r="I51" s="1024"/>
      <c r="O51" s="3428" t="s">
        <v>2877</v>
      </c>
      <c r="R51" s="3428" t="s">
        <v>2984</v>
      </c>
    </row>
    <row r="52" spans="1:18" ht="14.25" customHeight="1">
      <c r="A52" s="3419" t="s">
        <v>1145</v>
      </c>
      <c r="B52" s="3419" t="s">
        <v>2826</v>
      </c>
      <c r="C52" s="3419">
        <v>26660</v>
      </c>
      <c r="D52" s="3419">
        <v>22350</v>
      </c>
      <c r="E52" s="3419">
        <v>22920</v>
      </c>
      <c r="F52" s="3425"/>
      <c r="G52" s="3425">
        <v>15640</v>
      </c>
      <c r="I52" s="1024"/>
      <c r="O52" s="3428" t="s">
        <v>2878</v>
      </c>
    </row>
    <row r="53" spans="1:18" ht="14.25" customHeight="1">
      <c r="A53" s="3419" t="s">
        <v>1145</v>
      </c>
      <c r="B53" s="3419" t="s">
        <v>2827</v>
      </c>
      <c r="C53" s="3419">
        <v>23580</v>
      </c>
      <c r="D53" s="3419"/>
      <c r="E53" s="3419">
        <v>24280</v>
      </c>
      <c r="F53" s="3425"/>
      <c r="G53" s="3425"/>
      <c r="I53" s="1024"/>
      <c r="O53" s="3428" t="s">
        <v>2879</v>
      </c>
    </row>
    <row r="54" spans="1:18" ht="14.25" customHeight="1" thickBot="1">
      <c r="A54" s="3434" t="s">
        <v>1145</v>
      </c>
      <c r="B54" s="3422" t="s">
        <v>2828</v>
      </c>
      <c r="C54" s="3422">
        <v>22460</v>
      </c>
      <c r="D54" s="3422"/>
      <c r="E54" s="3422"/>
      <c r="F54" s="3423"/>
      <c r="G54" s="3435"/>
      <c r="I54" s="1024"/>
      <c r="O54" s="3428" t="s">
        <v>2880</v>
      </c>
    </row>
    <row r="55" spans="1:18" ht="14.25" customHeight="1">
      <c r="A55" s="3433" t="s">
        <v>853</v>
      </c>
      <c r="B55" s="1288" t="s">
        <v>2829</v>
      </c>
      <c r="C55" s="1288">
        <v>21970</v>
      </c>
      <c r="D55" s="1288">
        <v>20370</v>
      </c>
      <c r="E55" s="1288">
        <v>20180</v>
      </c>
      <c r="F55" s="3420">
        <v>5730</v>
      </c>
      <c r="G55" s="3420">
        <v>13820</v>
      </c>
      <c r="I55" s="1024"/>
      <c r="O55" s="3428" t="s">
        <v>2881</v>
      </c>
    </row>
    <row r="56" spans="1:18" ht="14.25" customHeight="1">
      <c r="A56" s="3419" t="s">
        <v>853</v>
      </c>
      <c r="B56" s="3419" t="s">
        <v>975</v>
      </c>
      <c r="C56" s="3419">
        <v>20470</v>
      </c>
      <c r="D56" s="3419">
        <v>20700</v>
      </c>
      <c r="E56" s="3419">
        <v>20380</v>
      </c>
      <c r="F56" s="3425">
        <v>4760</v>
      </c>
      <c r="G56" s="3425">
        <v>14050</v>
      </c>
      <c r="I56" s="1024"/>
      <c r="O56" s="3428" t="s">
        <v>2882</v>
      </c>
    </row>
    <row r="57" spans="1:18" ht="14.25" customHeight="1">
      <c r="A57" s="3419" t="s">
        <v>853</v>
      </c>
      <c r="B57" s="3419" t="s">
        <v>985</v>
      </c>
      <c r="C57" s="3419">
        <v>20790</v>
      </c>
      <c r="D57" s="3419">
        <v>21370</v>
      </c>
      <c r="E57" s="3419">
        <v>20890</v>
      </c>
      <c r="F57" s="3425">
        <v>4910</v>
      </c>
      <c r="G57" s="3425">
        <v>14510</v>
      </c>
      <c r="I57" s="1024"/>
      <c r="O57" s="3428" t="s">
        <v>2883</v>
      </c>
    </row>
    <row r="58" spans="1:18" ht="14.25" customHeight="1">
      <c r="A58" s="3419" t="s">
        <v>853</v>
      </c>
      <c r="B58" s="3419" t="s">
        <v>994</v>
      </c>
      <c r="C58" s="3419">
        <v>21460</v>
      </c>
      <c r="D58" s="3419">
        <v>20920</v>
      </c>
      <c r="E58" s="3419">
        <v>23410</v>
      </c>
      <c r="F58" s="3425">
        <v>5100</v>
      </c>
      <c r="G58" s="3425">
        <v>14200</v>
      </c>
      <c r="I58" s="1024"/>
      <c r="O58" s="3428" t="s">
        <v>2884</v>
      </c>
    </row>
    <row r="59" spans="1:18" ht="14.25" customHeight="1">
      <c r="A59" s="3419" t="s">
        <v>853</v>
      </c>
      <c r="B59" s="3419" t="s">
        <v>1004</v>
      </c>
      <c r="C59" s="3419">
        <v>21000</v>
      </c>
      <c r="D59" s="3419">
        <v>21550</v>
      </c>
      <c r="E59" s="3419">
        <v>21150</v>
      </c>
      <c r="F59" s="3425">
        <v>5250</v>
      </c>
      <c r="G59" s="3425">
        <v>14630</v>
      </c>
      <c r="I59" s="1024"/>
      <c r="O59" s="3428" t="s">
        <v>2885</v>
      </c>
    </row>
    <row r="60" spans="1:18" ht="14.25" customHeight="1">
      <c r="A60" s="3419" t="s">
        <v>853</v>
      </c>
      <c r="B60" s="3419" t="s">
        <v>1011</v>
      </c>
      <c r="C60" s="3419">
        <v>21640</v>
      </c>
      <c r="D60" s="3419">
        <v>21260</v>
      </c>
      <c r="E60" s="3419">
        <v>24040</v>
      </c>
      <c r="F60" s="3425">
        <v>4470</v>
      </c>
      <c r="G60" s="3425">
        <v>14430</v>
      </c>
      <c r="I60" s="1024"/>
      <c r="O60" s="3428" t="s">
        <v>2886</v>
      </c>
    </row>
    <row r="61" spans="1:18" ht="14.25" customHeight="1">
      <c r="A61" s="3419" t="s">
        <v>853</v>
      </c>
      <c r="B61" s="3419" t="s">
        <v>1017</v>
      </c>
      <c r="C61" s="3419">
        <v>21330</v>
      </c>
      <c r="D61" s="3419">
        <v>18640</v>
      </c>
      <c r="E61" s="3419">
        <v>21190</v>
      </c>
      <c r="F61" s="3425">
        <v>4180</v>
      </c>
      <c r="G61" s="3427">
        <v>12650</v>
      </c>
      <c r="I61" s="1024"/>
      <c r="O61" s="3428" t="s">
        <v>2887</v>
      </c>
    </row>
    <row r="62" spans="1:18" ht="14.25" customHeight="1">
      <c r="A62" s="3419" t="s">
        <v>853</v>
      </c>
      <c r="B62" s="3419" t="s">
        <v>1024</v>
      </c>
      <c r="C62" s="3419">
        <v>18710</v>
      </c>
      <c r="D62" s="3419">
        <v>19400</v>
      </c>
      <c r="E62" s="3419">
        <v>23750</v>
      </c>
      <c r="F62" s="3425">
        <v>4860</v>
      </c>
      <c r="G62" s="3427">
        <v>13170</v>
      </c>
      <c r="I62" s="1024"/>
      <c r="O62" s="3428" t="s">
        <v>2888</v>
      </c>
    </row>
    <row r="63" spans="1:18" ht="14.25" customHeight="1">
      <c r="A63" s="3419" t="s">
        <v>853</v>
      </c>
      <c r="B63" s="3419" t="s">
        <v>1034</v>
      </c>
      <c r="C63" s="3419">
        <v>19480</v>
      </c>
      <c r="D63" s="3419">
        <v>16830</v>
      </c>
      <c r="E63" s="3419">
        <v>21590</v>
      </c>
      <c r="F63" s="3425">
        <v>4560</v>
      </c>
      <c r="G63" s="3427">
        <v>11420</v>
      </c>
      <c r="I63" s="1024"/>
      <c r="O63" s="3428" t="s">
        <v>2889</v>
      </c>
    </row>
    <row r="64" spans="1:18" ht="14.25" customHeight="1">
      <c r="A64" s="3419" t="s">
        <v>853</v>
      </c>
      <c r="B64" s="3419" t="s">
        <v>1043</v>
      </c>
      <c r="C64" s="3419">
        <v>16920</v>
      </c>
      <c r="D64" s="3419">
        <v>19190</v>
      </c>
      <c r="E64" s="3419">
        <v>22200</v>
      </c>
      <c r="F64" s="3425">
        <v>4390</v>
      </c>
      <c r="G64" s="3427">
        <v>13030</v>
      </c>
      <c r="I64" s="1024"/>
      <c r="O64" s="3428" t="s">
        <v>2890</v>
      </c>
    </row>
    <row r="65" spans="1:21" s="1011" customFormat="1" ht="14.25" customHeight="1">
      <c r="A65" s="3419" t="s">
        <v>853</v>
      </c>
      <c r="B65" s="3419" t="s">
        <v>1050</v>
      </c>
      <c r="C65" s="3419">
        <v>19290</v>
      </c>
      <c r="D65" s="3419">
        <v>17020</v>
      </c>
      <c r="E65" s="3419">
        <v>19880</v>
      </c>
      <c r="F65" s="3425">
        <v>4070</v>
      </c>
      <c r="G65" s="3425">
        <v>11550</v>
      </c>
      <c r="I65" s="1024"/>
      <c r="J65" s="3455"/>
      <c r="K65" s="3455"/>
      <c r="L65" s="3455"/>
      <c r="M65" s="3455"/>
      <c r="N65" s="3455"/>
      <c r="O65" s="3455"/>
      <c r="P65" s="3455"/>
      <c r="Q65" s="3455"/>
      <c r="R65" s="3455"/>
      <c r="S65" s="3455"/>
      <c r="T65" s="3455"/>
      <c r="U65" s="3455"/>
    </row>
    <row r="66" spans="1:21" s="1011" customFormat="1" ht="14.25" customHeight="1">
      <c r="A66" s="3419" t="s">
        <v>853</v>
      </c>
      <c r="B66" s="3419" t="s">
        <v>1057</v>
      </c>
      <c r="C66" s="3419">
        <v>17090</v>
      </c>
      <c r="D66" s="3419">
        <v>18340</v>
      </c>
      <c r="E66" s="3419">
        <v>21830</v>
      </c>
      <c r="F66" s="3425">
        <v>4690</v>
      </c>
      <c r="G66" s="3425">
        <v>12450</v>
      </c>
      <c r="I66" s="1024"/>
      <c r="J66" s="3455"/>
      <c r="K66" s="3455"/>
      <c r="L66" s="3455"/>
      <c r="M66" s="3455"/>
      <c r="N66" s="3455"/>
      <c r="O66" s="3455"/>
      <c r="P66" s="3455"/>
      <c r="Q66" s="3455"/>
      <c r="R66" s="3455"/>
      <c r="S66" s="3455"/>
      <c r="T66" s="3455"/>
      <c r="U66" s="3455"/>
    </row>
    <row r="67" spans="1:21" s="1011" customFormat="1" ht="14.25" customHeight="1">
      <c r="A67" s="3419" t="s">
        <v>853</v>
      </c>
      <c r="B67" s="3419" t="s">
        <v>1064</v>
      </c>
      <c r="C67" s="3419">
        <v>18420</v>
      </c>
      <c r="D67" s="3419">
        <v>16360</v>
      </c>
      <c r="E67" s="3419">
        <v>20020</v>
      </c>
      <c r="F67" s="3425">
        <v>5150</v>
      </c>
      <c r="G67" s="3425">
        <v>11110</v>
      </c>
      <c r="I67" s="1024"/>
      <c r="J67" s="3455"/>
      <c r="K67" s="3455"/>
      <c r="L67" s="3455"/>
      <c r="M67" s="3455"/>
      <c r="N67" s="3455"/>
      <c r="O67" s="3455"/>
      <c r="P67" s="3455"/>
      <c r="Q67" s="3455"/>
      <c r="R67" s="3455"/>
      <c r="S67" s="3455"/>
      <c r="T67" s="3455"/>
      <c r="U67" s="3455"/>
    </row>
    <row r="68" spans="1:21" s="1011" customFormat="1" ht="14.25" customHeight="1">
      <c r="A68" s="3419" t="s">
        <v>853</v>
      </c>
      <c r="B68" s="3419" t="s">
        <v>1072</v>
      </c>
      <c r="C68" s="3419">
        <v>16450</v>
      </c>
      <c r="D68" s="3419">
        <v>18430</v>
      </c>
      <c r="E68" s="3419">
        <v>21010</v>
      </c>
      <c r="F68" s="3425">
        <v>4720</v>
      </c>
      <c r="G68" s="3425">
        <v>12510</v>
      </c>
      <c r="I68" s="1024"/>
      <c r="J68" s="3455"/>
      <c r="K68" s="3455"/>
      <c r="L68" s="3455"/>
      <c r="M68" s="3455"/>
      <c r="N68" s="3455"/>
      <c r="O68" s="3455"/>
      <c r="P68" s="3455"/>
      <c r="Q68" s="3455"/>
      <c r="R68" s="3455"/>
      <c r="S68" s="3455"/>
      <c r="T68" s="3455"/>
      <c r="U68" s="3455"/>
    </row>
    <row r="69" spans="1:21" s="1011" customFormat="1" ht="14.25" customHeight="1">
      <c r="A69" s="3419" t="s">
        <v>853</v>
      </c>
      <c r="B69" s="3419" t="s">
        <v>1080</v>
      </c>
      <c r="C69" s="3419">
        <v>18510</v>
      </c>
      <c r="D69" s="3419">
        <v>16300</v>
      </c>
      <c r="E69" s="3419">
        <v>18830</v>
      </c>
      <c r="F69" s="3425">
        <v>5400</v>
      </c>
      <c r="G69" s="3425">
        <v>11070</v>
      </c>
      <c r="I69" s="1024"/>
      <c r="J69" s="3455"/>
      <c r="K69" s="3455"/>
      <c r="L69" s="3455"/>
      <c r="M69" s="3455"/>
      <c r="N69" s="3455"/>
      <c r="O69" s="3455"/>
      <c r="P69" s="3455"/>
      <c r="Q69" s="3455"/>
      <c r="R69" s="3455"/>
      <c r="S69" s="3455"/>
      <c r="T69" s="3455"/>
      <c r="U69" s="3455"/>
    </row>
    <row r="70" spans="1:21" s="1011" customFormat="1" ht="14.25" customHeight="1">
      <c r="A70" s="3419" t="s">
        <v>853</v>
      </c>
      <c r="B70" s="3419" t="s">
        <v>1085</v>
      </c>
      <c r="C70" s="3419">
        <v>16370</v>
      </c>
      <c r="D70" s="3419">
        <v>18620</v>
      </c>
      <c r="E70" s="3419">
        <v>21100</v>
      </c>
      <c r="F70" s="3425">
        <v>5700</v>
      </c>
      <c r="G70" s="3425">
        <v>12640</v>
      </c>
      <c r="I70" s="1024"/>
      <c r="J70" s="3455"/>
      <c r="K70" s="3455"/>
      <c r="L70" s="3455"/>
      <c r="M70" s="3455"/>
      <c r="N70" s="3455"/>
      <c r="O70" s="3455"/>
      <c r="P70" s="3455"/>
      <c r="Q70" s="3455"/>
      <c r="R70" s="3455"/>
      <c r="S70" s="3455"/>
      <c r="T70" s="3455"/>
      <c r="U70" s="3455"/>
    </row>
    <row r="71" spans="1:21" s="1011" customFormat="1" ht="14.25" customHeight="1">
      <c r="A71" s="3419" t="s">
        <v>853</v>
      </c>
      <c r="B71" s="3419" t="s">
        <v>1094</v>
      </c>
      <c r="C71" s="3419">
        <v>18700</v>
      </c>
      <c r="D71" s="3419">
        <v>16290</v>
      </c>
      <c r="E71" s="3419">
        <v>18760</v>
      </c>
      <c r="F71" s="3425">
        <v>4780</v>
      </c>
      <c r="G71" s="3425">
        <v>11050</v>
      </c>
      <c r="I71" s="1024"/>
      <c r="J71" s="3455"/>
      <c r="K71" s="3455"/>
      <c r="L71" s="3455"/>
      <c r="M71" s="3455"/>
      <c r="N71" s="3455"/>
      <c r="O71" s="3455"/>
      <c r="P71" s="3455"/>
      <c r="Q71" s="3455"/>
      <c r="R71" s="3455"/>
      <c r="S71" s="3455"/>
      <c r="T71" s="3455"/>
      <c r="U71" s="3455"/>
    </row>
    <row r="72" spans="1:21" s="1011" customFormat="1" ht="14.25" customHeight="1">
      <c r="A72" s="3419" t="s">
        <v>853</v>
      </c>
      <c r="B72" s="3419" t="s">
        <v>1101</v>
      </c>
      <c r="C72" s="3419">
        <v>16340</v>
      </c>
      <c r="D72" s="3419">
        <v>17520</v>
      </c>
      <c r="E72" s="3419">
        <v>21170</v>
      </c>
      <c r="F72" s="3425"/>
      <c r="G72" s="3425">
        <v>11900</v>
      </c>
      <c r="I72" s="1024"/>
      <c r="J72" s="3455"/>
      <c r="K72" s="3455"/>
      <c r="L72" s="3455"/>
      <c r="M72" s="3455"/>
      <c r="N72" s="3455"/>
      <c r="O72" s="3455"/>
      <c r="P72" s="3455"/>
      <c r="Q72" s="3455"/>
      <c r="R72" s="3455"/>
      <c r="S72" s="3455"/>
      <c r="T72" s="3455"/>
      <c r="U72" s="3455"/>
    </row>
    <row r="73" spans="1:21" s="1011" customFormat="1" ht="14.25" customHeight="1">
      <c r="A73" s="3419" t="s">
        <v>853</v>
      </c>
      <c r="B73" s="3419" t="s">
        <v>1109</v>
      </c>
      <c r="C73" s="3419">
        <v>17610</v>
      </c>
      <c r="D73" s="3419">
        <v>18520</v>
      </c>
      <c r="E73" s="3419">
        <v>18720</v>
      </c>
      <c r="F73" s="3425"/>
      <c r="G73" s="3425">
        <v>12570</v>
      </c>
      <c r="I73" s="1024"/>
      <c r="J73" s="3455"/>
      <c r="K73" s="3455"/>
      <c r="L73" s="3455"/>
      <c r="M73" s="3455"/>
      <c r="N73" s="3455"/>
      <c r="O73" s="3455"/>
      <c r="P73" s="3455"/>
      <c r="Q73" s="3455"/>
      <c r="R73" s="3455"/>
      <c r="S73" s="3455"/>
      <c r="T73" s="3455"/>
      <c r="U73" s="3455"/>
    </row>
    <row r="74" spans="1:21" s="1011" customFormat="1" ht="14.25" customHeight="1">
      <c r="A74" s="3419" t="s">
        <v>853</v>
      </c>
      <c r="B74" s="3419" t="s">
        <v>1116</v>
      </c>
      <c r="C74" s="3419">
        <v>18600</v>
      </c>
      <c r="D74" s="3419">
        <v>16480</v>
      </c>
      <c r="E74" s="3419">
        <v>20100</v>
      </c>
      <c r="F74" s="3425"/>
      <c r="G74" s="3425">
        <v>11190</v>
      </c>
      <c r="I74" s="1024"/>
      <c r="J74" s="3455"/>
      <c r="K74" s="3455"/>
      <c r="L74" s="3455"/>
      <c r="M74" s="3455"/>
      <c r="N74" s="3455"/>
      <c r="O74" s="3455"/>
      <c r="P74" s="3455"/>
      <c r="Q74" s="3455"/>
      <c r="R74" s="3455"/>
      <c r="S74" s="3455"/>
      <c r="T74" s="3455"/>
      <c r="U74" s="3455"/>
    </row>
    <row r="75" spans="1:21" s="1011" customFormat="1" ht="14.25" customHeight="1">
      <c r="A75" s="3419" t="s">
        <v>853</v>
      </c>
      <c r="B75" s="3419" t="s">
        <v>1120</v>
      </c>
      <c r="C75" s="3419">
        <v>16570</v>
      </c>
      <c r="D75" s="3419">
        <v>17530</v>
      </c>
      <c r="E75" s="3419">
        <v>21030</v>
      </c>
      <c r="F75" s="3425"/>
      <c r="G75" s="3432">
        <v>11900</v>
      </c>
      <c r="I75" s="1024"/>
      <c r="J75" s="3455"/>
      <c r="K75" s="3455"/>
      <c r="L75" s="3455"/>
      <c r="M75" s="3455"/>
      <c r="N75" s="3455"/>
      <c r="O75" s="3455"/>
      <c r="P75" s="3455"/>
      <c r="Q75" s="3455"/>
      <c r="R75" s="3455"/>
      <c r="S75" s="3455"/>
      <c r="T75" s="3455"/>
      <c r="U75" s="3455"/>
    </row>
    <row r="76" spans="1:21" s="1011" customFormat="1" ht="14.25" customHeight="1">
      <c r="A76" s="3419" t="s">
        <v>853</v>
      </c>
      <c r="B76" s="1288" t="s">
        <v>1127</v>
      </c>
      <c r="C76" s="1288">
        <v>17610</v>
      </c>
      <c r="D76" s="1288">
        <v>20800</v>
      </c>
      <c r="E76" s="1288">
        <v>18920</v>
      </c>
      <c r="F76" s="3420"/>
      <c r="G76" s="3420">
        <v>14120</v>
      </c>
      <c r="I76" s="1024"/>
      <c r="J76" s="3455"/>
      <c r="K76" s="3455"/>
      <c r="L76" s="3455"/>
      <c r="M76" s="3455"/>
      <c r="N76" s="3455"/>
      <c r="O76" s="3455"/>
      <c r="P76" s="3455"/>
      <c r="Q76" s="3455"/>
      <c r="R76" s="3455"/>
      <c r="S76" s="3455"/>
      <c r="T76" s="3455"/>
      <c r="U76" s="3455"/>
    </row>
    <row r="77" spans="1:21" s="1011" customFormat="1" ht="14.25" customHeight="1">
      <c r="A77" s="3419" t="s">
        <v>853</v>
      </c>
      <c r="B77" s="3419" t="s">
        <v>1130</v>
      </c>
      <c r="C77" s="3419">
        <v>20890</v>
      </c>
      <c r="D77" s="3419">
        <v>19740</v>
      </c>
      <c r="E77" s="3419">
        <v>20110</v>
      </c>
      <c r="F77" s="3425"/>
      <c r="G77" s="3425">
        <v>13400</v>
      </c>
      <c r="I77" s="1024"/>
      <c r="J77" s="3455"/>
      <c r="K77" s="3455"/>
      <c r="L77" s="3455"/>
      <c r="M77" s="3455"/>
      <c r="N77" s="3455"/>
      <c r="O77" s="3455"/>
      <c r="P77" s="3455"/>
      <c r="Q77" s="3455"/>
      <c r="R77" s="3455"/>
      <c r="S77" s="3455"/>
      <c r="T77" s="3455"/>
      <c r="U77" s="3455"/>
    </row>
    <row r="78" spans="1:21" s="1011" customFormat="1" ht="14.25" customHeight="1">
      <c r="A78" s="3419" t="s">
        <v>853</v>
      </c>
      <c r="B78" s="3419" t="s">
        <v>2830</v>
      </c>
      <c r="C78" s="3419">
        <v>19820</v>
      </c>
      <c r="D78" s="3419">
        <v>19780</v>
      </c>
      <c r="E78" s="3419">
        <v>18560</v>
      </c>
      <c r="F78" s="3425"/>
      <c r="G78" s="3425">
        <v>13430</v>
      </c>
      <c r="I78" s="1024"/>
      <c r="J78" s="3455"/>
      <c r="K78" s="3455"/>
      <c r="L78" s="3455"/>
      <c r="M78" s="3455"/>
      <c r="N78" s="3455"/>
      <c r="O78" s="3455"/>
      <c r="P78" s="3455"/>
      <c r="Q78" s="3455"/>
      <c r="R78" s="3455"/>
      <c r="S78" s="3455"/>
      <c r="T78" s="3455"/>
      <c r="U78" s="3455"/>
    </row>
    <row r="79" spans="1:21" s="1011" customFormat="1" ht="14.25" customHeight="1">
      <c r="A79" s="3419" t="s">
        <v>853</v>
      </c>
      <c r="B79" s="3419" t="s">
        <v>2831</v>
      </c>
      <c r="C79" s="3419">
        <v>21660</v>
      </c>
      <c r="D79" s="3419">
        <v>18000</v>
      </c>
      <c r="E79" s="3419">
        <v>22570</v>
      </c>
      <c r="F79" s="3425"/>
      <c r="G79" s="3425">
        <v>12220</v>
      </c>
      <c r="I79" s="1024"/>
      <c r="J79" s="3455"/>
      <c r="K79" s="3455"/>
      <c r="L79" s="3455"/>
      <c r="M79" s="3455"/>
      <c r="N79" s="3455"/>
      <c r="O79" s="3455"/>
      <c r="P79" s="3455"/>
      <c r="Q79" s="3455"/>
      <c r="R79" s="3455"/>
      <c r="S79" s="3455"/>
      <c r="T79" s="3455"/>
      <c r="U79" s="3455"/>
    </row>
    <row r="80" spans="1:21" s="1011" customFormat="1" ht="14.25" customHeight="1">
      <c r="A80" s="3419" t="s">
        <v>853</v>
      </c>
      <c r="B80" s="3419" t="s">
        <v>2832</v>
      </c>
      <c r="C80" s="3419">
        <v>19850</v>
      </c>
      <c r="D80" s="3419"/>
      <c r="E80" s="3419">
        <v>21700</v>
      </c>
      <c r="F80" s="3425"/>
      <c r="G80" s="3425"/>
      <c r="I80" s="1024"/>
      <c r="J80" s="3455"/>
      <c r="K80" s="3455"/>
      <c r="L80" s="3455"/>
      <c r="M80" s="3455"/>
      <c r="N80" s="3455"/>
      <c r="O80" s="3455"/>
      <c r="P80" s="3455"/>
      <c r="Q80" s="3455"/>
      <c r="R80" s="3455"/>
      <c r="S80" s="3455"/>
      <c r="T80" s="3455"/>
      <c r="U80" s="3455"/>
    </row>
    <row r="81" spans="1:21" s="1011" customFormat="1" ht="14.25" customHeight="1">
      <c r="A81" s="3419" t="s">
        <v>853</v>
      </c>
      <c r="B81" s="3419" t="s">
        <v>2833</v>
      </c>
      <c r="C81" s="3419">
        <v>18080</v>
      </c>
      <c r="D81" s="3419"/>
      <c r="E81" s="3419">
        <v>20900</v>
      </c>
      <c r="F81" s="3425"/>
      <c r="G81" s="3425"/>
      <c r="I81" s="1024"/>
      <c r="J81" s="3455"/>
      <c r="K81" s="3455"/>
      <c r="L81" s="3455"/>
      <c r="M81" s="3455"/>
      <c r="N81" s="3455"/>
      <c r="O81" s="3455"/>
      <c r="P81" s="3455"/>
      <c r="Q81" s="3455"/>
      <c r="R81" s="3455"/>
      <c r="S81" s="3455"/>
      <c r="T81" s="3455"/>
      <c r="U81" s="3455"/>
    </row>
    <row r="82" spans="1:21" s="1011" customFormat="1" ht="14.25" customHeight="1">
      <c r="A82" s="3419" t="s">
        <v>853</v>
      </c>
      <c r="B82" s="3419" t="s">
        <v>2834</v>
      </c>
      <c r="C82" s="3419"/>
      <c r="D82" s="3419"/>
      <c r="E82" s="3419">
        <v>20840</v>
      </c>
      <c r="F82" s="3425"/>
      <c r="G82" s="3425"/>
      <c r="I82" s="1024"/>
      <c r="J82" s="3455"/>
      <c r="K82" s="3455"/>
      <c r="L82" s="3455"/>
      <c r="M82" s="3455"/>
      <c r="N82" s="3455"/>
      <c r="O82" s="3455"/>
      <c r="P82" s="3455"/>
      <c r="Q82" s="3455"/>
      <c r="R82" s="3455"/>
      <c r="S82" s="3455"/>
      <c r="T82" s="3455"/>
      <c r="U82" s="3455"/>
    </row>
    <row r="83" spans="1:21" s="1011" customFormat="1" ht="14.25" customHeight="1">
      <c r="A83" s="3419" t="s">
        <v>853</v>
      </c>
      <c r="B83" s="3419" t="s">
        <v>2835</v>
      </c>
      <c r="C83" s="3419"/>
      <c r="D83" s="3419"/>
      <c r="E83" s="3419"/>
      <c r="F83" s="3425">
        <v>4770</v>
      </c>
      <c r="G83" s="3425"/>
      <c r="I83" s="1024"/>
      <c r="J83" s="3455"/>
      <c r="K83" s="3455"/>
      <c r="L83" s="3455"/>
      <c r="M83" s="3455"/>
      <c r="N83" s="3455"/>
      <c r="O83" s="3455"/>
      <c r="P83" s="3455"/>
      <c r="Q83" s="3455"/>
      <c r="R83" s="3455"/>
      <c r="S83" s="3455"/>
      <c r="T83" s="3455"/>
      <c r="U83" s="3455"/>
    </row>
    <row r="84" spans="1:21" s="1011" customFormat="1" ht="14.25" customHeight="1">
      <c r="A84" s="3419" t="s">
        <v>853</v>
      </c>
      <c r="B84" s="3419" t="s">
        <v>2836</v>
      </c>
      <c r="C84" s="3419"/>
      <c r="D84" s="3419"/>
      <c r="E84" s="3419"/>
      <c r="F84" s="3425">
        <v>4600</v>
      </c>
      <c r="G84" s="3425"/>
      <c r="I84" s="1024"/>
      <c r="J84" s="3455"/>
      <c r="K84" s="3455"/>
      <c r="L84" s="3455"/>
      <c r="M84" s="3455"/>
      <c r="N84" s="3455"/>
      <c r="O84" s="3455"/>
      <c r="P84" s="3455"/>
      <c r="Q84" s="3455"/>
      <c r="R84" s="3455"/>
      <c r="S84" s="3455"/>
      <c r="T84" s="3455"/>
      <c r="U84" s="3455"/>
    </row>
    <row r="85" spans="1:21" s="1011" customFormat="1" ht="14.25" customHeight="1">
      <c r="A85" s="3419" t="s">
        <v>853</v>
      </c>
      <c r="B85" s="1286" t="s">
        <v>2837</v>
      </c>
      <c r="C85" s="1286"/>
      <c r="D85" s="1286"/>
      <c r="E85" s="1286"/>
      <c r="F85" s="3430">
        <v>4680</v>
      </c>
      <c r="G85" s="3430"/>
      <c r="I85" s="1024"/>
      <c r="J85" s="3455"/>
      <c r="K85" s="3455"/>
      <c r="L85" s="3455"/>
      <c r="M85" s="3455"/>
      <c r="N85" s="3455"/>
      <c r="O85" s="3455"/>
      <c r="P85" s="3455"/>
      <c r="Q85" s="3455"/>
      <c r="R85" s="3455"/>
      <c r="S85" s="3455"/>
      <c r="T85" s="3455"/>
      <c r="U85" s="3455"/>
    </row>
    <row r="86" spans="1:21" s="1011" customFormat="1" ht="14.25" customHeight="1" thickBot="1">
      <c r="A86" s="3434" t="s">
        <v>853</v>
      </c>
      <c r="B86" s="3422" t="s">
        <v>2838</v>
      </c>
      <c r="C86" s="3422">
        <v>16610</v>
      </c>
      <c r="D86" s="3422">
        <v>16540</v>
      </c>
      <c r="E86" s="3422">
        <v>18850</v>
      </c>
      <c r="F86" s="3423"/>
      <c r="G86" s="3435">
        <v>11220</v>
      </c>
      <c r="I86" s="1024"/>
      <c r="J86" s="3455"/>
      <c r="K86" s="3455"/>
      <c r="L86" s="3455"/>
      <c r="M86" s="3455"/>
      <c r="N86" s="3455"/>
      <c r="O86" s="3455"/>
      <c r="P86" s="3455"/>
      <c r="Q86" s="3455"/>
      <c r="R86" s="3455"/>
      <c r="S86" s="3455"/>
      <c r="T86" s="3455"/>
      <c r="U86" s="3455"/>
    </row>
    <row r="87" spans="1:21" s="1011" customFormat="1" ht="14.25" customHeight="1">
      <c r="A87" s="3433" t="s">
        <v>1152</v>
      </c>
      <c r="B87" s="1288" t="s">
        <v>2839</v>
      </c>
      <c r="C87" s="1288">
        <v>15240</v>
      </c>
      <c r="D87" s="1288">
        <v>15170</v>
      </c>
      <c r="E87" s="1288">
        <v>18260</v>
      </c>
      <c r="F87" s="3420">
        <v>3830</v>
      </c>
      <c r="G87" s="3436">
        <v>10020</v>
      </c>
      <c r="I87" s="1024"/>
      <c r="J87" s="3455"/>
      <c r="K87" s="3455"/>
      <c r="L87" s="3455"/>
      <c r="M87" s="3455"/>
      <c r="N87" s="3455"/>
      <c r="O87" s="3455"/>
      <c r="P87" s="3455"/>
      <c r="Q87" s="3455"/>
      <c r="R87" s="3455"/>
      <c r="S87" s="3455"/>
      <c r="T87" s="3455"/>
      <c r="U87" s="3455"/>
    </row>
    <row r="88" spans="1:21" s="1011" customFormat="1" ht="14.25" customHeight="1">
      <c r="A88" s="3419" t="s">
        <v>1152</v>
      </c>
      <c r="B88" s="3419" t="s">
        <v>976</v>
      </c>
      <c r="C88" s="3419">
        <v>17310</v>
      </c>
      <c r="D88" s="3419">
        <v>17220</v>
      </c>
      <c r="E88" s="3419">
        <v>18610</v>
      </c>
      <c r="F88" s="3425">
        <v>3990</v>
      </c>
      <c r="G88" s="3427">
        <v>11380</v>
      </c>
      <c r="I88" s="1024"/>
      <c r="J88" s="3455"/>
      <c r="K88" s="3455"/>
      <c r="L88" s="3455"/>
      <c r="M88" s="3455"/>
      <c r="N88" s="3455"/>
      <c r="O88" s="3455"/>
      <c r="P88" s="3455"/>
      <c r="Q88" s="3455"/>
      <c r="R88" s="3455"/>
      <c r="S88" s="3455"/>
      <c r="T88" s="3455"/>
      <c r="U88" s="3455"/>
    </row>
    <row r="89" spans="1:21" s="1011" customFormat="1" ht="14.25" customHeight="1">
      <c r="A89" s="3419" t="s">
        <v>1152</v>
      </c>
      <c r="B89" s="3419" t="s">
        <v>986</v>
      </c>
      <c r="C89" s="3419">
        <v>15600</v>
      </c>
      <c r="D89" s="3419">
        <v>15550</v>
      </c>
      <c r="E89" s="3419">
        <v>19200</v>
      </c>
      <c r="F89" s="3425">
        <v>4110</v>
      </c>
      <c r="G89" s="3427">
        <v>10270</v>
      </c>
      <c r="I89" s="1024"/>
      <c r="J89" s="3455"/>
      <c r="K89" s="3455"/>
      <c r="L89" s="3455"/>
      <c r="M89" s="3455"/>
      <c r="N89" s="3455"/>
      <c r="O89" s="3455"/>
      <c r="P89" s="3455"/>
      <c r="Q89" s="3455"/>
      <c r="R89" s="3455"/>
      <c r="S89" s="3455"/>
      <c r="T89" s="3455"/>
      <c r="U89" s="3455"/>
    </row>
    <row r="90" spans="1:21" s="1011" customFormat="1" ht="14.25" customHeight="1">
      <c r="A90" s="3419" t="s">
        <v>1152</v>
      </c>
      <c r="B90" s="3419" t="s">
        <v>995</v>
      </c>
      <c r="C90" s="3419">
        <v>17330</v>
      </c>
      <c r="D90" s="3419">
        <v>17240</v>
      </c>
      <c r="E90" s="3419">
        <v>18570</v>
      </c>
      <c r="F90" s="3425">
        <v>4070</v>
      </c>
      <c r="G90" s="3427">
        <v>11390</v>
      </c>
      <c r="I90" s="1024"/>
      <c r="J90" s="3455"/>
      <c r="K90" s="3455"/>
      <c r="L90" s="3455"/>
      <c r="M90" s="3455"/>
      <c r="N90" s="3455"/>
      <c r="O90" s="3455"/>
      <c r="P90" s="3455"/>
      <c r="Q90" s="3455"/>
      <c r="R90" s="3455"/>
      <c r="S90" s="3455"/>
      <c r="T90" s="3455"/>
      <c r="U90" s="3455"/>
    </row>
    <row r="91" spans="1:21" s="1011" customFormat="1" ht="14.25" customHeight="1">
      <c r="A91" s="3419" t="s">
        <v>1152</v>
      </c>
      <c r="B91" s="3419" t="s">
        <v>1005</v>
      </c>
      <c r="C91" s="3419">
        <v>16330</v>
      </c>
      <c r="D91" s="3419">
        <v>16260</v>
      </c>
      <c r="E91" s="3419">
        <v>16800</v>
      </c>
      <c r="F91" s="3425">
        <v>3410</v>
      </c>
      <c r="G91" s="3427">
        <v>10740</v>
      </c>
      <c r="I91" s="1024"/>
      <c r="J91" s="3455"/>
      <c r="K91" s="3455"/>
      <c r="L91" s="3455"/>
      <c r="M91" s="3455"/>
      <c r="N91" s="3455"/>
      <c r="O91" s="3455"/>
      <c r="P91" s="3455"/>
      <c r="Q91" s="3455"/>
      <c r="R91" s="3455"/>
      <c r="S91" s="3455"/>
      <c r="T91" s="3455"/>
      <c r="U91" s="3455"/>
    </row>
    <row r="92" spans="1:21" s="1011" customFormat="1" ht="14.25" customHeight="1">
      <c r="A92" s="3419" t="s">
        <v>1152</v>
      </c>
      <c r="B92" s="3419" t="s">
        <v>1012</v>
      </c>
      <c r="C92" s="3419">
        <v>15570</v>
      </c>
      <c r="D92" s="3419">
        <v>15500</v>
      </c>
      <c r="E92" s="3419">
        <v>17360</v>
      </c>
      <c r="F92" s="3425">
        <v>3510</v>
      </c>
      <c r="G92" s="3427">
        <v>10240</v>
      </c>
      <c r="I92" s="1024"/>
      <c r="J92" s="3455"/>
      <c r="K92" s="3455"/>
      <c r="L92" s="3455"/>
      <c r="M92" s="3455"/>
      <c r="N92" s="3455"/>
      <c r="O92" s="3455"/>
      <c r="P92" s="3455"/>
      <c r="Q92" s="3455"/>
      <c r="R92" s="3455"/>
      <c r="S92" s="3455"/>
      <c r="T92" s="3455"/>
      <c r="U92" s="3455"/>
    </row>
    <row r="93" spans="1:21" s="1011" customFormat="1" ht="14.25" customHeight="1">
      <c r="A93" s="3419" t="s">
        <v>1152</v>
      </c>
      <c r="B93" s="3419" t="s">
        <v>1018</v>
      </c>
      <c r="C93" s="3419">
        <v>14000</v>
      </c>
      <c r="D93" s="3419">
        <v>13930</v>
      </c>
      <c r="E93" s="3419">
        <v>18200</v>
      </c>
      <c r="F93" s="3425">
        <v>3640</v>
      </c>
      <c r="G93" s="3427">
        <v>9210</v>
      </c>
      <c r="I93" s="1024"/>
      <c r="J93" s="3455"/>
      <c r="K93" s="3455"/>
      <c r="L93" s="3455"/>
      <c r="M93" s="3455"/>
      <c r="N93" s="3455"/>
      <c r="O93" s="3455"/>
      <c r="P93" s="3455"/>
      <c r="Q93" s="3455"/>
      <c r="R93" s="3455"/>
      <c r="S93" s="3455"/>
      <c r="T93" s="3455"/>
      <c r="U93" s="3455"/>
    </row>
    <row r="94" spans="1:21" s="1011" customFormat="1" ht="14.25" customHeight="1">
      <c r="A94" s="3419" t="s">
        <v>1152</v>
      </c>
      <c r="B94" s="3419" t="s">
        <v>1025</v>
      </c>
      <c r="C94" s="3419">
        <v>14530</v>
      </c>
      <c r="D94" s="3419">
        <v>14470</v>
      </c>
      <c r="E94" s="3419">
        <v>18240</v>
      </c>
      <c r="F94" s="3425">
        <v>3180</v>
      </c>
      <c r="G94" s="3427">
        <v>9560</v>
      </c>
      <c r="I94" s="1024"/>
      <c r="J94" s="3455"/>
      <c r="K94" s="3455"/>
      <c r="L94" s="3455"/>
      <c r="M94" s="3455"/>
      <c r="N94" s="3455"/>
      <c r="O94" s="3455"/>
      <c r="P94" s="3455"/>
      <c r="Q94" s="3455"/>
      <c r="R94" s="3455"/>
      <c r="S94" s="3455"/>
      <c r="T94" s="3455"/>
      <c r="U94" s="3455"/>
    </row>
    <row r="95" spans="1:21" s="1011" customFormat="1" ht="14.25" customHeight="1">
      <c r="A95" s="3419" t="s">
        <v>1152</v>
      </c>
      <c r="B95" s="3419" t="s">
        <v>1035</v>
      </c>
      <c r="C95" s="3419">
        <v>17330</v>
      </c>
      <c r="D95" s="3419">
        <v>17260</v>
      </c>
      <c r="E95" s="3419">
        <v>18420</v>
      </c>
      <c r="F95" s="3425">
        <v>3060</v>
      </c>
      <c r="G95" s="3425">
        <v>11410</v>
      </c>
      <c r="I95" s="1024"/>
      <c r="J95" s="3455"/>
      <c r="K95" s="3455"/>
      <c r="L95" s="3455"/>
      <c r="M95" s="3455"/>
      <c r="N95" s="3455"/>
      <c r="O95" s="3455"/>
      <c r="P95" s="3455"/>
      <c r="Q95" s="3455"/>
      <c r="R95" s="3455"/>
      <c r="S95" s="3455"/>
      <c r="T95" s="3455"/>
      <c r="U95" s="3455"/>
    </row>
    <row r="96" spans="1:21" s="1011" customFormat="1" ht="14.25" customHeight="1">
      <c r="A96" s="3419" t="s">
        <v>1152</v>
      </c>
      <c r="B96" s="3419" t="s">
        <v>1044</v>
      </c>
      <c r="C96" s="3419">
        <v>15030</v>
      </c>
      <c r="D96" s="3419">
        <v>14970</v>
      </c>
      <c r="E96" s="3419">
        <v>17580</v>
      </c>
      <c r="F96" s="3425">
        <v>2970</v>
      </c>
      <c r="G96" s="3425">
        <v>9890</v>
      </c>
      <c r="I96" s="1024"/>
      <c r="J96" s="3455"/>
      <c r="K96" s="3455"/>
      <c r="L96" s="3455"/>
      <c r="M96" s="3455"/>
      <c r="N96" s="3455"/>
      <c r="O96" s="3455"/>
      <c r="P96" s="3455"/>
      <c r="Q96" s="3455"/>
      <c r="R96" s="3455"/>
      <c r="S96" s="3455"/>
      <c r="T96" s="3455"/>
      <c r="U96" s="3455"/>
    </row>
    <row r="97" spans="1:21" s="1011" customFormat="1" ht="14.25" customHeight="1">
      <c r="A97" s="3419" t="s">
        <v>1152</v>
      </c>
      <c r="B97" s="3419" t="s">
        <v>1051</v>
      </c>
      <c r="C97" s="3419">
        <v>17400</v>
      </c>
      <c r="D97" s="3419">
        <v>17330</v>
      </c>
      <c r="E97" s="3419">
        <v>16430</v>
      </c>
      <c r="F97" s="3425">
        <v>2950</v>
      </c>
      <c r="G97" s="3425">
        <v>11450</v>
      </c>
      <c r="I97" s="1024"/>
      <c r="J97" s="3455"/>
      <c r="K97" s="3455"/>
      <c r="L97" s="3455"/>
      <c r="M97" s="3455"/>
      <c r="N97" s="3455"/>
      <c r="O97" s="3455"/>
      <c r="P97" s="3455"/>
      <c r="Q97" s="3455"/>
      <c r="R97" s="3455"/>
      <c r="S97" s="3455"/>
      <c r="T97" s="3455"/>
      <c r="U97" s="3455"/>
    </row>
    <row r="98" spans="1:21" s="1011" customFormat="1" ht="14.25" customHeight="1">
      <c r="A98" s="3419" t="s">
        <v>1152</v>
      </c>
      <c r="B98" s="3419" t="s">
        <v>1058</v>
      </c>
      <c r="C98" s="3419">
        <v>15200</v>
      </c>
      <c r="D98" s="3419">
        <v>15120</v>
      </c>
      <c r="E98" s="3419">
        <v>17550</v>
      </c>
      <c r="F98" s="3425">
        <v>3080</v>
      </c>
      <c r="G98" s="3425">
        <v>9990</v>
      </c>
      <c r="I98" s="1024"/>
      <c r="J98" s="3455"/>
      <c r="K98" s="3455"/>
      <c r="L98" s="3455"/>
      <c r="M98" s="3455"/>
      <c r="N98" s="3455"/>
      <c r="O98" s="3455"/>
      <c r="P98" s="3455"/>
      <c r="Q98" s="3455"/>
      <c r="R98" s="3455"/>
      <c r="S98" s="3455"/>
      <c r="T98" s="3455"/>
      <c r="U98" s="3455"/>
    </row>
    <row r="99" spans="1:21" s="1011" customFormat="1" ht="14.25" customHeight="1">
      <c r="A99" s="3419" t="s">
        <v>1152</v>
      </c>
      <c r="B99" s="3419" t="s">
        <v>1065</v>
      </c>
      <c r="C99" s="3419">
        <v>17520</v>
      </c>
      <c r="D99" s="3419">
        <v>17430</v>
      </c>
      <c r="E99" s="3419">
        <v>16350</v>
      </c>
      <c r="F99" s="3425">
        <v>3260</v>
      </c>
      <c r="G99" s="3425">
        <v>11510</v>
      </c>
      <c r="I99" s="1024"/>
      <c r="J99" s="3455"/>
      <c r="K99" s="3455"/>
      <c r="L99" s="3455"/>
      <c r="M99" s="3455"/>
      <c r="N99" s="3455"/>
      <c r="O99" s="3455"/>
      <c r="P99" s="3455"/>
      <c r="Q99" s="3455"/>
      <c r="R99" s="3455"/>
      <c r="S99" s="3455"/>
      <c r="T99" s="3455"/>
      <c r="U99" s="3455"/>
    </row>
    <row r="100" spans="1:21" s="1011" customFormat="1" ht="14.25" customHeight="1">
      <c r="A100" s="3419" t="s">
        <v>1152</v>
      </c>
      <c r="B100" s="3419" t="s">
        <v>1073</v>
      </c>
      <c r="C100" s="3419">
        <v>15340</v>
      </c>
      <c r="D100" s="3419">
        <v>15260</v>
      </c>
      <c r="E100" s="3419">
        <v>15930</v>
      </c>
      <c r="F100" s="3425">
        <v>2740</v>
      </c>
      <c r="G100" s="3425">
        <v>10080</v>
      </c>
      <c r="I100" s="1024"/>
      <c r="J100" s="3455"/>
      <c r="K100" s="3455"/>
      <c r="L100" s="3455"/>
      <c r="M100" s="3455"/>
      <c r="N100" s="3455"/>
      <c r="O100" s="3455"/>
      <c r="P100" s="3455"/>
      <c r="Q100" s="3455"/>
      <c r="R100" s="3455"/>
      <c r="S100" s="3455"/>
      <c r="T100" s="3455"/>
      <c r="U100" s="3455"/>
    </row>
    <row r="101" spans="1:21" s="1011" customFormat="1" ht="14.25" customHeight="1">
      <c r="A101" s="3419" t="s">
        <v>1152</v>
      </c>
      <c r="B101" s="3419" t="s">
        <v>1081</v>
      </c>
      <c r="C101" s="3419">
        <v>14620</v>
      </c>
      <c r="D101" s="3419">
        <v>14560</v>
      </c>
      <c r="E101" s="3419">
        <v>15570</v>
      </c>
      <c r="F101" s="3425">
        <v>3500</v>
      </c>
      <c r="G101" s="3425">
        <v>9630</v>
      </c>
      <c r="I101" s="1024"/>
      <c r="J101" s="3455"/>
      <c r="K101" s="3455"/>
      <c r="L101" s="3455"/>
      <c r="M101" s="3455"/>
      <c r="N101" s="3455"/>
      <c r="O101" s="3455"/>
      <c r="P101" s="3455"/>
      <c r="Q101" s="3455"/>
      <c r="R101" s="3455"/>
      <c r="S101" s="3455"/>
      <c r="T101" s="3455"/>
      <c r="U101" s="3455"/>
    </row>
    <row r="102" spans="1:21" s="1011" customFormat="1" ht="14.25" customHeight="1">
      <c r="A102" s="3419" t="s">
        <v>1152</v>
      </c>
      <c r="B102" s="3419" t="s">
        <v>1086</v>
      </c>
      <c r="C102" s="3419">
        <v>13680</v>
      </c>
      <c r="D102" s="3419">
        <v>13610</v>
      </c>
      <c r="E102" s="3419">
        <v>15690</v>
      </c>
      <c r="F102" s="3425">
        <v>2870</v>
      </c>
      <c r="G102" s="3425">
        <v>8990</v>
      </c>
      <c r="I102" s="1024"/>
      <c r="J102" s="3455"/>
      <c r="K102" s="3455"/>
      <c r="L102" s="3455"/>
      <c r="M102" s="3455"/>
      <c r="N102" s="3455"/>
      <c r="O102" s="3455"/>
      <c r="P102" s="3455"/>
      <c r="Q102" s="3455"/>
      <c r="R102" s="3455"/>
      <c r="S102" s="3455"/>
      <c r="T102" s="3455"/>
      <c r="U102" s="3455"/>
    </row>
    <row r="103" spans="1:21" s="1011" customFormat="1" ht="14.25" customHeight="1">
      <c r="A103" s="3419" t="s">
        <v>1152</v>
      </c>
      <c r="B103" s="3419" t="s">
        <v>1095</v>
      </c>
      <c r="C103" s="3419">
        <v>14620</v>
      </c>
      <c r="D103" s="3419">
        <v>14540</v>
      </c>
      <c r="E103" s="3419">
        <v>15240</v>
      </c>
      <c r="F103" s="3425">
        <v>2840</v>
      </c>
      <c r="G103" s="3425">
        <v>9610</v>
      </c>
      <c r="I103" s="1024"/>
      <c r="J103" s="3455"/>
      <c r="K103" s="3455"/>
      <c r="L103" s="3455"/>
      <c r="M103" s="3455"/>
      <c r="N103" s="3455"/>
      <c r="O103" s="3455"/>
      <c r="P103" s="3455"/>
      <c r="Q103" s="3455"/>
      <c r="R103" s="3455"/>
      <c r="S103" s="3455"/>
      <c r="T103" s="3455"/>
      <c r="U103" s="3455"/>
    </row>
    <row r="104" spans="1:21" s="1011" customFormat="1" ht="14.25" customHeight="1">
      <c r="A104" s="3419" t="s">
        <v>1152</v>
      </c>
      <c r="B104" s="3419" t="s">
        <v>1102</v>
      </c>
      <c r="C104" s="3419">
        <v>13610</v>
      </c>
      <c r="D104" s="3419">
        <v>13540</v>
      </c>
      <c r="E104" s="3419">
        <v>15750</v>
      </c>
      <c r="F104" s="3425">
        <v>2770</v>
      </c>
      <c r="G104" s="3425">
        <v>8940</v>
      </c>
      <c r="I104" s="1024"/>
      <c r="J104" s="3455"/>
      <c r="K104" s="3455"/>
      <c r="L104" s="3455"/>
      <c r="M104" s="3455"/>
      <c r="N104" s="3455"/>
      <c r="O104" s="3455"/>
      <c r="P104" s="3455"/>
      <c r="Q104" s="3455"/>
      <c r="R104" s="3455"/>
      <c r="S104" s="3455"/>
      <c r="T104" s="3455"/>
      <c r="U104" s="3455"/>
    </row>
    <row r="105" spans="1:21" s="1011" customFormat="1" ht="14.25" customHeight="1">
      <c r="A105" s="3419" t="s">
        <v>1152</v>
      </c>
      <c r="B105" s="3419" t="s">
        <v>1110</v>
      </c>
      <c r="C105" s="3419">
        <v>13310</v>
      </c>
      <c r="D105" s="3419">
        <v>13240</v>
      </c>
      <c r="E105" s="3419">
        <v>16280</v>
      </c>
      <c r="F105" s="3425">
        <v>3210</v>
      </c>
      <c r="G105" s="3425">
        <v>8750</v>
      </c>
      <c r="I105" s="1024"/>
      <c r="J105" s="3455"/>
      <c r="K105" s="3455"/>
      <c r="L105" s="3455"/>
      <c r="M105" s="3455"/>
      <c r="N105" s="3455"/>
      <c r="O105" s="3455"/>
      <c r="P105" s="3455"/>
      <c r="Q105" s="3455"/>
      <c r="R105" s="3455"/>
      <c r="S105" s="3455"/>
      <c r="T105" s="3455"/>
      <c r="U105" s="3455"/>
    </row>
    <row r="106" spans="1:21" s="1011" customFormat="1" ht="14.25" customHeight="1">
      <c r="A106" s="3419" t="s">
        <v>1152</v>
      </c>
      <c r="B106" s="3419" t="s">
        <v>1117</v>
      </c>
      <c r="C106" s="3419">
        <v>13010</v>
      </c>
      <c r="D106" s="3419">
        <v>12930</v>
      </c>
      <c r="E106" s="3419">
        <v>14960</v>
      </c>
      <c r="F106" s="3425">
        <v>3530</v>
      </c>
      <c r="G106" s="3425">
        <v>8550</v>
      </c>
      <c r="I106" s="1024"/>
      <c r="J106" s="3455"/>
      <c r="K106" s="3455"/>
      <c r="L106" s="3455"/>
      <c r="M106" s="3455"/>
      <c r="N106" s="3455"/>
      <c r="O106" s="3455"/>
      <c r="P106" s="3455"/>
      <c r="Q106" s="3455"/>
      <c r="R106" s="3455"/>
      <c r="S106" s="3455"/>
      <c r="T106" s="3455"/>
      <c r="U106" s="3455"/>
    </row>
    <row r="107" spans="1:21" s="1011" customFormat="1" ht="14.25" customHeight="1">
      <c r="A107" s="3419" t="s">
        <v>1152</v>
      </c>
      <c r="B107" s="3419" t="s">
        <v>1121</v>
      </c>
      <c r="C107" s="3419">
        <v>13070</v>
      </c>
      <c r="D107" s="3419">
        <v>13000</v>
      </c>
      <c r="E107" s="3419">
        <v>15910</v>
      </c>
      <c r="F107" s="3425">
        <v>3990</v>
      </c>
      <c r="G107" s="3425">
        <v>8580</v>
      </c>
      <c r="I107" s="1024"/>
      <c r="J107" s="3455"/>
      <c r="K107" s="3455"/>
      <c r="L107" s="3455"/>
      <c r="M107" s="3455"/>
      <c r="N107" s="3455"/>
      <c r="O107" s="3455"/>
      <c r="P107" s="3455"/>
      <c r="Q107" s="3455"/>
      <c r="R107" s="3455"/>
      <c r="S107" s="3455"/>
      <c r="T107" s="3455"/>
      <c r="U107" s="3455"/>
    </row>
    <row r="108" spans="1:21" s="1011" customFormat="1" ht="14.25" customHeight="1">
      <c r="A108" s="3419" t="s">
        <v>1152</v>
      </c>
      <c r="B108" s="3419" t="s">
        <v>1128</v>
      </c>
      <c r="C108" s="3419">
        <v>12640</v>
      </c>
      <c r="D108" s="3419">
        <v>12580</v>
      </c>
      <c r="E108" s="3419">
        <v>15730</v>
      </c>
      <c r="F108" s="3425"/>
      <c r="G108" s="3425">
        <v>8310</v>
      </c>
      <c r="I108" s="1024"/>
      <c r="J108" s="3455"/>
      <c r="K108" s="3455"/>
      <c r="L108" s="3455"/>
      <c r="M108" s="3455"/>
      <c r="N108" s="3455"/>
      <c r="O108" s="3455"/>
      <c r="P108" s="3455"/>
      <c r="Q108" s="3455"/>
      <c r="R108" s="3455"/>
      <c r="S108" s="3455"/>
      <c r="T108" s="3455"/>
      <c r="U108" s="3455"/>
    </row>
    <row r="109" spans="1:21" s="1011" customFormat="1" ht="14.25" customHeight="1">
      <c r="A109" s="3419" t="s">
        <v>1152</v>
      </c>
      <c r="B109" s="3419" t="s">
        <v>1131</v>
      </c>
      <c r="C109" s="3419">
        <v>13130</v>
      </c>
      <c r="D109" s="3419">
        <v>13070</v>
      </c>
      <c r="E109" s="3419">
        <v>15000</v>
      </c>
      <c r="F109" s="3425"/>
      <c r="G109" s="3432">
        <v>8630</v>
      </c>
      <c r="I109" s="1024"/>
      <c r="J109" s="3455"/>
      <c r="K109" s="3455"/>
      <c r="L109" s="3455"/>
      <c r="M109" s="3455"/>
      <c r="N109" s="3455"/>
      <c r="O109" s="3455"/>
      <c r="P109" s="3455"/>
      <c r="Q109" s="3455"/>
      <c r="R109" s="3455"/>
      <c r="S109" s="3455"/>
      <c r="T109" s="3455"/>
      <c r="U109" s="3455"/>
    </row>
    <row r="110" spans="1:21" s="1011" customFormat="1" ht="14.25" customHeight="1">
      <c r="A110" s="3419" t="s">
        <v>1152</v>
      </c>
      <c r="B110" s="1288" t="s">
        <v>1133</v>
      </c>
      <c r="C110" s="1288">
        <v>13560</v>
      </c>
      <c r="D110" s="1288">
        <v>13490</v>
      </c>
      <c r="E110" s="1288">
        <v>16300</v>
      </c>
      <c r="F110" s="3420"/>
      <c r="G110" s="3420">
        <v>8920</v>
      </c>
      <c r="I110" s="1024"/>
      <c r="J110" s="3455"/>
      <c r="K110" s="3455"/>
      <c r="L110" s="3455"/>
      <c r="M110" s="3455"/>
      <c r="N110" s="3455"/>
      <c r="O110" s="3455"/>
      <c r="P110" s="3455"/>
      <c r="Q110" s="3455"/>
      <c r="R110" s="3455"/>
      <c r="S110" s="3455"/>
      <c r="T110" s="3455"/>
      <c r="U110" s="3455"/>
    </row>
    <row r="111" spans="1:21" s="1011" customFormat="1" ht="14.25" customHeight="1">
      <c r="A111" s="3419" t="s">
        <v>1152</v>
      </c>
      <c r="B111" s="3419" t="s">
        <v>1136</v>
      </c>
      <c r="C111" s="3419">
        <v>12440</v>
      </c>
      <c r="D111" s="3419">
        <v>12380</v>
      </c>
      <c r="E111" s="3419">
        <v>17850</v>
      </c>
      <c r="F111" s="3425"/>
      <c r="G111" s="3425">
        <v>8180</v>
      </c>
      <c r="I111" s="1024"/>
      <c r="J111" s="3455"/>
      <c r="K111" s="3455"/>
      <c r="L111" s="3455"/>
      <c r="M111" s="3455"/>
      <c r="N111" s="3455"/>
      <c r="O111" s="3455"/>
      <c r="P111" s="3455"/>
      <c r="Q111" s="3455"/>
      <c r="R111" s="3455"/>
      <c r="S111" s="3455"/>
      <c r="T111" s="3455"/>
      <c r="U111" s="3455"/>
    </row>
    <row r="112" spans="1:21" s="1011" customFormat="1" ht="14.25" customHeight="1">
      <c r="A112" s="3419" t="s">
        <v>1152</v>
      </c>
      <c r="B112" s="3419" t="s">
        <v>1140</v>
      </c>
      <c r="C112" s="3419">
        <v>13260</v>
      </c>
      <c r="D112" s="3419">
        <v>13180</v>
      </c>
      <c r="E112" s="3419">
        <v>19740</v>
      </c>
      <c r="F112" s="3425"/>
      <c r="G112" s="3425">
        <v>8710</v>
      </c>
      <c r="I112" s="1024"/>
      <c r="J112" s="3455"/>
      <c r="K112" s="3455"/>
      <c r="L112" s="3455"/>
      <c r="M112" s="3455"/>
      <c r="N112" s="3455"/>
      <c r="O112" s="3455"/>
      <c r="P112" s="3455"/>
      <c r="Q112" s="3455"/>
      <c r="R112" s="3455"/>
      <c r="S112" s="3455"/>
      <c r="T112" s="3455"/>
      <c r="U112" s="3455"/>
    </row>
    <row r="113" spans="1:21" s="1011" customFormat="1" ht="14.25" customHeight="1">
      <c r="A113" s="3419" t="s">
        <v>1152</v>
      </c>
      <c r="B113" s="3419" t="s">
        <v>2840</v>
      </c>
      <c r="C113" s="3419">
        <v>15520</v>
      </c>
      <c r="D113" s="3419">
        <v>15450</v>
      </c>
      <c r="E113" s="3419"/>
      <c r="F113" s="3425"/>
      <c r="G113" s="3425">
        <v>10210</v>
      </c>
      <c r="I113" s="1024"/>
      <c r="J113" s="3455"/>
      <c r="K113" s="3455"/>
      <c r="L113" s="3455"/>
      <c r="M113" s="3455"/>
      <c r="N113" s="3455"/>
      <c r="O113" s="3455"/>
      <c r="P113" s="3455"/>
      <c r="Q113" s="3455"/>
      <c r="R113" s="3455"/>
      <c r="S113" s="3455"/>
      <c r="T113" s="3455"/>
      <c r="U113" s="3455"/>
    </row>
    <row r="114" spans="1:21" s="1011" customFormat="1" ht="14.25" customHeight="1">
      <c r="A114" s="3419" t="s">
        <v>1152</v>
      </c>
      <c r="B114" s="3419" t="s">
        <v>2841</v>
      </c>
      <c r="C114" s="3419">
        <v>13110</v>
      </c>
      <c r="D114" s="3419">
        <v>13050</v>
      </c>
      <c r="E114" s="3419"/>
      <c r="F114" s="3425"/>
      <c r="G114" s="3425">
        <v>8620</v>
      </c>
      <c r="I114" s="1024"/>
      <c r="J114" s="3455"/>
      <c r="K114" s="3455"/>
      <c r="L114" s="3455"/>
      <c r="M114" s="3455"/>
      <c r="N114" s="3455"/>
      <c r="O114" s="3455"/>
      <c r="P114" s="3455"/>
      <c r="Q114" s="3455"/>
      <c r="R114" s="3455"/>
      <c r="S114" s="3455"/>
      <c r="T114" s="3455"/>
      <c r="U114" s="3455"/>
    </row>
    <row r="115" spans="1:21" s="1011" customFormat="1" ht="14.25" customHeight="1">
      <c r="A115" s="3419" t="s">
        <v>1152</v>
      </c>
      <c r="B115" s="3419" t="s">
        <v>2842</v>
      </c>
      <c r="C115" s="3419">
        <v>12460</v>
      </c>
      <c r="D115" s="3419">
        <v>12390</v>
      </c>
      <c r="E115" s="3419"/>
      <c r="F115" s="3425"/>
      <c r="G115" s="3425">
        <v>8190</v>
      </c>
      <c r="I115" s="1024"/>
      <c r="J115" s="3455"/>
      <c r="K115" s="3455"/>
      <c r="L115" s="3455"/>
      <c r="M115" s="3455"/>
      <c r="N115" s="3455"/>
      <c r="O115" s="3455"/>
      <c r="P115" s="3455"/>
      <c r="Q115" s="3455"/>
      <c r="R115" s="3455"/>
      <c r="S115" s="3455"/>
      <c r="T115" s="3455"/>
      <c r="U115" s="3455"/>
    </row>
    <row r="116" spans="1:21" s="1011" customFormat="1" ht="14.25" customHeight="1">
      <c r="A116" s="3419" t="s">
        <v>1152</v>
      </c>
      <c r="B116" s="3419" t="s">
        <v>2843</v>
      </c>
      <c r="C116" s="3419">
        <v>13580</v>
      </c>
      <c r="D116" s="3419">
        <v>13520</v>
      </c>
      <c r="E116" s="3419"/>
      <c r="F116" s="3425"/>
      <c r="G116" s="3425">
        <v>8930</v>
      </c>
      <c r="I116" s="1024"/>
      <c r="J116" s="3455"/>
      <c r="K116" s="3455"/>
      <c r="L116" s="3455"/>
      <c r="M116" s="3455"/>
      <c r="N116" s="3455"/>
      <c r="O116" s="3455"/>
      <c r="P116" s="3455"/>
      <c r="Q116" s="3455"/>
      <c r="R116" s="3455"/>
      <c r="S116" s="3455"/>
      <c r="T116" s="3455"/>
      <c r="U116" s="3455"/>
    </row>
    <row r="117" spans="1:21" s="1011" customFormat="1" ht="14.25" customHeight="1">
      <c r="A117" s="3419" t="s">
        <v>1152</v>
      </c>
      <c r="B117" s="3419" t="s">
        <v>2844</v>
      </c>
      <c r="C117" s="3419">
        <v>17120</v>
      </c>
      <c r="D117" s="3419">
        <v>17040</v>
      </c>
      <c r="E117" s="3419"/>
      <c r="F117" s="3425"/>
      <c r="G117" s="3425">
        <v>11260</v>
      </c>
      <c r="I117" s="1024"/>
      <c r="J117" s="3455"/>
      <c r="K117" s="3455"/>
      <c r="L117" s="3455"/>
      <c r="M117" s="3455"/>
      <c r="N117" s="3455"/>
      <c r="O117" s="3455"/>
      <c r="P117" s="3455"/>
      <c r="Q117" s="3455"/>
      <c r="R117" s="3455"/>
      <c r="S117" s="3455"/>
      <c r="T117" s="3455"/>
      <c r="U117" s="3455"/>
    </row>
    <row r="118" spans="1:21" s="1011" customFormat="1" ht="14.25" customHeight="1">
      <c r="A118" s="3419" t="s">
        <v>1152</v>
      </c>
      <c r="B118" s="3419" t="s">
        <v>2845</v>
      </c>
      <c r="C118" s="3419">
        <v>14860</v>
      </c>
      <c r="D118" s="3419">
        <v>14790</v>
      </c>
      <c r="E118" s="3419"/>
      <c r="F118" s="3425"/>
      <c r="G118" s="3425">
        <v>9780</v>
      </c>
      <c r="I118" s="1024"/>
      <c r="J118" s="3455"/>
      <c r="K118" s="3455"/>
      <c r="L118" s="3455"/>
      <c r="M118" s="3455"/>
      <c r="N118" s="3455"/>
      <c r="O118" s="3455"/>
      <c r="P118" s="3455"/>
      <c r="Q118" s="3455"/>
      <c r="R118" s="3455"/>
      <c r="S118" s="3455"/>
      <c r="T118" s="3455"/>
      <c r="U118" s="3455"/>
    </row>
    <row r="119" spans="1:21" s="1011" customFormat="1" ht="14.25" customHeight="1">
      <c r="A119" s="3419" t="s">
        <v>1152</v>
      </c>
      <c r="B119" s="3419" t="s">
        <v>2846</v>
      </c>
      <c r="C119" s="3419">
        <v>16470</v>
      </c>
      <c r="D119" s="3419">
        <v>16400</v>
      </c>
      <c r="E119" s="3419"/>
      <c r="F119" s="3425"/>
      <c r="G119" s="3425">
        <v>10840</v>
      </c>
      <c r="I119" s="1024"/>
      <c r="J119" s="3455"/>
      <c r="K119" s="3455"/>
      <c r="L119" s="3455"/>
      <c r="M119" s="3455"/>
      <c r="N119" s="3455"/>
      <c r="O119" s="3455"/>
      <c r="P119" s="3455"/>
      <c r="Q119" s="3455"/>
      <c r="R119" s="3455"/>
      <c r="S119" s="3455"/>
      <c r="T119" s="3455"/>
      <c r="U119" s="3455"/>
    </row>
    <row r="120" spans="1:21" s="1011" customFormat="1" ht="14.25" customHeight="1">
      <c r="A120" s="3419" t="s">
        <v>1152</v>
      </c>
      <c r="B120" s="3419" t="s">
        <v>2847</v>
      </c>
      <c r="C120" s="3419"/>
      <c r="D120" s="3419"/>
      <c r="E120" s="3419"/>
      <c r="F120" s="3425">
        <v>4160</v>
      </c>
      <c r="G120" s="3425"/>
      <c r="I120" s="1024"/>
      <c r="J120" s="3455"/>
      <c r="K120" s="3455"/>
      <c r="L120" s="3455"/>
      <c r="M120" s="3455"/>
      <c r="N120" s="3455"/>
      <c r="O120" s="3455"/>
      <c r="P120" s="3455"/>
      <c r="Q120" s="3455"/>
      <c r="R120" s="3455"/>
      <c r="S120" s="3455"/>
      <c r="T120" s="3455"/>
      <c r="U120" s="3455"/>
    </row>
    <row r="121" spans="1:21" s="1011" customFormat="1" ht="14.25" customHeight="1">
      <c r="A121" s="3419" t="s">
        <v>1152</v>
      </c>
      <c r="B121" s="3419" t="s">
        <v>2848</v>
      </c>
      <c r="C121" s="3419"/>
      <c r="D121" s="3419"/>
      <c r="E121" s="3419"/>
      <c r="F121" s="3425">
        <v>3880</v>
      </c>
      <c r="G121" s="3425"/>
      <c r="I121" s="1024"/>
      <c r="J121" s="3455"/>
      <c r="K121" s="3455"/>
      <c r="L121" s="3455"/>
      <c r="M121" s="3455"/>
      <c r="N121" s="3455"/>
      <c r="O121" s="3455"/>
      <c r="P121" s="3455"/>
      <c r="Q121" s="3455"/>
      <c r="R121" s="3455"/>
      <c r="S121" s="3455"/>
      <c r="T121" s="3455"/>
      <c r="U121" s="3455"/>
    </row>
    <row r="122" spans="1:21" s="1011" customFormat="1" ht="14.25" customHeight="1">
      <c r="A122" s="3419" t="s">
        <v>1152</v>
      </c>
      <c r="B122" s="3419" t="s">
        <v>2849</v>
      </c>
      <c r="C122" s="3419">
        <v>13750</v>
      </c>
      <c r="D122" s="3419">
        <v>13680</v>
      </c>
      <c r="E122" s="3419">
        <v>16460</v>
      </c>
      <c r="F122" s="3425">
        <v>2880</v>
      </c>
      <c r="G122" s="3425">
        <v>9040</v>
      </c>
      <c r="I122" s="1024"/>
      <c r="J122" s="3455"/>
      <c r="K122" s="3455"/>
      <c r="L122" s="3455"/>
      <c r="M122" s="3455"/>
      <c r="N122" s="3455"/>
      <c r="O122" s="3455"/>
      <c r="P122" s="3455"/>
      <c r="Q122" s="3455"/>
      <c r="R122" s="3455"/>
      <c r="S122" s="3455"/>
      <c r="T122" s="3455"/>
      <c r="U122" s="3455"/>
    </row>
    <row r="123" spans="1:21" s="1011" customFormat="1" ht="14.25" customHeight="1">
      <c r="A123" s="3419" t="s">
        <v>1152</v>
      </c>
      <c r="B123" s="3419" t="s">
        <v>2850</v>
      </c>
      <c r="C123" s="3419">
        <v>13590</v>
      </c>
      <c r="D123" s="3419">
        <v>13520</v>
      </c>
      <c r="E123" s="3419">
        <v>16290</v>
      </c>
      <c r="F123" s="3425">
        <v>2790</v>
      </c>
      <c r="G123" s="3425">
        <v>8930</v>
      </c>
      <c r="I123" s="1024"/>
      <c r="J123" s="3455"/>
      <c r="K123" s="3455"/>
      <c r="L123" s="3455"/>
      <c r="M123" s="3455"/>
      <c r="N123" s="3455"/>
      <c r="O123" s="3455"/>
      <c r="P123" s="3455"/>
      <c r="Q123" s="3455"/>
      <c r="R123" s="3455"/>
      <c r="S123" s="3455"/>
      <c r="T123" s="3455"/>
      <c r="U123" s="3455"/>
    </row>
    <row r="124" spans="1:21" s="1011" customFormat="1" ht="14.25" customHeight="1">
      <c r="A124" s="3419" t="s">
        <v>1152</v>
      </c>
      <c r="B124" s="3419" t="s">
        <v>2851</v>
      </c>
      <c r="C124" s="3419">
        <v>13400</v>
      </c>
      <c r="D124" s="3419">
        <v>13320</v>
      </c>
      <c r="E124" s="3419">
        <v>16100</v>
      </c>
      <c r="F124" s="3425">
        <v>2320</v>
      </c>
      <c r="G124" s="3427">
        <v>8800</v>
      </c>
      <c r="I124" s="1024"/>
      <c r="J124" s="3455"/>
      <c r="K124" s="3455"/>
      <c r="L124" s="3455"/>
      <c r="M124" s="3455"/>
      <c r="N124" s="3455"/>
      <c r="O124" s="3455"/>
      <c r="P124" s="3455"/>
      <c r="Q124" s="3455"/>
      <c r="R124" s="3455"/>
      <c r="S124" s="3455"/>
      <c r="T124" s="3455"/>
      <c r="U124" s="3455"/>
    </row>
    <row r="125" spans="1:21" s="1011" customFormat="1" ht="14.25" customHeight="1">
      <c r="A125" s="3419" t="s">
        <v>1152</v>
      </c>
      <c r="B125" s="1286" t="s">
        <v>2852</v>
      </c>
      <c r="C125" s="1286">
        <v>12860</v>
      </c>
      <c r="D125" s="1286">
        <v>12790</v>
      </c>
      <c r="E125" s="1286">
        <v>15370</v>
      </c>
      <c r="F125" s="3430">
        <v>2280</v>
      </c>
      <c r="G125" s="3437">
        <v>8450</v>
      </c>
      <c r="I125" s="1024"/>
      <c r="J125" s="3455"/>
      <c r="K125" s="3455"/>
      <c r="L125" s="3455"/>
      <c r="M125" s="3455"/>
      <c r="N125" s="3455"/>
      <c r="O125" s="3455"/>
      <c r="P125" s="3455"/>
      <c r="Q125" s="3455"/>
      <c r="R125" s="3455"/>
      <c r="S125" s="3455"/>
      <c r="T125" s="3455"/>
      <c r="U125" s="3455"/>
    </row>
    <row r="126" spans="1:21" s="1011" customFormat="1" ht="14.25" customHeight="1" thickBot="1">
      <c r="A126" s="3434" t="s">
        <v>1152</v>
      </c>
      <c r="B126" s="3422" t="s">
        <v>2853</v>
      </c>
      <c r="C126" s="3422">
        <v>12960</v>
      </c>
      <c r="D126" s="3422">
        <v>12890</v>
      </c>
      <c r="E126" s="3422">
        <v>15530</v>
      </c>
      <c r="F126" s="3423">
        <v>2910</v>
      </c>
      <c r="G126" s="3438">
        <v>8520</v>
      </c>
      <c r="I126" s="1024"/>
      <c r="J126" s="3455"/>
      <c r="K126" s="3455"/>
      <c r="L126" s="3455"/>
      <c r="M126" s="3455"/>
      <c r="N126" s="3455"/>
      <c r="O126" s="3455"/>
      <c r="P126" s="3455"/>
      <c r="Q126" s="3455"/>
      <c r="R126" s="3455"/>
      <c r="S126" s="3455"/>
      <c r="T126" s="3455"/>
      <c r="U126" s="3455"/>
    </row>
    <row r="127" spans="1:21" s="1011" customFormat="1" ht="14.25" customHeight="1">
      <c r="A127" s="3433" t="s">
        <v>1153</v>
      </c>
      <c r="B127" s="1288" t="s">
        <v>2854</v>
      </c>
      <c r="C127" s="1288">
        <v>12280</v>
      </c>
      <c r="D127" s="1288">
        <v>12250</v>
      </c>
      <c r="E127" s="1288">
        <v>15130</v>
      </c>
      <c r="F127" s="3420">
        <v>2710</v>
      </c>
      <c r="G127" s="3436">
        <v>7870</v>
      </c>
      <c r="I127" s="1024"/>
      <c r="J127" s="3455"/>
      <c r="K127" s="3455"/>
      <c r="L127" s="3455"/>
      <c r="M127" s="3455"/>
      <c r="N127" s="3455"/>
      <c r="O127" s="3455"/>
      <c r="P127" s="3455"/>
      <c r="Q127" s="3455"/>
      <c r="R127" s="3455"/>
      <c r="S127" s="3455"/>
      <c r="T127" s="3455"/>
      <c r="U127" s="3455"/>
    </row>
    <row r="128" spans="1:21" s="1011" customFormat="1" ht="14.25" customHeight="1">
      <c r="A128" s="3419" t="s">
        <v>1153</v>
      </c>
      <c r="B128" s="3419" t="s">
        <v>977</v>
      </c>
      <c r="C128" s="3419">
        <v>13180</v>
      </c>
      <c r="D128" s="3419">
        <v>13150</v>
      </c>
      <c r="E128" s="3419">
        <v>16190</v>
      </c>
      <c r="F128" s="3425">
        <v>2820</v>
      </c>
      <c r="G128" s="3427">
        <v>8460</v>
      </c>
      <c r="I128" s="1024"/>
      <c r="J128" s="3455"/>
      <c r="K128" s="3455"/>
      <c r="L128" s="3455"/>
      <c r="M128" s="3455"/>
      <c r="N128" s="3455"/>
      <c r="O128" s="3455"/>
      <c r="P128" s="3455"/>
      <c r="Q128" s="3455"/>
      <c r="R128" s="3455"/>
      <c r="S128" s="3455"/>
      <c r="T128" s="3455"/>
      <c r="U128" s="3455"/>
    </row>
    <row r="129" spans="1:21" s="1011" customFormat="1" ht="14.25" customHeight="1">
      <c r="A129" s="3419" t="s">
        <v>1153</v>
      </c>
      <c r="B129" s="3419" t="s">
        <v>987</v>
      </c>
      <c r="C129" s="3419">
        <v>10950</v>
      </c>
      <c r="D129" s="3419">
        <v>10920</v>
      </c>
      <c r="E129" s="3419">
        <v>13820</v>
      </c>
      <c r="F129" s="3425">
        <v>2500</v>
      </c>
      <c r="G129" s="3427">
        <v>7020</v>
      </c>
      <c r="I129" s="1024"/>
      <c r="J129" s="3455"/>
      <c r="K129" s="3455"/>
      <c r="L129" s="3455"/>
      <c r="M129" s="3455"/>
      <c r="N129" s="3455"/>
      <c r="O129" s="3455"/>
      <c r="P129" s="3455"/>
      <c r="Q129" s="3455"/>
      <c r="R129" s="3455"/>
      <c r="S129" s="3455"/>
      <c r="T129" s="3455"/>
      <c r="U129" s="3455"/>
    </row>
    <row r="130" spans="1:21" s="1011" customFormat="1" ht="14.25" customHeight="1">
      <c r="A130" s="3419" t="s">
        <v>1153</v>
      </c>
      <c r="B130" s="3419" t="s">
        <v>996</v>
      </c>
      <c r="C130" s="3419">
        <v>10910</v>
      </c>
      <c r="D130" s="3419">
        <v>10860</v>
      </c>
      <c r="E130" s="3419">
        <v>13730</v>
      </c>
      <c r="F130" s="3425">
        <v>2760</v>
      </c>
      <c r="G130" s="3427">
        <v>6990</v>
      </c>
      <c r="I130" s="1024"/>
      <c r="J130" s="3455"/>
      <c r="K130" s="3455"/>
      <c r="L130" s="3455"/>
      <c r="M130" s="3455"/>
      <c r="N130" s="3455"/>
      <c r="O130" s="3455"/>
      <c r="P130" s="3455"/>
      <c r="Q130" s="3455"/>
      <c r="R130" s="3455"/>
      <c r="S130" s="3455"/>
      <c r="T130" s="3455"/>
      <c r="U130" s="3455"/>
    </row>
    <row r="131" spans="1:21" s="1011" customFormat="1" ht="14.25" customHeight="1">
      <c r="A131" s="3419" t="s">
        <v>1153</v>
      </c>
      <c r="B131" s="3419" t="s">
        <v>1006</v>
      </c>
      <c r="C131" s="3419">
        <v>12910</v>
      </c>
      <c r="D131" s="3419">
        <v>12870</v>
      </c>
      <c r="E131" s="3419">
        <v>15720</v>
      </c>
      <c r="F131" s="3425">
        <v>2750</v>
      </c>
      <c r="G131" s="3427">
        <v>8280</v>
      </c>
      <c r="I131" s="1024"/>
      <c r="J131" s="3455"/>
      <c r="K131" s="3455"/>
      <c r="L131" s="3455"/>
      <c r="M131" s="3455"/>
      <c r="N131" s="3455"/>
      <c r="O131" s="3455"/>
      <c r="P131" s="3455"/>
      <c r="Q131" s="3455"/>
      <c r="R131" s="3455"/>
      <c r="S131" s="3455"/>
      <c r="T131" s="3455"/>
      <c r="U131" s="3455"/>
    </row>
    <row r="132" spans="1:21" s="1011" customFormat="1" ht="14.25" customHeight="1">
      <c r="A132" s="3419" t="s">
        <v>1153</v>
      </c>
      <c r="B132" s="3419" t="s">
        <v>1013</v>
      </c>
      <c r="C132" s="3419">
        <v>11910</v>
      </c>
      <c r="D132" s="3419">
        <v>11860</v>
      </c>
      <c r="E132" s="3419">
        <v>14730</v>
      </c>
      <c r="F132" s="3425">
        <v>2360</v>
      </c>
      <c r="G132" s="3427">
        <v>7630</v>
      </c>
      <c r="I132" s="1024"/>
      <c r="J132" s="3455"/>
      <c r="K132" s="3455"/>
      <c r="L132" s="3455"/>
      <c r="M132" s="3455"/>
      <c r="N132" s="3455"/>
      <c r="O132" s="3455"/>
      <c r="P132" s="3455"/>
      <c r="Q132" s="3455"/>
      <c r="R132" s="3455"/>
      <c r="S132" s="3455"/>
      <c r="T132" s="3455"/>
      <c r="U132" s="3455"/>
    </row>
    <row r="133" spans="1:21" s="1011" customFormat="1" ht="14.25" customHeight="1">
      <c r="A133" s="3419" t="s">
        <v>1153</v>
      </c>
      <c r="B133" s="3419" t="s">
        <v>1019</v>
      </c>
      <c r="C133" s="3419">
        <v>12270</v>
      </c>
      <c r="D133" s="3419">
        <v>12210</v>
      </c>
      <c r="E133" s="3419">
        <v>15010</v>
      </c>
      <c r="F133" s="3425">
        <v>2580</v>
      </c>
      <c r="G133" s="3427">
        <v>7860</v>
      </c>
      <c r="I133" s="1024"/>
      <c r="J133" s="3455"/>
      <c r="K133" s="3455"/>
      <c r="L133" s="3455"/>
      <c r="M133" s="3455"/>
      <c r="N133" s="3455"/>
      <c r="O133" s="3455"/>
      <c r="P133" s="3455"/>
      <c r="Q133" s="3455"/>
      <c r="R133" s="3455"/>
      <c r="S133" s="3455"/>
      <c r="T133" s="3455"/>
      <c r="U133" s="3455"/>
    </row>
    <row r="134" spans="1:21" s="1011" customFormat="1" ht="14.25" customHeight="1">
      <c r="A134" s="3419" t="s">
        <v>1153</v>
      </c>
      <c r="B134" s="3419" t="s">
        <v>1026</v>
      </c>
      <c r="C134" s="3419">
        <v>10800</v>
      </c>
      <c r="D134" s="3419">
        <v>10780</v>
      </c>
      <c r="E134" s="3419">
        <v>13640</v>
      </c>
      <c r="F134" s="3425">
        <v>2110</v>
      </c>
      <c r="G134" s="3425">
        <v>6930</v>
      </c>
      <c r="I134" s="1024"/>
      <c r="J134" s="3455"/>
      <c r="K134" s="3455"/>
      <c r="L134" s="3455"/>
      <c r="M134" s="3455"/>
      <c r="N134" s="3455"/>
      <c r="O134" s="3455"/>
      <c r="P134" s="3455"/>
      <c r="Q134" s="3455"/>
      <c r="R134" s="3455"/>
      <c r="S134" s="3455"/>
      <c r="T134" s="3455"/>
      <c r="U134" s="3455"/>
    </row>
    <row r="135" spans="1:21" s="1011" customFormat="1" ht="14.25" customHeight="1">
      <c r="A135" s="3419" t="s">
        <v>1153</v>
      </c>
      <c r="B135" s="3419" t="s">
        <v>1036</v>
      </c>
      <c r="C135" s="3419">
        <v>10430</v>
      </c>
      <c r="D135" s="3419">
        <v>10390</v>
      </c>
      <c r="E135" s="3419">
        <v>13140</v>
      </c>
      <c r="F135" s="3425">
        <v>2240</v>
      </c>
      <c r="G135" s="3427">
        <v>6680</v>
      </c>
      <c r="I135" s="1024"/>
      <c r="J135" s="3455"/>
      <c r="K135" s="3455"/>
      <c r="L135" s="3455"/>
      <c r="M135" s="3455"/>
      <c r="N135" s="3455"/>
      <c r="O135" s="3455"/>
      <c r="P135" s="3455"/>
      <c r="Q135" s="3455"/>
      <c r="R135" s="3455"/>
      <c r="S135" s="3455"/>
      <c r="T135" s="3455"/>
      <c r="U135" s="3455"/>
    </row>
    <row r="136" spans="1:21" s="1011" customFormat="1" ht="14.25" customHeight="1">
      <c r="A136" s="3419" t="s">
        <v>1153</v>
      </c>
      <c r="B136" s="3419" t="s">
        <v>1045</v>
      </c>
      <c r="C136" s="3419">
        <v>11930</v>
      </c>
      <c r="D136" s="3419">
        <v>11880</v>
      </c>
      <c r="E136" s="3419">
        <v>14770</v>
      </c>
      <c r="F136" s="3425">
        <v>1970</v>
      </c>
      <c r="G136" s="3427">
        <v>7640</v>
      </c>
      <c r="I136" s="1024"/>
      <c r="J136" s="3455"/>
      <c r="K136" s="3455"/>
      <c r="L136" s="3455"/>
      <c r="M136" s="3455"/>
      <c r="N136" s="3455"/>
      <c r="O136" s="3455"/>
      <c r="P136" s="3455"/>
      <c r="Q136" s="3455"/>
      <c r="R136" s="3455"/>
      <c r="S136" s="3455"/>
      <c r="T136" s="3455"/>
      <c r="U136" s="3455"/>
    </row>
    <row r="137" spans="1:21" s="1011" customFormat="1" ht="14.25" customHeight="1">
      <c r="A137" s="3419" t="s">
        <v>1153</v>
      </c>
      <c r="B137" s="3419" t="s">
        <v>1052</v>
      </c>
      <c r="C137" s="3419">
        <v>10470</v>
      </c>
      <c r="D137" s="3419">
        <v>10430</v>
      </c>
      <c r="E137" s="3419">
        <v>13190</v>
      </c>
      <c r="F137" s="3425">
        <v>1990</v>
      </c>
      <c r="G137" s="3427">
        <v>6710</v>
      </c>
      <c r="I137" s="1024"/>
      <c r="J137" s="3455"/>
      <c r="K137" s="3455"/>
      <c r="L137" s="3455"/>
      <c r="M137" s="3455"/>
      <c r="N137" s="3455"/>
      <c r="O137" s="3455"/>
      <c r="P137" s="3455"/>
      <c r="Q137" s="3455"/>
      <c r="R137" s="3455"/>
      <c r="S137" s="3455"/>
      <c r="T137" s="3455"/>
      <c r="U137" s="3455"/>
    </row>
    <row r="138" spans="1:21" s="1011" customFormat="1" ht="14.25" customHeight="1">
      <c r="A138" s="3419" t="s">
        <v>1153</v>
      </c>
      <c r="B138" s="3419" t="s">
        <v>1059</v>
      </c>
      <c r="C138" s="3419">
        <v>10410</v>
      </c>
      <c r="D138" s="3419">
        <v>10380</v>
      </c>
      <c r="E138" s="3419">
        <v>13130</v>
      </c>
      <c r="F138" s="3425">
        <v>2030</v>
      </c>
      <c r="G138" s="3427">
        <v>6680</v>
      </c>
      <c r="I138" s="1024"/>
      <c r="J138" s="3455"/>
      <c r="K138" s="3455"/>
      <c r="L138" s="3455"/>
      <c r="M138" s="3455"/>
      <c r="N138" s="3455"/>
      <c r="O138" s="3455"/>
      <c r="P138" s="3455"/>
      <c r="Q138" s="3455"/>
      <c r="R138" s="3455"/>
      <c r="S138" s="3455"/>
      <c r="T138" s="3455"/>
      <c r="U138" s="3455"/>
    </row>
    <row r="139" spans="1:21" s="1011" customFormat="1" ht="14.25" customHeight="1">
      <c r="A139" s="3419" t="s">
        <v>1153</v>
      </c>
      <c r="B139" s="3419" t="s">
        <v>1066</v>
      </c>
      <c r="C139" s="3419">
        <v>9460</v>
      </c>
      <c r="D139" s="3419">
        <v>9410</v>
      </c>
      <c r="E139" s="3419">
        <v>12050</v>
      </c>
      <c r="F139" s="3425">
        <v>2140</v>
      </c>
      <c r="G139" s="3425">
        <v>6050</v>
      </c>
      <c r="I139" s="1024"/>
      <c r="J139" s="3455"/>
      <c r="K139" s="3455"/>
      <c r="L139" s="3455"/>
      <c r="M139" s="3455"/>
      <c r="N139" s="3455"/>
      <c r="O139" s="3455"/>
      <c r="P139" s="3455"/>
      <c r="Q139" s="3455"/>
      <c r="R139" s="3455"/>
      <c r="S139" s="3455"/>
      <c r="T139" s="3455"/>
      <c r="U139" s="3455"/>
    </row>
    <row r="140" spans="1:21" s="1011" customFormat="1" ht="14.25" customHeight="1">
      <c r="A140" s="3419" t="s">
        <v>1153</v>
      </c>
      <c r="B140" s="3419" t="s">
        <v>1074</v>
      </c>
      <c r="C140" s="3419">
        <v>11030</v>
      </c>
      <c r="D140" s="3419">
        <v>10980</v>
      </c>
      <c r="E140" s="3419">
        <v>13880</v>
      </c>
      <c r="F140" s="3425">
        <v>2210</v>
      </c>
      <c r="G140" s="3425">
        <v>7060</v>
      </c>
      <c r="I140" s="1024"/>
      <c r="J140" s="3455"/>
      <c r="K140" s="3455"/>
      <c r="L140" s="3455"/>
      <c r="M140" s="3455"/>
      <c r="N140" s="3455"/>
      <c r="O140" s="3455"/>
      <c r="P140" s="3455"/>
      <c r="Q140" s="3455"/>
      <c r="R140" s="3455"/>
      <c r="S140" s="3455"/>
      <c r="T140" s="3455"/>
      <c r="U140" s="3455"/>
    </row>
    <row r="141" spans="1:21" s="1011" customFormat="1" ht="14.25" customHeight="1">
      <c r="A141" s="3419" t="s">
        <v>1153</v>
      </c>
      <c r="B141" s="3419" t="s">
        <v>1082</v>
      </c>
      <c r="C141" s="3419">
        <v>11200</v>
      </c>
      <c r="D141" s="3419">
        <v>11150</v>
      </c>
      <c r="E141" s="3419">
        <v>14100</v>
      </c>
      <c r="F141" s="3425">
        <v>2470</v>
      </c>
      <c r="G141" s="3427">
        <v>7170</v>
      </c>
      <c r="I141" s="1024"/>
      <c r="J141" s="3455"/>
      <c r="K141" s="3455"/>
      <c r="L141" s="3455"/>
      <c r="M141" s="3455"/>
      <c r="N141" s="3455"/>
      <c r="O141" s="3455"/>
      <c r="P141" s="3455"/>
      <c r="Q141" s="3455"/>
      <c r="R141" s="3455"/>
      <c r="S141" s="3455"/>
      <c r="T141" s="3455"/>
      <c r="U141" s="3455"/>
    </row>
    <row r="142" spans="1:21" s="1011" customFormat="1" ht="14.25" customHeight="1">
      <c r="A142" s="3419" t="s">
        <v>1153</v>
      </c>
      <c r="B142" s="3419" t="s">
        <v>1087</v>
      </c>
      <c r="C142" s="3419">
        <v>10780</v>
      </c>
      <c r="D142" s="3419">
        <v>10730</v>
      </c>
      <c r="E142" s="3419">
        <v>13540</v>
      </c>
      <c r="F142" s="3425">
        <v>2280</v>
      </c>
      <c r="G142" s="3427">
        <v>6900</v>
      </c>
      <c r="I142" s="1024"/>
      <c r="J142" s="3455"/>
      <c r="K142" s="3455"/>
      <c r="L142" s="3455"/>
      <c r="M142" s="3455"/>
      <c r="N142" s="3455"/>
      <c r="O142" s="3455"/>
      <c r="P142" s="3455"/>
      <c r="Q142" s="3455"/>
      <c r="R142" s="3455"/>
      <c r="S142" s="3455"/>
      <c r="T142" s="3455"/>
      <c r="U142" s="3455"/>
    </row>
    <row r="143" spans="1:21" s="1011" customFormat="1" ht="14.25" customHeight="1">
      <c r="A143" s="3419" t="s">
        <v>1153</v>
      </c>
      <c r="B143" s="3419" t="s">
        <v>1096</v>
      </c>
      <c r="C143" s="3419">
        <v>11550</v>
      </c>
      <c r="D143" s="3419">
        <v>11490</v>
      </c>
      <c r="E143" s="3419">
        <v>14480</v>
      </c>
      <c r="F143" s="3425">
        <v>2070</v>
      </c>
      <c r="G143" s="3427">
        <v>7390</v>
      </c>
      <c r="I143" s="1024"/>
      <c r="J143" s="3455"/>
      <c r="K143" s="3455"/>
      <c r="L143" s="3455"/>
      <c r="M143" s="3455"/>
      <c r="N143" s="3455"/>
      <c r="O143" s="3455"/>
      <c r="P143" s="3455"/>
      <c r="Q143" s="3455"/>
      <c r="R143" s="3455"/>
      <c r="S143" s="3455"/>
      <c r="T143" s="3455"/>
      <c r="U143" s="3455"/>
    </row>
    <row r="144" spans="1:21" s="1011" customFormat="1" ht="14.25" customHeight="1">
      <c r="A144" s="3419" t="s">
        <v>1153</v>
      </c>
      <c r="B144" s="3419" t="s">
        <v>1103</v>
      </c>
      <c r="C144" s="3419">
        <v>10720</v>
      </c>
      <c r="D144" s="3419">
        <v>10680</v>
      </c>
      <c r="E144" s="3419">
        <v>13480</v>
      </c>
      <c r="F144" s="3425">
        <v>2440</v>
      </c>
      <c r="G144" s="3427">
        <v>6870</v>
      </c>
      <c r="I144" s="1024"/>
      <c r="J144" s="3455"/>
      <c r="K144" s="3455"/>
      <c r="L144" s="3455"/>
      <c r="M144" s="3455"/>
      <c r="N144" s="3455"/>
      <c r="O144" s="3455"/>
      <c r="P144" s="3455"/>
      <c r="Q144" s="3455"/>
      <c r="R144" s="3455"/>
      <c r="S144" s="3455"/>
      <c r="T144" s="3455"/>
      <c r="U144" s="3455"/>
    </row>
    <row r="145" spans="1:21" s="1011" customFormat="1" ht="14.25" customHeight="1">
      <c r="A145" s="3419" t="s">
        <v>1153</v>
      </c>
      <c r="B145" s="3419" t="s">
        <v>1111</v>
      </c>
      <c r="C145" s="3419">
        <v>10340</v>
      </c>
      <c r="D145" s="3419">
        <v>10290</v>
      </c>
      <c r="E145" s="3419">
        <v>12880</v>
      </c>
      <c r="F145" s="3425">
        <v>2650</v>
      </c>
      <c r="G145" s="3425">
        <v>6620</v>
      </c>
      <c r="I145" s="1024"/>
      <c r="J145" s="3455"/>
      <c r="K145" s="3455"/>
      <c r="L145" s="3455"/>
      <c r="M145" s="3455"/>
      <c r="N145" s="3455"/>
      <c r="O145" s="3455"/>
      <c r="P145" s="3455"/>
      <c r="Q145" s="3455"/>
      <c r="R145" s="3455"/>
      <c r="S145" s="3455"/>
      <c r="T145" s="3455"/>
      <c r="U145" s="3455"/>
    </row>
    <row r="146" spans="1:21" s="1011" customFormat="1" ht="14.25" customHeight="1">
      <c r="A146" s="3419" t="s">
        <v>1153</v>
      </c>
      <c r="B146" s="3419" t="s">
        <v>1118</v>
      </c>
      <c r="C146" s="3419">
        <v>11890</v>
      </c>
      <c r="D146" s="3419">
        <v>11830</v>
      </c>
      <c r="E146" s="3419">
        <v>14670</v>
      </c>
      <c r="F146" s="3425"/>
      <c r="G146" s="3425">
        <v>7610</v>
      </c>
      <c r="I146" s="1024"/>
      <c r="J146" s="3455"/>
      <c r="K146" s="3455"/>
      <c r="L146" s="3455"/>
      <c r="M146" s="3455"/>
      <c r="N146" s="3455"/>
      <c r="O146" s="3455"/>
      <c r="P146" s="3455"/>
      <c r="Q146" s="3455"/>
      <c r="R146" s="3455"/>
      <c r="S146" s="3455"/>
      <c r="T146" s="3455"/>
      <c r="U146" s="3455"/>
    </row>
    <row r="147" spans="1:21" s="1011" customFormat="1" ht="14.25" customHeight="1">
      <c r="A147" s="3419" t="s">
        <v>1153</v>
      </c>
      <c r="B147" s="3419" t="s">
        <v>1122</v>
      </c>
      <c r="C147" s="3419">
        <v>12650</v>
      </c>
      <c r="D147" s="3419">
        <v>12600</v>
      </c>
      <c r="E147" s="3419">
        <v>15440</v>
      </c>
      <c r="F147" s="3425"/>
      <c r="G147" s="3425">
        <v>8110</v>
      </c>
      <c r="I147" s="1024"/>
      <c r="J147" s="3455"/>
      <c r="K147" s="3455"/>
      <c r="L147" s="3455"/>
      <c r="M147" s="3455"/>
      <c r="N147" s="3455"/>
      <c r="O147" s="3455"/>
      <c r="P147" s="3455"/>
      <c r="Q147" s="3455"/>
      <c r="R147" s="3455"/>
      <c r="S147" s="3455"/>
      <c r="T147" s="3455"/>
      <c r="U147" s="3455"/>
    </row>
    <row r="148" spans="1:21" s="1011" customFormat="1" ht="14.25" customHeight="1">
      <c r="A148" s="3419" t="s">
        <v>1153</v>
      </c>
      <c r="B148" s="3419" t="s">
        <v>2855</v>
      </c>
      <c r="C148" s="3419">
        <v>10370</v>
      </c>
      <c r="D148" s="3419">
        <v>10310</v>
      </c>
      <c r="E148" s="3419">
        <v>12970</v>
      </c>
      <c r="F148" s="3425"/>
      <c r="G148" s="3425">
        <v>6630</v>
      </c>
      <c r="I148" s="1024"/>
      <c r="J148" s="3455"/>
      <c r="K148" s="3455"/>
      <c r="L148" s="3455"/>
      <c r="M148" s="3455"/>
      <c r="N148" s="3455"/>
      <c r="O148" s="3455"/>
      <c r="P148" s="3455"/>
      <c r="Q148" s="3455"/>
      <c r="R148" s="3455"/>
      <c r="S148" s="3455"/>
      <c r="T148" s="3455"/>
      <c r="U148" s="3455"/>
    </row>
    <row r="149" spans="1:21" s="1011" customFormat="1" ht="14.25" customHeight="1">
      <c r="A149" s="3419" t="s">
        <v>1153</v>
      </c>
      <c r="B149" s="3419" t="s">
        <v>2856</v>
      </c>
      <c r="C149" s="3419">
        <v>11600</v>
      </c>
      <c r="D149" s="3419">
        <v>11560</v>
      </c>
      <c r="E149" s="3419">
        <v>14540</v>
      </c>
      <c r="F149" s="3425">
        <v>2390</v>
      </c>
      <c r="G149" s="3425">
        <v>7430</v>
      </c>
      <c r="I149" s="1024"/>
      <c r="J149" s="3455"/>
      <c r="K149" s="3455"/>
      <c r="L149" s="3455"/>
      <c r="M149" s="3455"/>
      <c r="N149" s="3455"/>
      <c r="O149" s="3455"/>
      <c r="P149" s="3455"/>
      <c r="Q149" s="3455"/>
      <c r="R149" s="3455"/>
      <c r="S149" s="3455"/>
      <c r="T149" s="3455"/>
      <c r="U149" s="3455"/>
    </row>
    <row r="150" spans="1:21" s="1011" customFormat="1" ht="14.25" customHeight="1">
      <c r="A150" s="3419" t="s">
        <v>1153</v>
      </c>
      <c r="B150" s="3419" t="s">
        <v>1141</v>
      </c>
      <c r="C150" s="3419">
        <v>9950</v>
      </c>
      <c r="D150" s="3419">
        <v>9890</v>
      </c>
      <c r="E150" s="3419">
        <v>12590</v>
      </c>
      <c r="F150" s="3425">
        <v>1970</v>
      </c>
      <c r="G150" s="3425">
        <v>6360</v>
      </c>
      <c r="I150" s="1024"/>
      <c r="J150" s="3455"/>
      <c r="K150" s="3455"/>
      <c r="L150" s="3455"/>
      <c r="M150" s="3455"/>
      <c r="N150" s="3455"/>
      <c r="O150" s="3455"/>
      <c r="P150" s="3455"/>
      <c r="Q150" s="3455"/>
      <c r="R150" s="3455"/>
      <c r="S150" s="3455"/>
      <c r="T150" s="3455"/>
      <c r="U150" s="3455"/>
    </row>
    <row r="151" spans="1:21" s="1011" customFormat="1" ht="14.25" customHeight="1">
      <c r="A151" s="3419" t="s">
        <v>1153</v>
      </c>
      <c r="B151" s="3419" t="s">
        <v>1143</v>
      </c>
      <c r="C151" s="3419">
        <v>10700</v>
      </c>
      <c r="D151" s="3419">
        <v>10650</v>
      </c>
      <c r="E151" s="3419">
        <v>13420</v>
      </c>
      <c r="F151" s="3425">
        <v>2020</v>
      </c>
      <c r="G151" s="3425">
        <v>6850</v>
      </c>
      <c r="I151" s="1024"/>
      <c r="J151" s="3455"/>
      <c r="K151" s="3455"/>
      <c r="L151" s="3455"/>
      <c r="M151" s="3455"/>
      <c r="N151" s="3455"/>
      <c r="O151" s="3455"/>
      <c r="P151" s="3455"/>
      <c r="Q151" s="3455"/>
      <c r="R151" s="3455"/>
      <c r="S151" s="3455"/>
      <c r="T151" s="3455"/>
      <c r="U151" s="3455"/>
    </row>
    <row r="152" spans="1:21" s="1011" customFormat="1" ht="14.25" customHeight="1">
      <c r="A152" s="3419" t="s">
        <v>1153</v>
      </c>
      <c r="B152" s="3419" t="s">
        <v>1146</v>
      </c>
      <c r="C152" s="3419">
        <v>10310</v>
      </c>
      <c r="D152" s="3419">
        <v>10260</v>
      </c>
      <c r="E152" s="3419">
        <v>12820</v>
      </c>
      <c r="F152" s="3425">
        <v>1980</v>
      </c>
      <c r="G152" s="3425">
        <v>6600</v>
      </c>
      <c r="I152" s="1024"/>
      <c r="J152" s="3455"/>
      <c r="K152" s="3455"/>
      <c r="L152" s="3455"/>
      <c r="M152" s="3455"/>
      <c r="N152" s="3455"/>
      <c r="O152" s="3455"/>
      <c r="P152" s="3455"/>
      <c r="Q152" s="3455"/>
      <c r="R152" s="3455"/>
      <c r="S152" s="3455"/>
      <c r="T152" s="3455"/>
      <c r="U152" s="3455"/>
    </row>
    <row r="153" spans="1:21" s="1011" customFormat="1" ht="14.25" customHeight="1">
      <c r="A153" s="3419" t="s">
        <v>1153</v>
      </c>
      <c r="B153" s="3419" t="s">
        <v>2857</v>
      </c>
      <c r="C153" s="3419">
        <v>10880</v>
      </c>
      <c r="D153" s="3419">
        <v>10820</v>
      </c>
      <c r="E153" s="3419">
        <v>13660</v>
      </c>
      <c r="F153" s="3425">
        <v>2260</v>
      </c>
      <c r="G153" s="3425">
        <v>6970</v>
      </c>
      <c r="I153" s="1024"/>
      <c r="J153" s="3455"/>
      <c r="K153" s="3455"/>
      <c r="L153" s="3455"/>
      <c r="M153" s="3455"/>
      <c r="N153" s="3455"/>
      <c r="O153" s="3455"/>
      <c r="P153" s="3455"/>
      <c r="Q153" s="3455"/>
      <c r="R153" s="3455"/>
      <c r="S153" s="3455"/>
      <c r="T153" s="3455"/>
      <c r="U153" s="3455"/>
    </row>
    <row r="154" spans="1:21" s="1011" customFormat="1" ht="14.25" customHeight="1">
      <c r="A154" s="3419" t="s">
        <v>1153</v>
      </c>
      <c r="B154" s="3419" t="s">
        <v>2858</v>
      </c>
      <c r="C154" s="3419">
        <v>11220</v>
      </c>
      <c r="D154" s="3419">
        <v>11160</v>
      </c>
      <c r="E154" s="3419">
        <v>14130</v>
      </c>
      <c r="F154" s="3425">
        <v>2230</v>
      </c>
      <c r="G154" s="3425">
        <v>7180</v>
      </c>
      <c r="I154" s="1024"/>
      <c r="J154" s="3455"/>
      <c r="K154" s="3455"/>
      <c r="L154" s="3455"/>
      <c r="M154" s="3455"/>
      <c r="N154" s="3455"/>
      <c r="O154" s="3455"/>
      <c r="P154" s="3455"/>
      <c r="Q154" s="3455"/>
      <c r="R154" s="3455"/>
      <c r="S154" s="3455"/>
      <c r="T154" s="3455"/>
      <c r="U154" s="3455"/>
    </row>
    <row r="155" spans="1:21" s="1011" customFormat="1" ht="14.25" customHeight="1">
      <c r="A155" s="3419" t="s">
        <v>1153</v>
      </c>
      <c r="B155" s="3419" t="s">
        <v>2859</v>
      </c>
      <c r="C155" s="3419">
        <v>10430</v>
      </c>
      <c r="D155" s="3419">
        <v>10380</v>
      </c>
      <c r="E155" s="3419">
        <v>13140</v>
      </c>
      <c r="F155" s="3425">
        <v>2080</v>
      </c>
      <c r="G155" s="3425">
        <v>6650</v>
      </c>
      <c r="I155" s="1024"/>
      <c r="J155" s="3455"/>
      <c r="K155" s="3455"/>
      <c r="L155" s="3455"/>
      <c r="M155" s="3455"/>
      <c r="N155" s="3455"/>
      <c r="O155" s="3455"/>
      <c r="P155" s="3455"/>
      <c r="Q155" s="3455"/>
      <c r="R155" s="3455"/>
      <c r="S155" s="3455"/>
      <c r="T155" s="3455"/>
      <c r="U155" s="3455"/>
    </row>
    <row r="156" spans="1:21" s="1011" customFormat="1" ht="14.25" customHeight="1">
      <c r="A156" s="3419" t="s">
        <v>1153</v>
      </c>
      <c r="B156" s="3419" t="s">
        <v>2860</v>
      </c>
      <c r="C156" s="3419">
        <v>10440</v>
      </c>
      <c r="D156" s="3419">
        <v>10400</v>
      </c>
      <c r="E156" s="3419">
        <v>13150</v>
      </c>
      <c r="F156" s="3425">
        <v>2490</v>
      </c>
      <c r="G156" s="3425">
        <v>6690</v>
      </c>
      <c r="I156" s="1024"/>
      <c r="J156" s="3455"/>
      <c r="K156" s="3455"/>
      <c r="L156" s="3455"/>
      <c r="M156" s="3455"/>
      <c r="N156" s="3455"/>
      <c r="O156" s="3455"/>
      <c r="P156" s="3455"/>
      <c r="Q156" s="3455"/>
      <c r="R156" s="3455"/>
      <c r="S156" s="3455"/>
      <c r="T156" s="3455"/>
      <c r="U156" s="3455"/>
    </row>
    <row r="157" spans="1:21" s="1011" customFormat="1" ht="14.25" customHeight="1">
      <c r="A157" s="3419" t="s">
        <v>1153</v>
      </c>
      <c r="B157" s="3419" t="s">
        <v>1149</v>
      </c>
      <c r="C157" s="3419">
        <v>10970</v>
      </c>
      <c r="D157" s="3419">
        <v>10920</v>
      </c>
      <c r="E157" s="3419">
        <v>13840</v>
      </c>
      <c r="F157" s="3425">
        <v>2420</v>
      </c>
      <c r="G157" s="3432">
        <v>7020</v>
      </c>
      <c r="I157" s="1024"/>
      <c r="J157" s="3455"/>
      <c r="K157" s="3455"/>
      <c r="L157" s="3455"/>
      <c r="M157" s="3455"/>
      <c r="N157" s="3455"/>
      <c r="O157" s="3455"/>
      <c r="P157" s="3455"/>
      <c r="Q157" s="3455"/>
      <c r="R157" s="3455"/>
      <c r="S157" s="3455"/>
      <c r="T157" s="3455"/>
      <c r="U157" s="3455"/>
    </row>
    <row r="158" spans="1:21" s="1011" customFormat="1" ht="14.25" customHeight="1">
      <c r="A158" s="1288" t="s">
        <v>1153</v>
      </c>
      <c r="B158" s="1288" t="s">
        <v>1150</v>
      </c>
      <c r="C158" s="1288">
        <v>9590</v>
      </c>
      <c r="D158" s="1288">
        <v>9540</v>
      </c>
      <c r="E158" s="1288">
        <v>12210</v>
      </c>
      <c r="F158" s="3420">
        <v>2100</v>
      </c>
      <c r="G158" s="3420">
        <v>6130</v>
      </c>
      <c r="I158" s="1024"/>
      <c r="J158" s="3455"/>
      <c r="K158" s="3455"/>
      <c r="L158" s="3455"/>
      <c r="M158" s="3455"/>
      <c r="N158" s="3455"/>
      <c r="O158" s="3455"/>
      <c r="P158" s="3455"/>
      <c r="Q158" s="3455"/>
      <c r="R158" s="3455"/>
      <c r="S158" s="3455"/>
      <c r="T158" s="3455"/>
      <c r="U158" s="3455"/>
    </row>
    <row r="159" spans="1:21" s="1011" customFormat="1" ht="14.25" customHeight="1">
      <c r="A159" s="3419" t="s">
        <v>1153</v>
      </c>
      <c r="B159" s="3419" t="s">
        <v>1151</v>
      </c>
      <c r="C159" s="3419">
        <v>11190</v>
      </c>
      <c r="D159" s="3419">
        <v>11140</v>
      </c>
      <c r="E159" s="3419">
        <v>14090</v>
      </c>
      <c r="F159" s="3425">
        <v>2470</v>
      </c>
      <c r="G159" s="3425">
        <v>7170</v>
      </c>
      <c r="I159" s="1024"/>
      <c r="J159" s="3455"/>
      <c r="K159" s="3455"/>
      <c r="L159" s="3455"/>
      <c r="M159" s="3455"/>
      <c r="N159" s="3455"/>
      <c r="O159" s="3455"/>
      <c r="P159" s="3455"/>
      <c r="Q159" s="3455"/>
      <c r="R159" s="3455"/>
      <c r="S159" s="3455"/>
      <c r="T159" s="3455"/>
      <c r="U159" s="3455"/>
    </row>
    <row r="160" spans="1:21" s="1011" customFormat="1" ht="14.25" customHeight="1">
      <c r="A160" s="3419" t="s">
        <v>1153</v>
      </c>
      <c r="B160" s="3419" t="s">
        <v>2861</v>
      </c>
      <c r="C160" s="3419">
        <v>11180</v>
      </c>
      <c r="D160" s="3419">
        <v>11140</v>
      </c>
      <c r="E160" s="3419">
        <v>14050</v>
      </c>
      <c r="F160" s="3425">
        <v>2270</v>
      </c>
      <c r="G160" s="3425">
        <v>7170</v>
      </c>
      <c r="I160" s="1024"/>
      <c r="J160" s="3455"/>
      <c r="K160" s="3455"/>
      <c r="L160" s="3455"/>
      <c r="M160" s="3455"/>
      <c r="N160" s="3455"/>
      <c r="O160" s="3455"/>
      <c r="P160" s="3455"/>
      <c r="Q160" s="3455"/>
      <c r="R160" s="3455"/>
      <c r="S160" s="3455"/>
      <c r="T160" s="3455"/>
      <c r="U160" s="3455"/>
    </row>
    <row r="161" spans="1:21" s="1011" customFormat="1" ht="14.25" customHeight="1">
      <c r="A161" s="3419" t="s">
        <v>1153</v>
      </c>
      <c r="B161" s="3419" t="s">
        <v>2862</v>
      </c>
      <c r="C161" s="3419">
        <v>11160</v>
      </c>
      <c r="D161" s="3419">
        <v>11120</v>
      </c>
      <c r="E161" s="3419">
        <v>14020</v>
      </c>
      <c r="F161" s="3425">
        <v>2150</v>
      </c>
      <c r="G161" s="3425">
        <v>7160</v>
      </c>
      <c r="I161" s="1024"/>
      <c r="J161" s="3455"/>
      <c r="K161" s="3455"/>
      <c r="L161" s="3455"/>
      <c r="M161" s="3455"/>
      <c r="N161" s="3455"/>
      <c r="O161" s="3455"/>
      <c r="P161" s="3455"/>
      <c r="Q161" s="3455"/>
      <c r="R161" s="3455"/>
      <c r="S161" s="3455"/>
      <c r="T161" s="3455"/>
      <c r="U161" s="3455"/>
    </row>
    <row r="162" spans="1:21" s="1011" customFormat="1" ht="14.25" customHeight="1">
      <c r="A162" s="3419" t="s">
        <v>1153</v>
      </c>
      <c r="B162" s="3419" t="s">
        <v>2863</v>
      </c>
      <c r="C162" s="3419">
        <v>9620</v>
      </c>
      <c r="D162" s="3419">
        <v>9570</v>
      </c>
      <c r="E162" s="3419">
        <v>12320</v>
      </c>
      <c r="F162" s="3425">
        <v>2010</v>
      </c>
      <c r="G162" s="3425">
        <v>6160</v>
      </c>
      <c r="I162" s="1024"/>
      <c r="J162" s="3455"/>
      <c r="K162" s="3455"/>
      <c r="L162" s="3455"/>
      <c r="M162" s="3455"/>
      <c r="N162" s="3455"/>
      <c r="O162" s="3455"/>
      <c r="P162" s="3455"/>
      <c r="Q162" s="3455"/>
      <c r="R162" s="3455"/>
      <c r="S162" s="3455"/>
      <c r="T162" s="3455"/>
      <c r="U162" s="3455"/>
    </row>
    <row r="163" spans="1:21" s="1011" customFormat="1" ht="14.25" customHeight="1">
      <c r="A163" s="3419" t="s">
        <v>1153</v>
      </c>
      <c r="B163" s="3419" t="s">
        <v>2864</v>
      </c>
      <c r="C163" s="3419">
        <v>9320</v>
      </c>
      <c r="D163" s="3419">
        <v>9270</v>
      </c>
      <c r="E163" s="3419">
        <v>11790</v>
      </c>
      <c r="F163" s="3425">
        <v>1920</v>
      </c>
      <c r="G163" s="3425">
        <v>5960</v>
      </c>
      <c r="I163" s="1024"/>
      <c r="J163" s="3455"/>
      <c r="K163" s="3455"/>
      <c r="L163" s="3455"/>
      <c r="M163" s="3455"/>
      <c r="N163" s="3455"/>
      <c r="O163" s="3455"/>
      <c r="P163" s="3455"/>
      <c r="Q163" s="3455"/>
      <c r="R163" s="3455"/>
      <c r="S163" s="3455"/>
      <c r="T163" s="3455"/>
      <c r="U163" s="3455"/>
    </row>
    <row r="164" spans="1:21" s="1011" customFormat="1" ht="14.25" customHeight="1">
      <c r="A164" s="3419" t="s">
        <v>1153</v>
      </c>
      <c r="B164" s="3419" t="s">
        <v>2865</v>
      </c>
      <c r="C164" s="3419"/>
      <c r="D164" s="3419"/>
      <c r="E164" s="3419"/>
      <c r="F164" s="3425">
        <v>1980</v>
      </c>
      <c r="G164" s="3425"/>
      <c r="I164" s="1024"/>
      <c r="J164" s="3455"/>
      <c r="K164" s="3455"/>
      <c r="L164" s="3455"/>
      <c r="M164" s="3455"/>
      <c r="N164" s="3455"/>
      <c r="O164" s="3455"/>
      <c r="P164" s="3455"/>
      <c r="Q164" s="3455"/>
      <c r="R164" s="3455"/>
      <c r="S164" s="3455"/>
      <c r="T164" s="3455"/>
      <c r="U164" s="3455"/>
    </row>
    <row r="165" spans="1:21" s="1011" customFormat="1" ht="14.25" customHeight="1">
      <c r="A165" s="3419" t="s">
        <v>1153</v>
      </c>
      <c r="B165" s="3419" t="s">
        <v>2866</v>
      </c>
      <c r="C165" s="3419">
        <v>11060</v>
      </c>
      <c r="D165" s="3419">
        <v>11030</v>
      </c>
      <c r="E165" s="3419">
        <v>13850</v>
      </c>
      <c r="F165" s="3425">
        <v>2170</v>
      </c>
      <c r="G165" s="3425">
        <v>7090</v>
      </c>
      <c r="I165" s="1024"/>
      <c r="J165" s="3455"/>
      <c r="K165" s="3455"/>
      <c r="L165" s="3455"/>
      <c r="M165" s="3455"/>
      <c r="N165" s="3455"/>
      <c r="O165" s="3455"/>
      <c r="P165" s="3455"/>
      <c r="Q165" s="3455"/>
      <c r="R165" s="3455"/>
      <c r="S165" s="3455"/>
      <c r="T165" s="3455"/>
      <c r="U165" s="3455"/>
    </row>
    <row r="166" spans="1:21" s="1011" customFormat="1" ht="14.25" customHeight="1">
      <c r="A166" s="3419" t="s">
        <v>1153</v>
      </c>
      <c r="B166" s="3419" t="s">
        <v>2867</v>
      </c>
      <c r="C166" s="3419">
        <v>11050</v>
      </c>
      <c r="D166" s="3419">
        <v>11010</v>
      </c>
      <c r="E166" s="3419">
        <v>13920</v>
      </c>
      <c r="F166" s="3425">
        <v>2140</v>
      </c>
      <c r="G166" s="3425">
        <v>7080</v>
      </c>
      <c r="I166" s="1024"/>
      <c r="J166" s="3455"/>
      <c r="K166" s="3455"/>
      <c r="L166" s="3455"/>
      <c r="M166" s="3455"/>
      <c r="N166" s="3455"/>
      <c r="O166" s="3455"/>
      <c r="P166" s="3455"/>
      <c r="Q166" s="3455"/>
      <c r="R166" s="3455"/>
      <c r="S166" s="3455"/>
      <c r="T166" s="3455"/>
      <c r="U166" s="3455"/>
    </row>
    <row r="167" spans="1:21" s="1011" customFormat="1" ht="14.25" customHeight="1">
      <c r="A167" s="3419" t="s">
        <v>1153</v>
      </c>
      <c r="B167" s="3419" t="s">
        <v>2868</v>
      </c>
      <c r="C167" s="3419">
        <v>10930</v>
      </c>
      <c r="D167" s="3419">
        <v>10890</v>
      </c>
      <c r="E167" s="3419">
        <v>13790</v>
      </c>
      <c r="F167" s="3425">
        <v>2010</v>
      </c>
      <c r="G167" s="3427">
        <v>7000</v>
      </c>
      <c r="I167" s="1024"/>
      <c r="J167" s="3455"/>
      <c r="K167" s="3455"/>
      <c r="L167" s="3455"/>
      <c r="M167" s="3455"/>
      <c r="N167" s="3455"/>
      <c r="O167" s="3455"/>
      <c r="P167" s="3455"/>
      <c r="Q167" s="3455"/>
      <c r="R167" s="3455"/>
      <c r="S167" s="3455"/>
      <c r="T167" s="3455"/>
      <c r="U167" s="3455"/>
    </row>
    <row r="168" spans="1:21" s="1011" customFormat="1" ht="14.25" customHeight="1">
      <c r="A168" s="3419" t="s">
        <v>1153</v>
      </c>
      <c r="B168" s="3419" t="s">
        <v>2869</v>
      </c>
      <c r="C168" s="3419">
        <v>9420</v>
      </c>
      <c r="D168" s="3419">
        <v>9380</v>
      </c>
      <c r="E168" s="3419">
        <v>11970</v>
      </c>
      <c r="F168" s="3425"/>
      <c r="G168" s="3427">
        <v>6040</v>
      </c>
      <c r="I168" s="1024"/>
      <c r="J168" s="3455"/>
      <c r="K168" s="3455"/>
      <c r="L168" s="3455"/>
      <c r="M168" s="3455"/>
      <c r="N168" s="3455"/>
      <c r="O168" s="3455"/>
      <c r="P168" s="3455"/>
      <c r="Q168" s="3455"/>
      <c r="R168" s="3455"/>
      <c r="S168" s="3455"/>
      <c r="T168" s="3455"/>
      <c r="U168" s="3455"/>
    </row>
    <row r="169" spans="1:21" s="1011" customFormat="1" ht="14.25" customHeight="1">
      <c r="A169" s="3419" t="s">
        <v>1153</v>
      </c>
      <c r="B169" s="3419" t="s">
        <v>2870</v>
      </c>
      <c r="C169" s="3419"/>
      <c r="D169" s="3419"/>
      <c r="E169" s="3419"/>
      <c r="F169" s="3425">
        <v>2880</v>
      </c>
      <c r="G169" s="3427"/>
      <c r="I169" s="1024"/>
      <c r="J169" s="3455"/>
      <c r="K169" s="3455"/>
      <c r="L169" s="3455"/>
      <c r="M169" s="3455"/>
      <c r="N169" s="3455"/>
      <c r="O169" s="3455"/>
      <c r="P169" s="3455"/>
      <c r="Q169" s="3455"/>
      <c r="R169" s="3455"/>
      <c r="S169" s="3455"/>
      <c r="T169" s="3455"/>
      <c r="U169" s="3455"/>
    </row>
    <row r="170" spans="1:21" s="1011" customFormat="1" ht="14.25" customHeight="1">
      <c r="A170" s="3419" t="s">
        <v>1153</v>
      </c>
      <c r="B170" s="3419" t="s">
        <v>2871</v>
      </c>
      <c r="C170" s="3419"/>
      <c r="D170" s="3419"/>
      <c r="E170" s="3419"/>
      <c r="F170" s="3425">
        <v>2880</v>
      </c>
      <c r="G170" s="3427"/>
      <c r="I170" s="1024"/>
      <c r="J170" s="3455"/>
      <c r="K170" s="3455"/>
      <c r="L170" s="3455"/>
      <c r="M170" s="3455"/>
      <c r="N170" s="3455"/>
      <c r="O170" s="3455"/>
      <c r="P170" s="3455"/>
      <c r="Q170" s="3455"/>
      <c r="R170" s="3455"/>
      <c r="S170" s="3455"/>
      <c r="T170" s="3455"/>
      <c r="U170" s="3455"/>
    </row>
    <row r="171" spans="1:21" s="1011" customFormat="1" ht="14.25" customHeight="1">
      <c r="A171" s="3419" t="s">
        <v>1153</v>
      </c>
      <c r="B171" s="3419" t="s">
        <v>2872</v>
      </c>
      <c r="C171" s="3419"/>
      <c r="D171" s="3419"/>
      <c r="E171" s="3419"/>
      <c r="F171" s="3425">
        <v>2880</v>
      </c>
      <c r="G171" s="3425"/>
      <c r="I171" s="1024"/>
      <c r="J171" s="3455"/>
      <c r="K171" s="3455"/>
      <c r="L171" s="3455"/>
      <c r="M171" s="3455"/>
      <c r="N171" s="3455"/>
      <c r="O171" s="3455"/>
      <c r="P171" s="3455"/>
      <c r="Q171" s="3455"/>
      <c r="R171" s="3455"/>
      <c r="S171" s="3455"/>
      <c r="T171" s="3455"/>
      <c r="U171" s="3455"/>
    </row>
    <row r="172" spans="1:21" s="1011" customFormat="1" ht="14.25" customHeight="1">
      <c r="A172" s="3419" t="s">
        <v>1153</v>
      </c>
      <c r="B172" s="3419" t="s">
        <v>2873</v>
      </c>
      <c r="C172" s="3419"/>
      <c r="D172" s="3419"/>
      <c r="E172" s="3419"/>
      <c r="F172" s="3425">
        <v>2880</v>
      </c>
      <c r="G172" s="3427"/>
      <c r="I172" s="1024"/>
      <c r="J172" s="3455"/>
      <c r="K172" s="3455"/>
      <c r="L172" s="3455"/>
      <c r="M172" s="3455"/>
      <c r="N172" s="3455"/>
      <c r="O172" s="3455"/>
      <c r="P172" s="3455"/>
      <c r="Q172" s="3455"/>
      <c r="R172" s="3455"/>
      <c r="S172" s="3455"/>
      <c r="T172" s="3455"/>
      <c r="U172" s="3455"/>
    </row>
    <row r="173" spans="1:21" s="1011" customFormat="1" ht="14.25" customHeight="1">
      <c r="A173" s="3419" t="s">
        <v>1153</v>
      </c>
      <c r="B173" s="3419" t="s">
        <v>2874</v>
      </c>
      <c r="C173" s="3419"/>
      <c r="D173" s="3419"/>
      <c r="E173" s="3419"/>
      <c r="F173" s="3425">
        <v>2150</v>
      </c>
      <c r="G173" s="3427"/>
      <c r="I173" s="1024"/>
      <c r="J173" s="3455"/>
      <c r="K173" s="3455"/>
      <c r="L173" s="3455"/>
      <c r="M173" s="3455"/>
      <c r="N173" s="3455"/>
      <c r="O173" s="3455"/>
      <c r="P173" s="3455"/>
      <c r="Q173" s="3455"/>
      <c r="R173" s="3455"/>
      <c r="S173" s="3455"/>
      <c r="T173" s="3455"/>
      <c r="U173" s="3455"/>
    </row>
    <row r="174" spans="1:21" s="1011" customFormat="1" ht="14.25" customHeight="1">
      <c r="A174" s="3419" t="s">
        <v>1153</v>
      </c>
      <c r="B174" s="3419" t="s">
        <v>2875</v>
      </c>
      <c r="C174" s="3419"/>
      <c r="D174" s="3419"/>
      <c r="E174" s="3419"/>
      <c r="F174" s="3425">
        <v>2030</v>
      </c>
      <c r="G174" s="3425"/>
      <c r="I174" s="1024"/>
      <c r="J174" s="3455"/>
      <c r="K174" s="3455"/>
      <c r="L174" s="3455"/>
      <c r="M174" s="3455"/>
      <c r="N174" s="3455"/>
      <c r="O174" s="3455"/>
      <c r="P174" s="3455"/>
      <c r="Q174" s="3455"/>
      <c r="R174" s="3455"/>
      <c r="S174" s="3455"/>
      <c r="T174" s="3455"/>
      <c r="U174" s="3455"/>
    </row>
    <row r="175" spans="1:21" s="1011" customFormat="1" ht="14.25" customHeight="1">
      <c r="A175" s="3419" t="s">
        <v>1153</v>
      </c>
      <c r="B175" s="3419" t="s">
        <v>2876</v>
      </c>
      <c r="C175" s="3419"/>
      <c r="D175" s="3419"/>
      <c r="E175" s="3419"/>
      <c r="F175" s="3425">
        <v>2780</v>
      </c>
      <c r="G175" s="3425"/>
      <c r="I175" s="1024"/>
      <c r="J175" s="3455"/>
      <c r="K175" s="3455"/>
      <c r="L175" s="3455"/>
      <c r="M175" s="3455"/>
      <c r="N175" s="3455"/>
      <c r="O175" s="3455"/>
      <c r="P175" s="3455"/>
      <c r="Q175" s="3455"/>
      <c r="R175" s="3455"/>
      <c r="S175" s="3455"/>
      <c r="T175" s="3455"/>
      <c r="U175" s="3455"/>
    </row>
    <row r="176" spans="1:21" s="1011" customFormat="1" ht="14.25" customHeight="1">
      <c r="A176" s="3419" t="s">
        <v>1153</v>
      </c>
      <c r="B176" s="3419" t="s">
        <v>2877</v>
      </c>
      <c r="C176" s="3419"/>
      <c r="D176" s="3419"/>
      <c r="E176" s="3419"/>
      <c r="F176" s="3425">
        <v>2780</v>
      </c>
      <c r="G176" s="3425"/>
      <c r="I176" s="1024"/>
      <c r="J176" s="3455"/>
      <c r="K176" s="3455"/>
      <c r="L176" s="3455"/>
      <c r="M176" s="3455"/>
      <c r="N176" s="3455"/>
      <c r="O176" s="3455"/>
      <c r="P176" s="3455"/>
      <c r="Q176" s="3455"/>
      <c r="R176" s="3455"/>
      <c r="S176" s="3455"/>
      <c r="T176" s="3455"/>
      <c r="U176" s="3455"/>
    </row>
    <row r="177" spans="1:21" s="1011" customFormat="1" ht="14.25" customHeight="1">
      <c r="A177" s="3419" t="s">
        <v>1153</v>
      </c>
      <c r="B177" s="3419" t="s">
        <v>2878</v>
      </c>
      <c r="C177" s="3419"/>
      <c r="D177" s="3419"/>
      <c r="E177" s="3419"/>
      <c r="F177" s="3425">
        <v>2780</v>
      </c>
      <c r="G177" s="3425"/>
      <c r="I177" s="1024"/>
      <c r="J177" s="3455"/>
      <c r="K177" s="3455"/>
      <c r="L177" s="3455"/>
      <c r="M177" s="3455"/>
      <c r="N177" s="3455"/>
      <c r="O177" s="3455"/>
      <c r="P177" s="3455"/>
      <c r="Q177" s="3455"/>
      <c r="R177" s="3455"/>
      <c r="S177" s="3455"/>
      <c r="T177" s="3455"/>
      <c r="U177" s="3455"/>
    </row>
    <row r="178" spans="1:21" s="1011" customFormat="1" ht="14.25" customHeight="1">
      <c r="A178" s="3419" t="s">
        <v>1153</v>
      </c>
      <c r="B178" s="3419" t="s">
        <v>2879</v>
      </c>
      <c r="C178" s="3419"/>
      <c r="D178" s="3419"/>
      <c r="E178" s="3419"/>
      <c r="F178" s="3425">
        <v>2060</v>
      </c>
      <c r="G178" s="3425"/>
      <c r="I178" s="1024"/>
      <c r="J178" s="3455"/>
      <c r="K178" s="3455"/>
      <c r="L178" s="3455"/>
      <c r="M178" s="3455"/>
      <c r="N178" s="3455"/>
      <c r="O178" s="3455"/>
      <c r="P178" s="3455"/>
      <c r="Q178" s="3455"/>
      <c r="R178" s="3455"/>
      <c r="S178" s="3455"/>
      <c r="T178" s="3455"/>
      <c r="U178" s="3455"/>
    </row>
    <row r="179" spans="1:21" s="1011" customFormat="1" ht="14.25" customHeight="1">
      <c r="A179" s="3419" t="s">
        <v>1153</v>
      </c>
      <c r="B179" s="3419" t="s">
        <v>2880</v>
      </c>
      <c r="C179" s="3419"/>
      <c r="D179" s="3419"/>
      <c r="E179" s="3419"/>
      <c r="F179" s="3425">
        <v>2120</v>
      </c>
      <c r="G179" s="3427"/>
      <c r="I179" s="1024"/>
      <c r="J179" s="3455"/>
      <c r="K179" s="3455"/>
      <c r="L179" s="3455"/>
      <c r="M179" s="3455"/>
      <c r="N179" s="3455"/>
      <c r="O179" s="3455"/>
      <c r="P179" s="3455"/>
      <c r="Q179" s="3455"/>
      <c r="R179" s="3455"/>
      <c r="S179" s="3455"/>
      <c r="T179" s="3455"/>
      <c r="U179" s="3455"/>
    </row>
    <row r="180" spans="1:21" s="1011" customFormat="1" ht="14.25" customHeight="1">
      <c r="A180" s="3419" t="s">
        <v>1153</v>
      </c>
      <c r="B180" s="3419" t="s">
        <v>2881</v>
      </c>
      <c r="C180" s="3419"/>
      <c r="D180" s="3419"/>
      <c r="E180" s="3419"/>
      <c r="F180" s="3425">
        <v>2340</v>
      </c>
      <c r="G180" s="3425"/>
      <c r="I180" s="1024"/>
      <c r="J180" s="3455"/>
      <c r="K180" s="3455"/>
      <c r="L180" s="3455"/>
      <c r="M180" s="3455"/>
      <c r="N180" s="3455"/>
      <c r="O180" s="3455"/>
      <c r="P180" s="3455"/>
      <c r="Q180" s="3455"/>
      <c r="R180" s="3455"/>
      <c r="S180" s="3455"/>
      <c r="T180" s="3455"/>
      <c r="U180" s="3455"/>
    </row>
    <row r="181" spans="1:21" s="1011" customFormat="1" ht="14.25" customHeight="1">
      <c r="A181" s="3419" t="s">
        <v>1153</v>
      </c>
      <c r="B181" s="3419" t="s">
        <v>2882</v>
      </c>
      <c r="C181" s="3419"/>
      <c r="D181" s="3419"/>
      <c r="E181" s="3419"/>
      <c r="F181" s="3425">
        <v>2340</v>
      </c>
      <c r="G181" s="3425"/>
      <c r="I181" s="1024"/>
      <c r="J181" s="3455"/>
      <c r="K181" s="3455"/>
      <c r="L181" s="3455"/>
      <c r="M181" s="3455"/>
      <c r="N181" s="3455"/>
      <c r="O181" s="3455"/>
      <c r="P181" s="3455"/>
      <c r="Q181" s="3455"/>
      <c r="R181" s="3455"/>
      <c r="S181" s="3455"/>
      <c r="T181" s="3455"/>
      <c r="U181" s="3455"/>
    </row>
    <row r="182" spans="1:21" s="1011" customFormat="1" ht="14.25" customHeight="1">
      <c r="A182" s="3419" t="s">
        <v>1153</v>
      </c>
      <c r="B182" s="3419" t="s">
        <v>2883</v>
      </c>
      <c r="C182" s="3419"/>
      <c r="D182" s="3419"/>
      <c r="E182" s="3419"/>
      <c r="F182" s="3425">
        <v>2340</v>
      </c>
      <c r="G182" s="3425"/>
      <c r="I182" s="1024"/>
      <c r="J182" s="3455"/>
      <c r="K182" s="3455"/>
      <c r="L182" s="3455"/>
      <c r="M182" s="3455"/>
      <c r="N182" s="3455"/>
      <c r="O182" s="3455"/>
      <c r="P182" s="3455"/>
      <c r="Q182" s="3455"/>
      <c r="R182" s="3455"/>
      <c r="S182" s="3455"/>
      <c r="T182" s="3455"/>
      <c r="U182" s="3455"/>
    </row>
    <row r="183" spans="1:21" s="1011" customFormat="1" ht="14.25" customHeight="1">
      <c r="A183" s="3419" t="s">
        <v>1153</v>
      </c>
      <c r="B183" s="3419" t="s">
        <v>2884</v>
      </c>
      <c r="C183" s="3419"/>
      <c r="D183" s="3419"/>
      <c r="E183" s="3419"/>
      <c r="F183" s="3425">
        <v>2340</v>
      </c>
      <c r="G183" s="3427"/>
      <c r="I183" s="1024"/>
      <c r="J183" s="3455"/>
      <c r="K183" s="3455"/>
      <c r="L183" s="3455"/>
      <c r="M183" s="3455"/>
      <c r="N183" s="3455"/>
      <c r="O183" s="3455"/>
      <c r="P183" s="3455"/>
      <c r="Q183" s="3455"/>
      <c r="R183" s="3455"/>
      <c r="S183" s="3455"/>
      <c r="T183" s="3455"/>
      <c r="U183" s="3455"/>
    </row>
    <row r="184" spans="1:21" s="1011" customFormat="1" ht="14.25" customHeight="1">
      <c r="A184" s="3419" t="s">
        <v>1153</v>
      </c>
      <c r="B184" s="3419" t="s">
        <v>2885</v>
      </c>
      <c r="C184" s="3419"/>
      <c r="D184" s="3419"/>
      <c r="E184" s="3419"/>
      <c r="F184" s="3425">
        <v>2340</v>
      </c>
      <c r="G184" s="3427"/>
      <c r="I184" s="1024"/>
      <c r="J184" s="3455"/>
      <c r="K184" s="3455"/>
      <c r="L184" s="3455"/>
      <c r="M184" s="3455"/>
      <c r="N184" s="3455"/>
      <c r="O184" s="3455"/>
      <c r="P184" s="3455"/>
      <c r="Q184" s="3455"/>
      <c r="R184" s="3455"/>
      <c r="S184" s="3455"/>
      <c r="T184" s="3455"/>
      <c r="U184" s="3455"/>
    </row>
    <row r="185" spans="1:21" s="1011" customFormat="1" ht="14.25" customHeight="1">
      <c r="A185" s="3419" t="s">
        <v>1153</v>
      </c>
      <c r="B185" s="3419" t="s">
        <v>2886</v>
      </c>
      <c r="C185" s="3419"/>
      <c r="D185" s="3419"/>
      <c r="E185" s="3419"/>
      <c r="F185" s="3425">
        <v>2530</v>
      </c>
      <c r="G185" s="3425"/>
      <c r="I185" s="1024"/>
      <c r="J185" s="3455"/>
      <c r="K185" s="3455"/>
      <c r="L185" s="3455"/>
      <c r="M185" s="3455"/>
      <c r="N185" s="3455"/>
      <c r="O185" s="3455"/>
      <c r="P185" s="3455"/>
      <c r="Q185" s="3455"/>
      <c r="R185" s="3455"/>
      <c r="S185" s="3455"/>
      <c r="T185" s="3455"/>
      <c r="U185" s="3455"/>
    </row>
    <row r="186" spans="1:21" s="1011" customFormat="1" ht="14.25" customHeight="1">
      <c r="A186" s="3419" t="s">
        <v>1153</v>
      </c>
      <c r="B186" s="3419" t="s">
        <v>2887</v>
      </c>
      <c r="C186" s="3419"/>
      <c r="D186" s="3419"/>
      <c r="E186" s="3419"/>
      <c r="F186" s="3425">
        <v>2550</v>
      </c>
      <c r="G186" s="3425"/>
      <c r="I186" s="1024"/>
      <c r="J186" s="3455"/>
      <c r="K186" s="3455"/>
      <c r="L186" s="3455"/>
      <c r="M186" s="3455"/>
      <c r="N186" s="3455"/>
      <c r="O186" s="3455"/>
      <c r="P186" s="3455"/>
      <c r="Q186" s="3455"/>
      <c r="R186" s="3455"/>
      <c r="S186" s="3455"/>
      <c r="T186" s="3455"/>
      <c r="U186" s="3455"/>
    </row>
    <row r="187" spans="1:21" s="1011" customFormat="1" ht="14.25" customHeight="1">
      <c r="A187" s="3419" t="s">
        <v>1153</v>
      </c>
      <c r="B187" s="3419" t="s">
        <v>2888</v>
      </c>
      <c r="C187" s="3419"/>
      <c r="D187" s="3419"/>
      <c r="E187" s="3419"/>
      <c r="F187" s="3425">
        <v>2070</v>
      </c>
      <c r="G187" s="3425"/>
      <c r="I187" s="1024"/>
      <c r="J187" s="3455"/>
      <c r="K187" s="3455"/>
      <c r="L187" s="3455"/>
      <c r="M187" s="3455"/>
      <c r="N187" s="3455"/>
      <c r="O187" s="3455"/>
      <c r="P187" s="3455"/>
      <c r="Q187" s="3455"/>
      <c r="R187" s="3455"/>
      <c r="S187" s="3455"/>
      <c r="T187" s="3455"/>
      <c r="U187" s="3455"/>
    </row>
    <row r="188" spans="1:21" s="1011" customFormat="1" ht="14.25" customHeight="1">
      <c r="A188" s="3419" t="s">
        <v>1153</v>
      </c>
      <c r="B188" s="3419" t="s">
        <v>2889</v>
      </c>
      <c r="C188" s="3419"/>
      <c r="D188" s="3419"/>
      <c r="E188" s="3419"/>
      <c r="F188" s="3425">
        <v>2340</v>
      </c>
      <c r="G188" s="3425"/>
      <c r="I188" s="1024"/>
      <c r="J188" s="3455"/>
      <c r="K188" s="3455"/>
      <c r="L188" s="3455"/>
      <c r="M188" s="3455"/>
      <c r="N188" s="3455"/>
      <c r="O188" s="3455"/>
      <c r="P188" s="3455"/>
      <c r="Q188" s="3455"/>
      <c r="R188" s="3455"/>
      <c r="S188" s="3455"/>
      <c r="T188" s="3455"/>
      <c r="U188" s="3455"/>
    </row>
    <row r="189" spans="1:21" s="1011" customFormat="1" ht="14.25" customHeight="1" thickBot="1">
      <c r="A189" s="3434" t="s">
        <v>1153</v>
      </c>
      <c r="B189" s="3422" t="s">
        <v>2890</v>
      </c>
      <c r="C189" s="3422"/>
      <c r="D189" s="3422"/>
      <c r="E189" s="3422"/>
      <c r="F189" s="3423">
        <v>2050</v>
      </c>
      <c r="G189" s="3435"/>
      <c r="I189" s="1024"/>
      <c r="J189" s="3455"/>
      <c r="K189" s="3455"/>
      <c r="L189" s="3455"/>
      <c r="M189" s="3455"/>
      <c r="N189" s="3455"/>
      <c r="O189" s="3455"/>
      <c r="P189" s="3455"/>
      <c r="Q189" s="3455"/>
      <c r="R189" s="3455"/>
      <c r="S189" s="3455"/>
      <c r="T189" s="3455"/>
      <c r="U189" s="3455"/>
    </row>
    <row r="190" spans="1:21" s="1011" customFormat="1" ht="14.25" customHeight="1">
      <c r="A190" s="3433" t="s">
        <v>1154</v>
      </c>
      <c r="B190" s="1288" t="s">
        <v>2891</v>
      </c>
      <c r="C190" s="1288">
        <v>8830</v>
      </c>
      <c r="D190" s="1288">
        <v>8790</v>
      </c>
      <c r="E190" s="1288">
        <v>11630</v>
      </c>
      <c r="F190" s="3420">
        <v>1790</v>
      </c>
      <c r="G190" s="3420">
        <v>5550</v>
      </c>
      <c r="I190" s="1024"/>
      <c r="J190" s="3455"/>
      <c r="K190" s="3455"/>
      <c r="L190" s="3455"/>
      <c r="M190" s="3455"/>
      <c r="N190" s="3455"/>
      <c r="O190" s="3455"/>
      <c r="P190" s="3455"/>
      <c r="Q190" s="3455"/>
      <c r="R190" s="3455"/>
      <c r="S190" s="3455"/>
      <c r="T190" s="3455"/>
      <c r="U190" s="3455"/>
    </row>
    <row r="191" spans="1:21" s="1011" customFormat="1" ht="14.25" customHeight="1">
      <c r="A191" s="3419" t="s">
        <v>1154</v>
      </c>
      <c r="B191" s="3419" t="s">
        <v>978</v>
      </c>
      <c r="C191" s="3419">
        <v>9780</v>
      </c>
      <c r="D191" s="3419">
        <v>9710</v>
      </c>
      <c r="E191" s="3419">
        <v>12550</v>
      </c>
      <c r="F191" s="3425">
        <v>1980</v>
      </c>
      <c r="G191" s="3425">
        <v>6130</v>
      </c>
      <c r="I191" s="1024"/>
      <c r="J191" s="3455"/>
      <c r="K191" s="3455"/>
      <c r="L191" s="3455"/>
      <c r="M191" s="3455"/>
      <c r="N191" s="3455"/>
      <c r="O191" s="3455"/>
      <c r="P191" s="3455"/>
      <c r="Q191" s="3455"/>
      <c r="R191" s="3455"/>
      <c r="S191" s="3455"/>
      <c r="T191" s="3455"/>
      <c r="U191" s="3455"/>
    </row>
    <row r="192" spans="1:21" s="1011" customFormat="1" ht="14.25" customHeight="1">
      <c r="A192" s="3419" t="s">
        <v>1154</v>
      </c>
      <c r="B192" s="3419" t="s">
        <v>988</v>
      </c>
      <c r="C192" s="3419">
        <v>8180</v>
      </c>
      <c r="D192" s="3419">
        <v>8140</v>
      </c>
      <c r="E192" s="3419">
        <v>10870</v>
      </c>
      <c r="F192" s="3425">
        <v>1690</v>
      </c>
      <c r="G192" s="3425">
        <v>5140</v>
      </c>
      <c r="I192" s="1024"/>
      <c r="J192" s="3455"/>
      <c r="K192" s="3455"/>
      <c r="L192" s="3455"/>
      <c r="M192" s="3455"/>
      <c r="N192" s="3455"/>
      <c r="O192" s="3455"/>
      <c r="P192" s="3455"/>
      <c r="Q192" s="3455"/>
      <c r="R192" s="3455"/>
      <c r="S192" s="3455"/>
      <c r="T192" s="3455"/>
      <c r="U192" s="3455"/>
    </row>
    <row r="193" spans="1:21" s="1011" customFormat="1" ht="14.25" customHeight="1">
      <c r="A193" s="3419" t="s">
        <v>1154</v>
      </c>
      <c r="B193" s="3419" t="s">
        <v>997</v>
      </c>
      <c r="C193" s="3419">
        <v>8440</v>
      </c>
      <c r="D193" s="3419">
        <v>8390</v>
      </c>
      <c r="E193" s="3419">
        <v>11210</v>
      </c>
      <c r="F193" s="3425">
        <v>1600</v>
      </c>
      <c r="G193" s="3425">
        <v>5300</v>
      </c>
      <c r="I193" s="1024"/>
      <c r="J193" s="3455"/>
      <c r="K193" s="3455"/>
      <c r="L193" s="3455"/>
      <c r="M193" s="3455"/>
      <c r="N193" s="3455"/>
      <c r="O193" s="3455"/>
      <c r="P193" s="3455"/>
      <c r="Q193" s="3455"/>
      <c r="R193" s="3455"/>
      <c r="S193" s="3455"/>
      <c r="T193" s="3455"/>
      <c r="U193" s="3455"/>
    </row>
    <row r="194" spans="1:21" s="1011" customFormat="1" ht="14.25" customHeight="1">
      <c r="A194" s="3419" t="s">
        <v>1154</v>
      </c>
      <c r="B194" s="3419" t="s">
        <v>1007</v>
      </c>
      <c r="C194" s="3419">
        <v>8780</v>
      </c>
      <c r="D194" s="3419">
        <v>8730</v>
      </c>
      <c r="E194" s="3419">
        <v>11550</v>
      </c>
      <c r="F194" s="3425">
        <v>1660</v>
      </c>
      <c r="G194" s="3425">
        <v>5520</v>
      </c>
      <c r="I194" s="1024"/>
      <c r="J194" s="3455"/>
      <c r="K194" s="3455"/>
      <c r="L194" s="3455"/>
      <c r="M194" s="3455"/>
      <c r="N194" s="3455"/>
      <c r="O194" s="3455"/>
      <c r="P194" s="3455"/>
      <c r="Q194" s="3455"/>
      <c r="R194" s="3455"/>
      <c r="S194" s="3455"/>
      <c r="T194" s="3455"/>
      <c r="U194" s="3455"/>
    </row>
    <row r="195" spans="1:21" s="1011" customFormat="1" ht="14.25" customHeight="1">
      <c r="A195" s="3419" t="s">
        <v>1154</v>
      </c>
      <c r="B195" s="3419" t="s">
        <v>1014</v>
      </c>
      <c r="C195" s="3419">
        <v>8720</v>
      </c>
      <c r="D195" s="3419">
        <v>8670</v>
      </c>
      <c r="E195" s="3419">
        <v>11450</v>
      </c>
      <c r="F195" s="3425">
        <v>1720</v>
      </c>
      <c r="G195" s="3425">
        <v>5480</v>
      </c>
      <c r="I195" s="1024"/>
      <c r="J195" s="3455"/>
      <c r="K195" s="3455"/>
      <c r="L195" s="3455"/>
      <c r="M195" s="3455"/>
      <c r="N195" s="3455"/>
      <c r="O195" s="3455"/>
      <c r="P195" s="3455"/>
      <c r="Q195" s="3455"/>
      <c r="R195" s="3455"/>
      <c r="S195" s="3455"/>
      <c r="T195" s="3455"/>
      <c r="U195" s="3455"/>
    </row>
    <row r="196" spans="1:21" s="1011" customFormat="1" ht="14.25" customHeight="1">
      <c r="A196" s="3419" t="s">
        <v>1154</v>
      </c>
      <c r="B196" s="3419" t="s">
        <v>1020</v>
      </c>
      <c r="C196" s="3419">
        <v>8460</v>
      </c>
      <c r="D196" s="3419">
        <v>8410</v>
      </c>
      <c r="E196" s="3419">
        <v>11230</v>
      </c>
      <c r="F196" s="3425">
        <v>1730</v>
      </c>
      <c r="G196" s="3425">
        <v>5310</v>
      </c>
      <c r="I196" s="1024"/>
      <c r="J196" s="3455"/>
      <c r="K196" s="3455"/>
      <c r="L196" s="3455"/>
      <c r="M196" s="3455"/>
      <c r="N196" s="3455"/>
      <c r="O196" s="3455"/>
      <c r="P196" s="3455"/>
      <c r="Q196" s="3455"/>
      <c r="R196" s="3455"/>
      <c r="S196" s="3455"/>
      <c r="T196" s="3455"/>
      <c r="U196" s="3455"/>
    </row>
    <row r="197" spans="1:21" s="1011" customFormat="1" ht="14.25" customHeight="1">
      <c r="A197" s="3419" t="s">
        <v>1154</v>
      </c>
      <c r="B197" s="3419" t="s">
        <v>1027</v>
      </c>
      <c r="C197" s="3419">
        <v>8790</v>
      </c>
      <c r="D197" s="3419">
        <v>8730</v>
      </c>
      <c r="E197" s="3419">
        <v>11560</v>
      </c>
      <c r="F197" s="3425">
        <v>1750</v>
      </c>
      <c r="G197" s="3425">
        <v>5520</v>
      </c>
      <c r="I197" s="1024"/>
      <c r="J197" s="3455"/>
      <c r="K197" s="3455"/>
      <c r="L197" s="3455"/>
      <c r="M197" s="3455"/>
      <c r="N197" s="3455"/>
      <c r="O197" s="3455"/>
      <c r="P197" s="3455"/>
      <c r="Q197" s="3455"/>
      <c r="R197" s="3455"/>
      <c r="S197" s="3455"/>
      <c r="T197" s="3455"/>
      <c r="U197" s="3455"/>
    </row>
    <row r="198" spans="1:21" s="1011" customFormat="1" ht="14.25" customHeight="1">
      <c r="A198" s="3419" t="s">
        <v>1154</v>
      </c>
      <c r="B198" s="3419" t="s">
        <v>1037</v>
      </c>
      <c r="C198" s="3419">
        <v>8720</v>
      </c>
      <c r="D198" s="3419">
        <v>8680</v>
      </c>
      <c r="E198" s="3419">
        <v>11470</v>
      </c>
      <c r="F198" s="3425"/>
      <c r="G198" s="3425">
        <v>5480</v>
      </c>
      <c r="I198" s="1024"/>
      <c r="J198" s="3455"/>
      <c r="K198" s="3455"/>
      <c r="L198" s="3455"/>
      <c r="M198" s="3455"/>
      <c r="N198" s="3455"/>
      <c r="O198" s="3455"/>
      <c r="P198" s="3455"/>
      <c r="Q198" s="3455"/>
      <c r="R198" s="3455"/>
      <c r="S198" s="3455"/>
      <c r="T198" s="3455"/>
      <c r="U198" s="3455"/>
    </row>
    <row r="199" spans="1:21" s="1011" customFormat="1" ht="14.25" customHeight="1">
      <c r="A199" s="3419" t="s">
        <v>1154</v>
      </c>
      <c r="B199" s="3419" t="s">
        <v>2892</v>
      </c>
      <c r="C199" s="3419">
        <v>8690</v>
      </c>
      <c r="D199" s="3419">
        <v>8630</v>
      </c>
      <c r="E199" s="3419">
        <v>11350</v>
      </c>
      <c r="F199" s="3425">
        <v>1600</v>
      </c>
      <c r="G199" s="3425">
        <v>5450</v>
      </c>
      <c r="I199" s="1024"/>
      <c r="J199" s="3455"/>
      <c r="K199" s="3455"/>
      <c r="L199" s="3455"/>
      <c r="M199" s="3455"/>
      <c r="N199" s="3455"/>
      <c r="O199" s="3455"/>
      <c r="P199" s="3455"/>
      <c r="Q199" s="3455"/>
      <c r="R199" s="3455"/>
      <c r="S199" s="3455"/>
      <c r="T199" s="3455"/>
      <c r="U199" s="3455"/>
    </row>
    <row r="200" spans="1:21" s="1011" customFormat="1" ht="14.25" customHeight="1">
      <c r="A200" s="3419" t="s">
        <v>1154</v>
      </c>
      <c r="B200" s="3419" t="s">
        <v>2893</v>
      </c>
      <c r="C200" s="3419"/>
      <c r="D200" s="3419"/>
      <c r="E200" s="3419"/>
      <c r="F200" s="3425">
        <v>1510</v>
      </c>
      <c r="G200" s="3425"/>
      <c r="I200" s="1024"/>
      <c r="J200" s="3455"/>
      <c r="K200" s="3455"/>
      <c r="L200" s="3455"/>
      <c r="M200" s="3455"/>
      <c r="N200" s="3455"/>
      <c r="O200" s="3455"/>
      <c r="P200" s="3455"/>
      <c r="Q200" s="3455"/>
      <c r="R200" s="3455"/>
      <c r="S200" s="3455"/>
      <c r="T200" s="3455"/>
      <c r="U200" s="3455"/>
    </row>
    <row r="201" spans="1:21" s="1011" customFormat="1" ht="14.25" customHeight="1">
      <c r="A201" s="3419" t="s">
        <v>1154</v>
      </c>
      <c r="B201" s="3419" t="s">
        <v>2894</v>
      </c>
      <c r="C201" s="3419">
        <v>8440</v>
      </c>
      <c r="D201" s="3419">
        <v>8390</v>
      </c>
      <c r="E201" s="3419">
        <v>10930</v>
      </c>
      <c r="F201" s="3425">
        <v>1500</v>
      </c>
      <c r="G201" s="3425">
        <v>5300</v>
      </c>
      <c r="I201" s="1024"/>
      <c r="J201" s="3455"/>
      <c r="K201" s="3455"/>
      <c r="L201" s="3455"/>
      <c r="M201" s="3455"/>
      <c r="N201" s="3455"/>
      <c r="O201" s="3455"/>
      <c r="P201" s="3455"/>
      <c r="Q201" s="3455"/>
      <c r="R201" s="3455"/>
      <c r="S201" s="3455"/>
      <c r="T201" s="3455"/>
      <c r="U201" s="3455"/>
    </row>
    <row r="202" spans="1:21" s="1011" customFormat="1" ht="14.25" customHeight="1">
      <c r="A202" s="3419" t="s">
        <v>1154</v>
      </c>
      <c r="B202" s="3419" t="s">
        <v>1088</v>
      </c>
      <c r="C202" s="3419">
        <v>8530</v>
      </c>
      <c r="D202" s="3419">
        <v>8490</v>
      </c>
      <c r="E202" s="3419">
        <v>11160</v>
      </c>
      <c r="F202" s="3425">
        <v>1580</v>
      </c>
      <c r="G202" s="3425">
        <v>5360</v>
      </c>
      <c r="I202" s="1024"/>
      <c r="J202" s="3455"/>
      <c r="K202" s="3455"/>
      <c r="L202" s="3455"/>
      <c r="M202" s="3455"/>
      <c r="N202" s="3455"/>
      <c r="O202" s="3455"/>
      <c r="P202" s="3455"/>
      <c r="Q202" s="3455"/>
      <c r="R202" s="3455"/>
      <c r="S202" s="3455"/>
      <c r="T202" s="3455"/>
      <c r="U202" s="3455"/>
    </row>
    <row r="203" spans="1:21" s="1011" customFormat="1" ht="14.25" customHeight="1">
      <c r="A203" s="3419" t="s">
        <v>1154</v>
      </c>
      <c r="B203" s="3419" t="s">
        <v>2895</v>
      </c>
      <c r="C203" s="3419">
        <v>8130</v>
      </c>
      <c r="D203" s="3419">
        <v>8070</v>
      </c>
      <c r="E203" s="3419">
        <v>10820</v>
      </c>
      <c r="F203" s="3425">
        <v>1690</v>
      </c>
      <c r="G203" s="3425">
        <v>5100</v>
      </c>
      <c r="I203" s="1024"/>
      <c r="J203" s="3455"/>
      <c r="K203" s="3455"/>
      <c r="L203" s="3455"/>
      <c r="M203" s="3455"/>
      <c r="N203" s="3455"/>
      <c r="O203" s="3455"/>
      <c r="P203" s="3455"/>
      <c r="Q203" s="3455"/>
      <c r="R203" s="3455"/>
      <c r="S203" s="3455"/>
      <c r="T203" s="3455"/>
      <c r="U203" s="3455"/>
    </row>
    <row r="204" spans="1:21" s="1011" customFormat="1" ht="14.25" customHeight="1">
      <c r="A204" s="3419" t="s">
        <v>1154</v>
      </c>
      <c r="B204" s="3419" t="s">
        <v>2896</v>
      </c>
      <c r="C204" s="3419">
        <v>8350</v>
      </c>
      <c r="D204" s="3419">
        <v>8290</v>
      </c>
      <c r="E204" s="3419">
        <v>11080</v>
      </c>
      <c r="F204" s="3425">
        <v>1450</v>
      </c>
      <c r="G204" s="3425">
        <v>5240</v>
      </c>
      <c r="I204" s="1024"/>
      <c r="J204" s="3455"/>
      <c r="K204" s="3455"/>
      <c r="L204" s="3455"/>
      <c r="M204" s="3455"/>
      <c r="N204" s="3455"/>
      <c r="O204" s="3455"/>
      <c r="P204" s="3455"/>
      <c r="Q204" s="3455"/>
      <c r="R204" s="3455"/>
      <c r="S204" s="3455"/>
      <c r="T204" s="3455"/>
      <c r="U204" s="3455"/>
    </row>
    <row r="205" spans="1:21" s="1011" customFormat="1" ht="14.25" customHeight="1">
      <c r="A205" s="3419" t="s">
        <v>1154</v>
      </c>
      <c r="B205" s="3419" t="s">
        <v>2897</v>
      </c>
      <c r="C205" s="3419">
        <v>7190</v>
      </c>
      <c r="D205" s="3419">
        <v>7130</v>
      </c>
      <c r="E205" s="3419">
        <v>9490</v>
      </c>
      <c r="F205" s="3425">
        <v>1470</v>
      </c>
      <c r="G205" s="3432">
        <v>4510</v>
      </c>
      <c r="I205" s="1024"/>
      <c r="J205" s="3455"/>
      <c r="K205" s="3455"/>
      <c r="L205" s="3455"/>
      <c r="M205" s="3455"/>
      <c r="N205" s="3455"/>
      <c r="O205" s="3455"/>
      <c r="P205" s="3455"/>
      <c r="Q205" s="3455"/>
      <c r="R205" s="3455"/>
      <c r="S205" s="3455"/>
      <c r="T205" s="3455"/>
      <c r="U205" s="3455"/>
    </row>
    <row r="206" spans="1:21" s="1011" customFormat="1" ht="14.25" customHeight="1">
      <c r="A206" s="1288" t="s">
        <v>1154</v>
      </c>
      <c r="B206" s="1288" t="s">
        <v>2898</v>
      </c>
      <c r="C206" s="1288">
        <v>7000</v>
      </c>
      <c r="D206" s="1288">
        <v>6950</v>
      </c>
      <c r="E206" s="1288">
        <v>9170</v>
      </c>
      <c r="F206" s="3420">
        <v>1400</v>
      </c>
      <c r="G206" s="3420">
        <v>4380</v>
      </c>
      <c r="I206" s="1024"/>
      <c r="J206" s="3455"/>
      <c r="K206" s="3455"/>
      <c r="L206" s="3455"/>
      <c r="M206" s="3455"/>
      <c r="N206" s="3455"/>
      <c r="O206" s="3455"/>
      <c r="P206" s="3455"/>
      <c r="Q206" s="3455"/>
      <c r="R206" s="3455"/>
      <c r="S206" s="3455"/>
      <c r="T206" s="3455"/>
      <c r="U206" s="3455"/>
    </row>
    <row r="207" spans="1:21" s="1011" customFormat="1" ht="14.25" customHeight="1">
      <c r="A207" s="3419" t="s">
        <v>1154</v>
      </c>
      <c r="B207" s="3419" t="s">
        <v>2899</v>
      </c>
      <c r="C207" s="3419">
        <v>6950</v>
      </c>
      <c r="D207" s="3419">
        <v>6900</v>
      </c>
      <c r="E207" s="3419">
        <v>9110</v>
      </c>
      <c r="F207" s="3425">
        <v>1790</v>
      </c>
      <c r="G207" s="3425">
        <v>4360</v>
      </c>
      <c r="I207" s="1024"/>
      <c r="J207" s="3455"/>
      <c r="K207" s="3455"/>
      <c r="L207" s="3455"/>
      <c r="M207" s="3455"/>
      <c r="N207" s="3455"/>
      <c r="O207" s="3455"/>
      <c r="P207" s="3455"/>
      <c r="Q207" s="3455"/>
      <c r="R207" s="3455"/>
      <c r="S207" s="3455"/>
      <c r="T207" s="3455"/>
      <c r="U207" s="3455"/>
    </row>
    <row r="208" spans="1:21" s="1011" customFormat="1" ht="14.25" customHeight="1">
      <c r="A208" s="3419" t="s">
        <v>1154</v>
      </c>
      <c r="B208" s="3419" t="s">
        <v>2900</v>
      </c>
      <c r="C208" s="3419">
        <v>9470</v>
      </c>
      <c r="D208" s="3419">
        <v>9410</v>
      </c>
      <c r="E208" s="3419">
        <v>12330</v>
      </c>
      <c r="F208" s="3425">
        <v>1770</v>
      </c>
      <c r="G208" s="3425">
        <v>5940</v>
      </c>
      <c r="I208" s="1024"/>
      <c r="J208" s="3455"/>
      <c r="K208" s="3455"/>
      <c r="L208" s="3455"/>
      <c r="M208" s="3455"/>
      <c r="N208" s="3455"/>
      <c r="O208" s="3455"/>
      <c r="P208" s="3455"/>
      <c r="Q208" s="3455"/>
      <c r="R208" s="3455"/>
      <c r="S208" s="3455"/>
      <c r="T208" s="3455"/>
      <c r="U208" s="3455"/>
    </row>
    <row r="209" spans="1:21" s="1011" customFormat="1" ht="14.25" customHeight="1">
      <c r="A209" s="3419" t="s">
        <v>1154</v>
      </c>
      <c r="B209" s="3419" t="s">
        <v>1112</v>
      </c>
      <c r="C209" s="3419">
        <v>8740</v>
      </c>
      <c r="D209" s="3419">
        <v>8700</v>
      </c>
      <c r="E209" s="3419">
        <v>11500</v>
      </c>
      <c r="F209" s="3425">
        <v>1730</v>
      </c>
      <c r="G209" s="3425">
        <v>5490</v>
      </c>
      <c r="I209" s="1024"/>
      <c r="J209" s="3455"/>
      <c r="K209" s="3455"/>
      <c r="L209" s="3455"/>
      <c r="M209" s="3455"/>
      <c r="N209" s="3455"/>
      <c r="O209" s="3455"/>
      <c r="P209" s="3455"/>
      <c r="Q209" s="3455"/>
      <c r="R209" s="3455"/>
      <c r="S209" s="3455"/>
      <c r="T209" s="3455"/>
      <c r="U209" s="3455"/>
    </row>
    <row r="210" spans="1:21" s="1011" customFormat="1" ht="14.25" customHeight="1">
      <c r="A210" s="3419" t="s">
        <v>1154</v>
      </c>
      <c r="B210" s="3419" t="s">
        <v>2901</v>
      </c>
      <c r="C210" s="3419">
        <v>8710</v>
      </c>
      <c r="D210" s="3419">
        <v>8660</v>
      </c>
      <c r="E210" s="3419">
        <v>11440</v>
      </c>
      <c r="F210" s="3425">
        <v>1740</v>
      </c>
      <c r="G210" s="3425">
        <v>5470</v>
      </c>
      <c r="I210" s="1024"/>
      <c r="J210" s="3455"/>
      <c r="K210" s="3455"/>
      <c r="L210" s="3455"/>
      <c r="M210" s="3455"/>
      <c r="N210" s="3455"/>
      <c r="O210" s="3455"/>
      <c r="P210" s="3455"/>
      <c r="Q210" s="3455"/>
      <c r="R210" s="3455"/>
      <c r="S210" s="3455"/>
      <c r="T210" s="3455"/>
      <c r="U210" s="3455"/>
    </row>
    <row r="211" spans="1:21" s="1011" customFormat="1" ht="14.25" customHeight="1">
      <c r="A211" s="3419" t="s">
        <v>1154</v>
      </c>
      <c r="B211" s="3419" t="s">
        <v>2902</v>
      </c>
      <c r="C211" s="3419">
        <v>9480</v>
      </c>
      <c r="D211" s="3419">
        <v>9430</v>
      </c>
      <c r="E211" s="3419">
        <v>12360</v>
      </c>
      <c r="F211" s="3425">
        <v>1820</v>
      </c>
      <c r="G211" s="3425">
        <v>5950</v>
      </c>
      <c r="I211" s="1024"/>
      <c r="J211" s="3455"/>
      <c r="K211" s="3455"/>
      <c r="L211" s="3455"/>
      <c r="M211" s="3455"/>
      <c r="N211" s="3455"/>
      <c r="O211" s="3455"/>
      <c r="P211" s="3455"/>
      <c r="Q211" s="3455"/>
      <c r="R211" s="3455"/>
      <c r="S211" s="3455"/>
      <c r="T211" s="3455"/>
      <c r="U211" s="3455"/>
    </row>
    <row r="212" spans="1:21" s="1011" customFormat="1" ht="14.25" customHeight="1">
      <c r="A212" s="3419" t="s">
        <v>1154</v>
      </c>
      <c r="B212" s="3419" t="s">
        <v>1134</v>
      </c>
      <c r="C212" s="3419">
        <v>9070</v>
      </c>
      <c r="D212" s="3419">
        <v>9020</v>
      </c>
      <c r="E212" s="3419">
        <v>11720</v>
      </c>
      <c r="F212" s="3425">
        <v>1850</v>
      </c>
      <c r="G212" s="3425">
        <v>5700</v>
      </c>
      <c r="I212" s="1024"/>
      <c r="J212" s="3455"/>
      <c r="K212" s="3455"/>
      <c r="L212" s="3455"/>
      <c r="M212" s="3455"/>
      <c r="N212" s="3455"/>
      <c r="O212" s="3455"/>
      <c r="P212" s="3455"/>
      <c r="Q212" s="3455"/>
      <c r="R212" s="3455"/>
      <c r="S212" s="3455"/>
      <c r="T212" s="3455"/>
      <c r="U212" s="3455"/>
    </row>
    <row r="213" spans="1:21" s="1011" customFormat="1" ht="14.25" customHeight="1">
      <c r="A213" s="3419" t="s">
        <v>1154</v>
      </c>
      <c r="B213" s="3419" t="s">
        <v>1137</v>
      </c>
      <c r="C213" s="3419">
        <v>9030</v>
      </c>
      <c r="D213" s="3419">
        <v>8980</v>
      </c>
      <c r="E213" s="3419">
        <v>11670</v>
      </c>
      <c r="F213" s="3425">
        <v>1690</v>
      </c>
      <c r="G213" s="3425">
        <v>5670</v>
      </c>
      <c r="I213" s="1024"/>
      <c r="J213" s="3455"/>
      <c r="K213" s="3455"/>
      <c r="L213" s="3455"/>
      <c r="M213" s="3455"/>
      <c r="N213" s="3455"/>
      <c r="O213" s="3455"/>
      <c r="P213" s="3455"/>
      <c r="Q213" s="3455"/>
      <c r="R213" s="3455"/>
      <c r="S213" s="3455"/>
      <c r="T213" s="3455"/>
      <c r="U213" s="3455"/>
    </row>
    <row r="214" spans="1:21" s="1011" customFormat="1" ht="14.25" customHeight="1">
      <c r="A214" s="3419" t="s">
        <v>1154</v>
      </c>
      <c r="B214" s="3419" t="s">
        <v>2903</v>
      </c>
      <c r="C214" s="3419">
        <v>8090</v>
      </c>
      <c r="D214" s="3419">
        <v>8030</v>
      </c>
      <c r="E214" s="3419">
        <v>10780</v>
      </c>
      <c r="F214" s="3425">
        <v>1570</v>
      </c>
      <c r="G214" s="3427">
        <v>5070</v>
      </c>
      <c r="I214" s="1024"/>
      <c r="J214" s="3455"/>
      <c r="K214" s="3455"/>
      <c r="L214" s="3455"/>
      <c r="M214" s="3455"/>
      <c r="N214" s="3455"/>
      <c r="O214" s="3455"/>
      <c r="P214" s="3455"/>
      <c r="Q214" s="3455"/>
      <c r="R214" s="3455"/>
      <c r="S214" s="3455"/>
      <c r="T214" s="3455"/>
      <c r="U214" s="3455"/>
    </row>
    <row r="215" spans="1:21" s="1011" customFormat="1" ht="14.25" customHeight="1">
      <c r="A215" s="3419" t="s">
        <v>1154</v>
      </c>
      <c r="B215" s="3419" t="s">
        <v>1123</v>
      </c>
      <c r="C215" s="3419">
        <v>7950</v>
      </c>
      <c r="D215" s="3419">
        <v>7900</v>
      </c>
      <c r="E215" s="3419">
        <v>10560</v>
      </c>
      <c r="F215" s="3425">
        <v>1630</v>
      </c>
      <c r="G215" s="3425">
        <v>4990</v>
      </c>
      <c r="I215" s="1024"/>
      <c r="J215" s="3455"/>
      <c r="K215" s="3455"/>
      <c r="L215" s="3455"/>
      <c r="M215" s="3455"/>
      <c r="N215" s="3455"/>
      <c r="O215" s="3455"/>
      <c r="P215" s="3455"/>
      <c r="Q215" s="3455"/>
      <c r="R215" s="3455"/>
      <c r="S215" s="3455"/>
      <c r="T215" s="3455"/>
      <c r="U215" s="3455"/>
    </row>
    <row r="216" spans="1:21" s="1011" customFormat="1" ht="14.25" customHeight="1">
      <c r="A216" s="3419" t="s">
        <v>1154</v>
      </c>
      <c r="B216" s="3419" t="s">
        <v>2904</v>
      </c>
      <c r="C216" s="3419">
        <v>8490</v>
      </c>
      <c r="D216" s="3419">
        <v>8440</v>
      </c>
      <c r="E216" s="3419">
        <v>11260</v>
      </c>
      <c r="F216" s="3425">
        <v>1690</v>
      </c>
      <c r="G216" s="3425">
        <v>5330</v>
      </c>
      <c r="I216" s="1024"/>
      <c r="J216" s="3455"/>
      <c r="K216" s="3455"/>
      <c r="L216" s="3455"/>
      <c r="M216" s="3455"/>
      <c r="N216" s="3455"/>
      <c r="O216" s="3455"/>
      <c r="P216" s="3455"/>
      <c r="Q216" s="3455"/>
      <c r="R216" s="3455"/>
      <c r="S216" s="3455"/>
      <c r="T216" s="3455"/>
      <c r="U216" s="3455"/>
    </row>
    <row r="217" spans="1:21" s="1011" customFormat="1" ht="14.25" customHeight="1">
      <c r="A217" s="3419" t="s">
        <v>1154</v>
      </c>
      <c r="B217" s="3419" t="s">
        <v>2905</v>
      </c>
      <c r="C217" s="3419">
        <v>8200</v>
      </c>
      <c r="D217" s="3419">
        <v>8150</v>
      </c>
      <c r="E217" s="3419">
        <v>10910</v>
      </c>
      <c r="F217" s="3425">
        <v>1670</v>
      </c>
      <c r="G217" s="3425">
        <v>5150</v>
      </c>
      <c r="I217" s="1024"/>
      <c r="J217" s="3455"/>
      <c r="K217" s="3455"/>
      <c r="L217" s="3455"/>
      <c r="M217" s="3455"/>
      <c r="N217" s="3455"/>
      <c r="O217" s="3455"/>
      <c r="P217" s="3455"/>
      <c r="Q217" s="3455"/>
      <c r="R217" s="3455"/>
      <c r="S217" s="3455"/>
      <c r="T217" s="3455"/>
      <c r="U217" s="3455"/>
    </row>
    <row r="218" spans="1:21" s="1011" customFormat="1" ht="14.25" customHeight="1">
      <c r="A218" s="3419" t="s">
        <v>1154</v>
      </c>
      <c r="B218" s="3419" t="s">
        <v>2906</v>
      </c>
      <c r="C218" s="3419"/>
      <c r="D218" s="3419"/>
      <c r="E218" s="3419"/>
      <c r="F218" s="3425">
        <v>2040</v>
      </c>
      <c r="G218" s="3425"/>
      <c r="I218" s="1024"/>
      <c r="J218" s="3455"/>
      <c r="K218" s="3455"/>
      <c r="L218" s="3455"/>
      <c r="M218" s="3455"/>
      <c r="N218" s="3455"/>
      <c r="O218" s="3455"/>
      <c r="P218" s="3455"/>
      <c r="Q218" s="3455"/>
      <c r="R218" s="3455"/>
      <c r="S218" s="3455"/>
      <c r="T218" s="3455"/>
      <c r="U218" s="3455"/>
    </row>
    <row r="219" spans="1:21" s="1011" customFormat="1" ht="14.25" customHeight="1">
      <c r="A219" s="3419" t="s">
        <v>1154</v>
      </c>
      <c r="B219" s="3419" t="s">
        <v>2907</v>
      </c>
      <c r="C219" s="3419"/>
      <c r="D219" s="3419"/>
      <c r="E219" s="3419"/>
      <c r="F219" s="3425">
        <v>2040</v>
      </c>
      <c r="G219" s="3425"/>
      <c r="I219" s="1024"/>
      <c r="J219" s="3455"/>
      <c r="K219" s="3455"/>
      <c r="L219" s="3455"/>
      <c r="M219" s="3455"/>
      <c r="N219" s="3455"/>
      <c r="O219" s="3455"/>
      <c r="P219" s="3455"/>
      <c r="Q219" s="3455"/>
      <c r="R219" s="3455"/>
      <c r="S219" s="3455"/>
      <c r="T219" s="3455"/>
      <c r="U219" s="3455"/>
    </row>
    <row r="220" spans="1:21" s="1011" customFormat="1" ht="14.25" customHeight="1">
      <c r="A220" s="3419" t="s">
        <v>1154</v>
      </c>
      <c r="B220" s="3419" t="s">
        <v>2908</v>
      </c>
      <c r="C220" s="3419"/>
      <c r="D220" s="3419"/>
      <c r="E220" s="3419"/>
      <c r="F220" s="3425">
        <v>2040</v>
      </c>
      <c r="G220" s="3425"/>
      <c r="I220" s="1024"/>
      <c r="J220" s="3455"/>
      <c r="K220" s="3455"/>
      <c r="L220" s="3455"/>
      <c r="M220" s="3455"/>
      <c r="N220" s="3455"/>
      <c r="O220" s="3455"/>
      <c r="P220" s="3455"/>
      <c r="Q220" s="3455"/>
      <c r="R220" s="3455"/>
      <c r="S220" s="3455"/>
      <c r="T220" s="3455"/>
      <c r="U220" s="3455"/>
    </row>
    <row r="221" spans="1:21" s="1011" customFormat="1" ht="14.25" customHeight="1">
      <c r="A221" s="3419" t="s">
        <v>1154</v>
      </c>
      <c r="B221" s="3419" t="s">
        <v>2909</v>
      </c>
      <c r="C221" s="3428"/>
      <c r="D221" s="3428"/>
      <c r="E221" s="3428"/>
      <c r="F221" s="3427">
        <v>2040</v>
      </c>
      <c r="G221" s="3425"/>
      <c r="I221" s="1024"/>
      <c r="J221" s="3455"/>
      <c r="K221" s="3455"/>
      <c r="L221" s="3455"/>
      <c r="M221" s="3455"/>
      <c r="N221" s="3455"/>
      <c r="O221" s="3455"/>
      <c r="P221" s="3455"/>
      <c r="Q221" s="3455"/>
      <c r="R221" s="3455"/>
      <c r="S221" s="3455"/>
      <c r="T221" s="3455"/>
      <c r="U221" s="3455"/>
    </row>
    <row r="222" spans="1:21" s="1011" customFormat="1" ht="14.25" customHeight="1">
      <c r="A222" s="3419" t="s">
        <v>1154</v>
      </c>
      <c r="B222" s="3419" t="s">
        <v>2910</v>
      </c>
      <c r="C222" s="3428"/>
      <c r="D222" s="3428"/>
      <c r="E222" s="3428"/>
      <c r="F222" s="3427">
        <v>2040</v>
      </c>
      <c r="G222" s="3425"/>
      <c r="I222" s="1024"/>
      <c r="J222" s="3455"/>
      <c r="K222" s="3455"/>
      <c r="L222" s="3455"/>
      <c r="M222" s="3455"/>
      <c r="N222" s="3455"/>
      <c r="O222" s="3455"/>
      <c r="P222" s="3455"/>
      <c r="Q222" s="3455"/>
      <c r="R222" s="3455"/>
      <c r="S222" s="3455"/>
      <c r="T222" s="3455"/>
      <c r="U222" s="3455"/>
    </row>
    <row r="223" spans="1:21" s="1011" customFormat="1" ht="14.25" customHeight="1">
      <c r="A223" s="3419" t="s">
        <v>1154</v>
      </c>
      <c r="B223" s="3419" t="s">
        <v>2911</v>
      </c>
      <c r="C223" s="3428"/>
      <c r="D223" s="3428"/>
      <c r="E223" s="3428"/>
      <c r="F223" s="3427">
        <v>1930</v>
      </c>
      <c r="G223" s="3425"/>
      <c r="I223" s="1024"/>
      <c r="J223" s="3455"/>
      <c r="K223" s="3455"/>
      <c r="L223" s="3455"/>
      <c r="M223" s="3455"/>
      <c r="N223" s="3455"/>
      <c r="O223" s="3455"/>
      <c r="P223" s="3455"/>
      <c r="Q223" s="3455"/>
      <c r="R223" s="3455"/>
      <c r="S223" s="3455"/>
      <c r="T223" s="3455"/>
      <c r="U223" s="3455"/>
    </row>
    <row r="224" spans="1:21" s="1011" customFormat="1" ht="14.25" customHeight="1">
      <c r="A224" s="3419" t="s">
        <v>1154</v>
      </c>
      <c r="B224" s="3419" t="s">
        <v>2912</v>
      </c>
      <c r="C224" s="3428"/>
      <c r="D224" s="3428"/>
      <c r="E224" s="3428"/>
      <c r="F224" s="3427">
        <v>1930</v>
      </c>
      <c r="G224" s="3425"/>
      <c r="I224" s="1024"/>
      <c r="J224" s="3455"/>
      <c r="K224" s="3455"/>
      <c r="L224" s="3455"/>
      <c r="M224" s="3455"/>
      <c r="N224" s="3455"/>
      <c r="O224" s="3455"/>
      <c r="P224" s="3455"/>
      <c r="Q224" s="3455"/>
      <c r="R224" s="3455"/>
      <c r="S224" s="3455"/>
      <c r="T224" s="3455"/>
      <c r="U224" s="3455"/>
    </row>
    <row r="225" spans="1:21" s="1011" customFormat="1" ht="14.25" customHeight="1">
      <c r="A225" s="3419" t="s">
        <v>1154</v>
      </c>
      <c r="B225" s="3419" t="s">
        <v>2913</v>
      </c>
      <c r="C225" s="3419"/>
      <c r="D225" s="3419"/>
      <c r="E225" s="3419"/>
      <c r="F225" s="3425">
        <v>1930</v>
      </c>
      <c r="G225" s="3425"/>
      <c r="I225" s="1024"/>
      <c r="J225" s="3455"/>
      <c r="K225" s="3455"/>
      <c r="L225" s="3455"/>
      <c r="M225" s="3455"/>
      <c r="N225" s="3455"/>
      <c r="O225" s="3455"/>
      <c r="P225" s="3455"/>
      <c r="Q225" s="3455"/>
      <c r="R225" s="3455"/>
      <c r="S225" s="3455"/>
      <c r="T225" s="3455"/>
      <c r="U225" s="3455"/>
    </row>
    <row r="226" spans="1:21" s="1011" customFormat="1" ht="14.25" customHeight="1">
      <c r="A226" s="3419" t="s">
        <v>1154</v>
      </c>
      <c r="B226" s="3419" t="s">
        <v>2914</v>
      </c>
      <c r="C226" s="3419"/>
      <c r="D226" s="3419"/>
      <c r="E226" s="3419"/>
      <c r="F226" s="3425">
        <v>1700</v>
      </c>
      <c r="G226" s="3425"/>
      <c r="I226" s="1024"/>
      <c r="J226" s="3455"/>
      <c r="K226" s="3455"/>
      <c r="L226" s="3455"/>
      <c r="M226" s="3455"/>
      <c r="N226" s="3455"/>
      <c r="O226" s="3455"/>
      <c r="P226" s="3455"/>
      <c r="Q226" s="3455"/>
      <c r="R226" s="3455"/>
      <c r="S226" s="3455"/>
      <c r="T226" s="3455"/>
      <c r="U226" s="3455"/>
    </row>
    <row r="227" spans="1:21" s="1011" customFormat="1" ht="14.25" customHeight="1">
      <c r="A227" s="3419" t="s">
        <v>1154</v>
      </c>
      <c r="B227" s="3419" t="s">
        <v>2915</v>
      </c>
      <c r="C227" s="3419"/>
      <c r="D227" s="3419"/>
      <c r="E227" s="3419"/>
      <c r="F227" s="3425">
        <v>1520</v>
      </c>
      <c r="G227" s="3425"/>
      <c r="I227" s="1024"/>
      <c r="J227" s="3455"/>
      <c r="K227" s="3455"/>
      <c r="L227" s="3455"/>
      <c r="M227" s="3455"/>
      <c r="N227" s="3455"/>
      <c r="O227" s="3455"/>
      <c r="P227" s="3455"/>
      <c r="Q227" s="3455"/>
      <c r="R227" s="3455"/>
      <c r="S227" s="3455"/>
      <c r="T227" s="3455"/>
      <c r="U227" s="3455"/>
    </row>
    <row r="228" spans="1:21" s="1011" customFormat="1" ht="14.25" customHeight="1">
      <c r="A228" s="3419" t="s">
        <v>1154</v>
      </c>
      <c r="B228" s="3419" t="s">
        <v>2916</v>
      </c>
      <c r="C228" s="3419"/>
      <c r="D228" s="3419"/>
      <c r="E228" s="3419"/>
      <c r="F228" s="3425">
        <v>1520</v>
      </c>
      <c r="G228" s="3425"/>
      <c r="I228" s="1024"/>
      <c r="J228" s="3455"/>
      <c r="K228" s="3455"/>
      <c r="L228" s="3455"/>
      <c r="M228" s="3455"/>
      <c r="N228" s="3455"/>
      <c r="O228" s="3455"/>
      <c r="P228" s="3455"/>
      <c r="Q228" s="3455"/>
      <c r="R228" s="3455"/>
      <c r="S228" s="3455"/>
      <c r="T228" s="3455"/>
      <c r="U228" s="3455"/>
    </row>
    <row r="229" spans="1:21" s="1011" customFormat="1" ht="14.25" customHeight="1">
      <c r="A229" s="3419" t="s">
        <v>1154</v>
      </c>
      <c r="B229" s="3419" t="s">
        <v>2917</v>
      </c>
      <c r="C229" s="3419"/>
      <c r="D229" s="3419"/>
      <c r="E229" s="3419"/>
      <c r="F229" s="3425">
        <v>1520</v>
      </c>
      <c r="G229" s="3427"/>
      <c r="I229" s="1024"/>
      <c r="J229" s="3455"/>
      <c r="K229" s="3455"/>
      <c r="L229" s="3455"/>
      <c r="M229" s="3455"/>
      <c r="N229" s="3455"/>
      <c r="O229" s="3455"/>
      <c r="P229" s="3455"/>
      <c r="Q229" s="3455"/>
      <c r="R229" s="3455"/>
      <c r="S229" s="3455"/>
      <c r="T229" s="3455"/>
      <c r="U229" s="3455"/>
    </row>
    <row r="230" spans="1:21" s="1011" customFormat="1" ht="14.25" customHeight="1">
      <c r="A230" s="3419" t="s">
        <v>1154</v>
      </c>
      <c r="B230" s="3419" t="s">
        <v>2918</v>
      </c>
      <c r="C230" s="3419"/>
      <c r="D230" s="3419"/>
      <c r="E230" s="3419"/>
      <c r="F230" s="3425">
        <v>1820</v>
      </c>
      <c r="G230" s="3427"/>
      <c r="I230" s="1024"/>
      <c r="J230" s="3455"/>
      <c r="K230" s="3455"/>
      <c r="L230" s="3455"/>
      <c r="M230" s="3455"/>
      <c r="N230" s="3455"/>
      <c r="O230" s="3455"/>
      <c r="P230" s="3455"/>
      <c r="Q230" s="3455"/>
      <c r="R230" s="3455"/>
      <c r="S230" s="3455"/>
      <c r="T230" s="3455"/>
      <c r="U230" s="3455"/>
    </row>
    <row r="231" spans="1:21" s="1011" customFormat="1" ht="14.25" customHeight="1">
      <c r="A231" s="3419" t="s">
        <v>1154</v>
      </c>
      <c r="B231" s="3419" t="s">
        <v>2919</v>
      </c>
      <c r="C231" s="3419"/>
      <c r="D231" s="3419"/>
      <c r="E231" s="3419"/>
      <c r="F231" s="3425">
        <v>1760</v>
      </c>
      <c r="G231" s="3427"/>
      <c r="I231" s="1024"/>
      <c r="J231" s="3455"/>
      <c r="K231" s="3455"/>
      <c r="L231" s="3455"/>
      <c r="M231" s="3455"/>
      <c r="N231" s="3455"/>
      <c r="O231" s="3455"/>
      <c r="P231" s="3455"/>
      <c r="Q231" s="3455"/>
      <c r="R231" s="3455"/>
      <c r="S231" s="3455"/>
      <c r="T231" s="3455"/>
      <c r="U231" s="3455"/>
    </row>
    <row r="232" spans="1:21" s="1011" customFormat="1" ht="14.25" customHeight="1">
      <c r="A232" s="3419" t="s">
        <v>1154</v>
      </c>
      <c r="B232" s="3419" t="s">
        <v>2920</v>
      </c>
      <c r="C232" s="3419"/>
      <c r="D232" s="3419"/>
      <c r="E232" s="3419"/>
      <c r="F232" s="3425">
        <v>1840</v>
      </c>
      <c r="G232" s="3425"/>
      <c r="I232" s="1024"/>
      <c r="J232" s="3455"/>
      <c r="K232" s="3455"/>
      <c r="L232" s="3455"/>
      <c r="M232" s="3455"/>
      <c r="N232" s="3455"/>
      <c r="O232" s="3455"/>
      <c r="P232" s="3455"/>
      <c r="Q232" s="3455"/>
      <c r="R232" s="3455"/>
      <c r="S232" s="3455"/>
      <c r="T232" s="3455"/>
      <c r="U232" s="3455"/>
    </row>
    <row r="233" spans="1:21" s="1011" customFormat="1" ht="14.25" customHeight="1" thickBot="1">
      <c r="A233" s="3434" t="s">
        <v>1154</v>
      </c>
      <c r="B233" s="3422" t="s">
        <v>2921</v>
      </c>
      <c r="C233" s="3422"/>
      <c r="D233" s="3422"/>
      <c r="E233" s="3422"/>
      <c r="F233" s="3423">
        <v>1770</v>
      </c>
      <c r="G233" s="3438"/>
      <c r="I233" s="1024"/>
      <c r="J233" s="3455"/>
      <c r="K233" s="3455"/>
      <c r="L233" s="3455"/>
      <c r="M233" s="3455"/>
      <c r="N233" s="3455"/>
      <c r="O233" s="3455"/>
      <c r="P233" s="3455"/>
      <c r="Q233" s="3455"/>
      <c r="R233" s="3455"/>
      <c r="S233" s="3455"/>
      <c r="T233" s="3455"/>
      <c r="U233" s="3455"/>
    </row>
    <row r="234" spans="1:21" s="1011" customFormat="1" ht="14.25" customHeight="1">
      <c r="A234" s="3433" t="s">
        <v>1155</v>
      </c>
      <c r="B234" s="1288" t="s">
        <v>2922</v>
      </c>
      <c r="C234" s="1288">
        <v>6980</v>
      </c>
      <c r="D234" s="1288">
        <v>6970</v>
      </c>
      <c r="E234" s="1288">
        <v>8720</v>
      </c>
      <c r="F234" s="3420">
        <v>1350</v>
      </c>
      <c r="G234" s="3436">
        <v>4280</v>
      </c>
      <c r="I234" s="1024"/>
      <c r="J234" s="3455"/>
      <c r="K234" s="3455"/>
      <c r="L234" s="3455"/>
      <c r="M234" s="3455"/>
      <c r="N234" s="3455"/>
      <c r="O234" s="3455"/>
      <c r="P234" s="3455"/>
      <c r="Q234" s="3455"/>
      <c r="R234" s="3455"/>
      <c r="S234" s="3455"/>
      <c r="T234" s="3455"/>
      <c r="U234" s="3455"/>
    </row>
    <row r="235" spans="1:21" s="1011" customFormat="1" ht="14.25" customHeight="1">
      <c r="A235" s="3419" t="s">
        <v>1155</v>
      </c>
      <c r="B235" s="3419" t="s">
        <v>979</v>
      </c>
      <c r="C235" s="3419">
        <v>7620</v>
      </c>
      <c r="D235" s="3419">
        <v>7580</v>
      </c>
      <c r="E235" s="3419">
        <v>9360</v>
      </c>
      <c r="F235" s="3425">
        <v>1490</v>
      </c>
      <c r="G235" s="3425">
        <v>4650</v>
      </c>
      <c r="I235" s="1024"/>
      <c r="J235" s="3455"/>
      <c r="K235" s="3455"/>
      <c r="L235" s="3455"/>
      <c r="M235" s="3455"/>
      <c r="N235" s="3455"/>
      <c r="O235" s="3455"/>
      <c r="P235" s="3455"/>
      <c r="Q235" s="3455"/>
      <c r="R235" s="3455"/>
      <c r="S235" s="3455"/>
      <c r="T235" s="3455"/>
      <c r="U235" s="3455"/>
    </row>
    <row r="236" spans="1:21" s="1011" customFormat="1" ht="14.25" customHeight="1">
      <c r="A236" s="3419" t="s">
        <v>1155</v>
      </c>
      <c r="B236" s="3419" t="s">
        <v>989</v>
      </c>
      <c r="C236" s="3419">
        <v>6650</v>
      </c>
      <c r="D236" s="3419">
        <v>6630</v>
      </c>
      <c r="E236" s="3419">
        <v>8330</v>
      </c>
      <c r="F236" s="3425">
        <v>1250</v>
      </c>
      <c r="G236" s="3425">
        <v>4070</v>
      </c>
      <c r="I236" s="1024"/>
      <c r="J236" s="3455"/>
      <c r="K236" s="3455"/>
      <c r="L236" s="3455"/>
      <c r="M236" s="3455"/>
      <c r="N236" s="3455"/>
      <c r="O236" s="3455"/>
      <c r="P236" s="3455"/>
      <c r="Q236" s="3455"/>
      <c r="R236" s="3455"/>
      <c r="S236" s="3455"/>
      <c r="T236" s="3455"/>
      <c r="U236" s="3455"/>
    </row>
    <row r="237" spans="1:21" s="1011" customFormat="1" ht="14.25" customHeight="1">
      <c r="A237" s="3419" t="s">
        <v>1155</v>
      </c>
      <c r="B237" s="3419" t="s">
        <v>998</v>
      </c>
      <c r="C237" s="3419">
        <v>5850</v>
      </c>
      <c r="D237" s="3419">
        <v>5820</v>
      </c>
      <c r="E237" s="3419">
        <v>7260</v>
      </c>
      <c r="F237" s="3425">
        <v>1140</v>
      </c>
      <c r="G237" s="3425">
        <v>3570</v>
      </c>
      <c r="I237" s="1024"/>
      <c r="J237" s="3455"/>
      <c r="K237" s="3455"/>
      <c r="L237" s="3455"/>
      <c r="M237" s="3455"/>
      <c r="N237" s="3455"/>
      <c r="O237" s="3455"/>
      <c r="P237" s="3455"/>
      <c r="Q237" s="3455"/>
      <c r="R237" s="3455"/>
      <c r="S237" s="3455"/>
      <c r="T237" s="3455"/>
      <c r="U237" s="3455"/>
    </row>
    <row r="238" spans="1:21" s="1011" customFormat="1" ht="14.25" customHeight="1">
      <c r="A238" s="3419" t="s">
        <v>1155</v>
      </c>
      <c r="B238" s="3419" t="s">
        <v>2923</v>
      </c>
      <c r="C238" s="3419">
        <v>6920</v>
      </c>
      <c r="D238" s="3419">
        <v>6890</v>
      </c>
      <c r="E238" s="3419">
        <v>8640</v>
      </c>
      <c r="F238" s="3425">
        <v>1310</v>
      </c>
      <c r="G238" s="3425">
        <v>4230</v>
      </c>
      <c r="I238" s="1024"/>
      <c r="J238" s="3455"/>
      <c r="K238" s="3455"/>
      <c r="L238" s="3455"/>
      <c r="M238" s="3455"/>
      <c r="N238" s="3455"/>
      <c r="O238" s="3455"/>
      <c r="P238" s="3455"/>
      <c r="Q238" s="3455"/>
      <c r="R238" s="3455"/>
      <c r="S238" s="3455"/>
      <c r="T238" s="3455"/>
      <c r="U238" s="3455"/>
    </row>
    <row r="239" spans="1:21" s="1011" customFormat="1" ht="14.25" customHeight="1">
      <c r="A239" s="3419" t="s">
        <v>1155</v>
      </c>
      <c r="B239" s="3419" t="s">
        <v>2924</v>
      </c>
      <c r="C239" s="3419">
        <v>6780</v>
      </c>
      <c r="D239" s="3419">
        <v>6750</v>
      </c>
      <c r="E239" s="3419">
        <v>8440</v>
      </c>
      <c r="F239" s="3425">
        <v>1160</v>
      </c>
      <c r="G239" s="3425">
        <v>4140</v>
      </c>
      <c r="I239" s="1024"/>
      <c r="J239" s="3455"/>
      <c r="K239" s="3455"/>
      <c r="L239" s="3455"/>
      <c r="M239" s="3455"/>
      <c r="N239" s="3455"/>
      <c r="O239" s="3455"/>
      <c r="P239" s="3455"/>
      <c r="Q239" s="3455"/>
      <c r="R239" s="3455"/>
      <c r="S239" s="3455"/>
      <c r="T239" s="3455"/>
      <c r="U239" s="3455"/>
    </row>
    <row r="240" spans="1:21" s="1011" customFormat="1" ht="14.25" customHeight="1">
      <c r="A240" s="3419" t="s">
        <v>1155</v>
      </c>
      <c r="B240" s="3419" t="s">
        <v>2925</v>
      </c>
      <c r="C240" s="3419">
        <v>5420</v>
      </c>
      <c r="D240" s="3419">
        <v>5380</v>
      </c>
      <c r="E240" s="3419">
        <v>6640</v>
      </c>
      <c r="F240" s="3425">
        <v>1020</v>
      </c>
      <c r="G240" s="3425">
        <v>3300</v>
      </c>
      <c r="I240" s="1024"/>
      <c r="J240" s="3455"/>
      <c r="K240" s="3455"/>
      <c r="L240" s="3455"/>
      <c r="M240" s="3455"/>
      <c r="N240" s="3455"/>
      <c r="O240" s="3455"/>
      <c r="P240" s="3455"/>
      <c r="Q240" s="3455"/>
      <c r="R240" s="3455"/>
      <c r="S240" s="3455"/>
      <c r="T240" s="3455"/>
      <c r="U240" s="3455"/>
    </row>
    <row r="241" spans="1:21" s="1011" customFormat="1" ht="14.25" customHeight="1">
      <c r="A241" s="3419" t="s">
        <v>1155</v>
      </c>
      <c r="B241" s="3419" t="s">
        <v>2926</v>
      </c>
      <c r="C241" s="3419">
        <v>6660</v>
      </c>
      <c r="D241" s="3419">
        <v>6640</v>
      </c>
      <c r="E241" s="3419">
        <v>8340</v>
      </c>
      <c r="F241" s="3425">
        <v>1130</v>
      </c>
      <c r="G241" s="3425">
        <v>4080</v>
      </c>
      <c r="I241" s="1024"/>
      <c r="J241" s="3455"/>
      <c r="K241" s="3455"/>
      <c r="L241" s="3455"/>
      <c r="M241" s="3455"/>
      <c r="N241" s="3455"/>
      <c r="O241" s="3455"/>
      <c r="P241" s="3455"/>
      <c r="Q241" s="3455"/>
      <c r="R241" s="3455"/>
      <c r="S241" s="3455"/>
      <c r="T241" s="3455"/>
      <c r="U241" s="3455"/>
    </row>
    <row r="242" spans="1:21" s="1011" customFormat="1" ht="14.25" customHeight="1">
      <c r="A242" s="3419" t="s">
        <v>1155</v>
      </c>
      <c r="B242" s="3419" t="s">
        <v>1028</v>
      </c>
      <c r="C242" s="3419">
        <v>6580</v>
      </c>
      <c r="D242" s="3419">
        <v>6550</v>
      </c>
      <c r="E242" s="3419">
        <v>8090</v>
      </c>
      <c r="F242" s="3425">
        <v>1240</v>
      </c>
      <c r="G242" s="3425">
        <v>4020</v>
      </c>
      <c r="I242" s="1024"/>
      <c r="J242" s="3455"/>
      <c r="K242" s="3455"/>
      <c r="L242" s="3455"/>
      <c r="M242" s="3455"/>
      <c r="N242" s="3455"/>
      <c r="O242" s="3455"/>
      <c r="P242" s="3455"/>
      <c r="Q242" s="3455"/>
      <c r="R242" s="3455"/>
      <c r="S242" s="3455"/>
      <c r="T242" s="3455"/>
      <c r="U242" s="3455"/>
    </row>
    <row r="243" spans="1:21" s="1011" customFormat="1" ht="14.25" customHeight="1">
      <c r="A243" s="3419" t="s">
        <v>1155</v>
      </c>
      <c r="B243" s="3419" t="s">
        <v>1038</v>
      </c>
      <c r="C243" s="3419">
        <v>6000</v>
      </c>
      <c r="D243" s="3419">
        <v>5970</v>
      </c>
      <c r="E243" s="3419">
        <v>7370</v>
      </c>
      <c r="F243" s="3425">
        <v>1070</v>
      </c>
      <c r="G243" s="3425">
        <v>3670</v>
      </c>
      <c r="I243" s="1024"/>
      <c r="J243" s="3455"/>
      <c r="K243" s="3455"/>
      <c r="L243" s="3455"/>
      <c r="M243" s="3455"/>
      <c r="N243" s="3455"/>
      <c r="O243" s="3455"/>
      <c r="P243" s="3455"/>
      <c r="Q243" s="3455"/>
      <c r="R243" s="3455"/>
      <c r="S243" s="3455"/>
      <c r="T243" s="3455"/>
      <c r="U243" s="3455"/>
    </row>
    <row r="244" spans="1:21" s="1011" customFormat="1" ht="14.25" customHeight="1">
      <c r="A244" s="3419" t="s">
        <v>1155</v>
      </c>
      <c r="B244" s="3419" t="s">
        <v>2927</v>
      </c>
      <c r="C244" s="3419">
        <v>5840</v>
      </c>
      <c r="D244" s="3419">
        <v>5810</v>
      </c>
      <c r="E244" s="3419">
        <v>7240</v>
      </c>
      <c r="F244" s="3425">
        <v>1100</v>
      </c>
      <c r="G244" s="3432">
        <v>3560</v>
      </c>
      <c r="I244" s="1024"/>
      <c r="J244" s="3455"/>
      <c r="K244" s="3455"/>
      <c r="L244" s="3455"/>
      <c r="M244" s="3455"/>
      <c r="N244" s="3455"/>
      <c r="O244" s="3455"/>
      <c r="P244" s="3455"/>
      <c r="Q244" s="3455"/>
      <c r="R244" s="3455"/>
      <c r="S244" s="3455"/>
      <c r="T244" s="3455"/>
      <c r="U244" s="3455"/>
    </row>
    <row r="245" spans="1:21" s="1011" customFormat="1" ht="14.25" customHeight="1">
      <c r="A245" s="1288" t="s">
        <v>1155</v>
      </c>
      <c r="B245" s="1288" t="s">
        <v>1053</v>
      </c>
      <c r="C245" s="1288">
        <v>6040</v>
      </c>
      <c r="D245" s="1288">
        <v>6000</v>
      </c>
      <c r="E245" s="1288">
        <v>7420</v>
      </c>
      <c r="F245" s="3420">
        <v>1140</v>
      </c>
      <c r="G245" s="3420">
        <v>3690</v>
      </c>
      <c r="I245" s="1024"/>
      <c r="J245" s="3455"/>
      <c r="K245" s="3455"/>
      <c r="L245" s="3455"/>
      <c r="M245" s="3455"/>
      <c r="N245" s="3455"/>
      <c r="O245" s="3455"/>
      <c r="P245" s="3455"/>
      <c r="Q245" s="3455"/>
      <c r="R245" s="3455"/>
      <c r="S245" s="3455"/>
      <c r="T245" s="3455"/>
      <c r="U245" s="3455"/>
    </row>
    <row r="246" spans="1:21" s="1011" customFormat="1" ht="14.25" customHeight="1">
      <c r="A246" s="3419" t="s">
        <v>1155</v>
      </c>
      <c r="B246" s="3419" t="s">
        <v>1060</v>
      </c>
      <c r="C246" s="3419">
        <v>5890</v>
      </c>
      <c r="D246" s="3419">
        <v>5860</v>
      </c>
      <c r="E246" s="3419">
        <v>7300</v>
      </c>
      <c r="F246" s="3425">
        <v>1110</v>
      </c>
      <c r="G246" s="3425">
        <v>3590</v>
      </c>
      <c r="I246" s="1024"/>
      <c r="J246" s="3455"/>
      <c r="K246" s="3455"/>
      <c r="L246" s="3455"/>
      <c r="M246" s="3455"/>
      <c r="N246" s="3455"/>
      <c r="O246" s="3455"/>
      <c r="P246" s="3455"/>
      <c r="Q246" s="3455"/>
      <c r="R246" s="3455"/>
      <c r="S246" s="3455"/>
      <c r="T246" s="3455"/>
      <c r="U246" s="3455"/>
    </row>
    <row r="247" spans="1:21" s="1011" customFormat="1" ht="14.25" customHeight="1">
      <c r="A247" s="3419" t="s">
        <v>1155</v>
      </c>
      <c r="B247" s="3419" t="s">
        <v>2928</v>
      </c>
      <c r="C247" s="3419">
        <v>6480</v>
      </c>
      <c r="D247" s="3419">
        <v>6450</v>
      </c>
      <c r="E247" s="3419">
        <v>8010</v>
      </c>
      <c r="F247" s="3425">
        <v>1170</v>
      </c>
      <c r="G247" s="3425">
        <v>3960</v>
      </c>
      <c r="I247" s="1024"/>
      <c r="J247" s="3455"/>
      <c r="K247" s="3455"/>
      <c r="L247" s="3455"/>
      <c r="M247" s="3455"/>
      <c r="N247" s="3455"/>
      <c r="O247" s="3455"/>
      <c r="P247" s="3455"/>
      <c r="Q247" s="3455"/>
      <c r="R247" s="3455"/>
      <c r="S247" s="3455"/>
      <c r="T247" s="3455"/>
      <c r="U247" s="3455"/>
    </row>
    <row r="248" spans="1:21" s="1011" customFormat="1" ht="14.25" customHeight="1">
      <c r="A248" s="3419" t="s">
        <v>1155</v>
      </c>
      <c r="B248" s="3419" t="s">
        <v>1075</v>
      </c>
      <c r="C248" s="3419">
        <v>6860</v>
      </c>
      <c r="D248" s="3419">
        <v>6840</v>
      </c>
      <c r="E248" s="3419">
        <v>8520</v>
      </c>
      <c r="F248" s="3425">
        <v>1240</v>
      </c>
      <c r="G248" s="3425">
        <v>4200</v>
      </c>
      <c r="I248" s="1024"/>
      <c r="J248" s="3455"/>
      <c r="K248" s="3455"/>
      <c r="L248" s="3455"/>
      <c r="M248" s="3455"/>
      <c r="N248" s="3455"/>
      <c r="O248" s="3455"/>
      <c r="P248" s="3455"/>
      <c r="Q248" s="3455"/>
      <c r="R248" s="3455"/>
      <c r="S248" s="3455"/>
      <c r="T248" s="3455"/>
      <c r="U248" s="3455"/>
    </row>
    <row r="249" spans="1:21" s="1011" customFormat="1" ht="14.25" customHeight="1">
      <c r="A249" s="3419" t="s">
        <v>1155</v>
      </c>
      <c r="B249" s="3419" t="s">
        <v>2929</v>
      </c>
      <c r="C249" s="3419">
        <v>7180</v>
      </c>
      <c r="D249" s="3419">
        <v>7140</v>
      </c>
      <c r="E249" s="3419">
        <v>8900</v>
      </c>
      <c r="F249" s="3425">
        <v>1350</v>
      </c>
      <c r="G249" s="3425">
        <v>4380</v>
      </c>
      <c r="I249" s="1024"/>
      <c r="J249" s="3455"/>
      <c r="K249" s="3455"/>
      <c r="L249" s="3455"/>
      <c r="M249" s="3455"/>
      <c r="N249" s="3455"/>
      <c r="O249" s="3455"/>
      <c r="P249" s="3455"/>
      <c r="Q249" s="3455"/>
      <c r="R249" s="3455"/>
      <c r="S249" s="3455"/>
      <c r="T249" s="3455"/>
      <c r="U249" s="3455"/>
    </row>
    <row r="250" spans="1:21" s="1011" customFormat="1" ht="14.25" customHeight="1">
      <c r="A250" s="3419" t="s">
        <v>1155</v>
      </c>
      <c r="B250" s="3419" t="s">
        <v>1089</v>
      </c>
      <c r="C250" s="3419">
        <v>6880</v>
      </c>
      <c r="D250" s="3419">
        <v>6860</v>
      </c>
      <c r="E250" s="3419">
        <v>8550</v>
      </c>
      <c r="F250" s="3425">
        <v>1220</v>
      </c>
      <c r="G250" s="3425">
        <v>4210</v>
      </c>
      <c r="I250" s="1024"/>
      <c r="J250" s="3455"/>
      <c r="K250" s="3455"/>
      <c r="L250" s="3455"/>
      <c r="M250" s="3455"/>
      <c r="N250" s="3455"/>
      <c r="O250" s="3455"/>
      <c r="P250" s="3455"/>
      <c r="Q250" s="3455"/>
      <c r="R250" s="3455"/>
      <c r="S250" s="3455"/>
      <c r="T250" s="3455"/>
      <c r="U250" s="3455"/>
    </row>
    <row r="251" spans="1:21" s="1011" customFormat="1" ht="14.25" customHeight="1">
      <c r="A251" s="3419" t="s">
        <v>1155</v>
      </c>
      <c r="B251" s="3419" t="s">
        <v>1097</v>
      </c>
      <c r="C251" s="3419"/>
      <c r="D251" s="3419"/>
      <c r="E251" s="3419"/>
      <c r="F251" s="3425">
        <v>1100</v>
      </c>
      <c r="G251" s="3425"/>
      <c r="I251" s="1024"/>
      <c r="J251" s="3455"/>
      <c r="K251" s="3455"/>
      <c r="L251" s="3455"/>
      <c r="M251" s="3455"/>
      <c r="N251" s="3455"/>
      <c r="O251" s="3455"/>
      <c r="P251" s="3455"/>
      <c r="Q251" s="3455"/>
      <c r="R251" s="3455"/>
      <c r="S251" s="3455"/>
      <c r="T251" s="3455"/>
      <c r="U251" s="3455"/>
    </row>
    <row r="252" spans="1:21" s="1011" customFormat="1" ht="14.25" customHeight="1">
      <c r="A252" s="3419" t="s">
        <v>1155</v>
      </c>
      <c r="B252" s="3419" t="s">
        <v>2930</v>
      </c>
      <c r="C252" s="3419">
        <v>7240</v>
      </c>
      <c r="D252" s="3419">
        <v>7200</v>
      </c>
      <c r="E252" s="3419">
        <v>9040</v>
      </c>
      <c r="F252" s="3425">
        <v>1380</v>
      </c>
      <c r="G252" s="3425">
        <v>4420</v>
      </c>
      <c r="I252" s="1024"/>
      <c r="J252" s="3455"/>
      <c r="K252" s="3455"/>
      <c r="L252" s="3455"/>
      <c r="M252" s="3455"/>
      <c r="N252" s="3455"/>
      <c r="O252" s="3455"/>
      <c r="P252" s="3455"/>
      <c r="Q252" s="3455"/>
      <c r="R252" s="3455"/>
      <c r="S252" s="3455"/>
      <c r="T252" s="3455"/>
      <c r="U252" s="3455"/>
    </row>
    <row r="253" spans="1:21" s="1011" customFormat="1" ht="14.25" customHeight="1">
      <c r="A253" s="3419" t="s">
        <v>1155</v>
      </c>
      <c r="B253" s="3419" t="s">
        <v>1132</v>
      </c>
      <c r="C253" s="3419">
        <v>6670</v>
      </c>
      <c r="D253" s="3419">
        <v>6650</v>
      </c>
      <c r="E253" s="3419">
        <v>8350</v>
      </c>
      <c r="F253" s="3425">
        <v>1260</v>
      </c>
      <c r="G253" s="3425">
        <v>4080</v>
      </c>
      <c r="I253" s="1024"/>
      <c r="J253" s="3455"/>
      <c r="K253" s="3455"/>
      <c r="L253" s="3455"/>
      <c r="M253" s="3455"/>
      <c r="N253" s="3455"/>
      <c r="O253" s="3455"/>
      <c r="P253" s="3455"/>
      <c r="Q253" s="3455"/>
      <c r="R253" s="3455"/>
      <c r="S253" s="3455"/>
      <c r="T253" s="3455"/>
      <c r="U253" s="3455"/>
    </row>
    <row r="254" spans="1:21" s="1011" customFormat="1" ht="14.25" customHeight="1">
      <c r="A254" s="3419" t="s">
        <v>1155</v>
      </c>
      <c r="B254" s="3419" t="s">
        <v>1135</v>
      </c>
      <c r="C254" s="3428">
        <v>7630</v>
      </c>
      <c r="D254" s="3428">
        <v>7590</v>
      </c>
      <c r="E254" s="3428">
        <v>9380</v>
      </c>
      <c r="F254" s="3427">
        <v>1320</v>
      </c>
      <c r="G254" s="3425">
        <v>4660</v>
      </c>
      <c r="I254" s="1024"/>
      <c r="J254" s="3455"/>
      <c r="K254" s="3455"/>
      <c r="L254" s="3455"/>
      <c r="M254" s="3455"/>
      <c r="N254" s="3455"/>
      <c r="O254" s="3455"/>
      <c r="P254" s="3455"/>
      <c r="Q254" s="3455"/>
      <c r="R254" s="3455"/>
      <c r="S254" s="3455"/>
      <c r="T254" s="3455"/>
      <c r="U254" s="3455"/>
    </row>
    <row r="255" spans="1:21" s="1011" customFormat="1" ht="14.25" customHeight="1">
      <c r="A255" s="3419" t="s">
        <v>1155</v>
      </c>
      <c r="B255" s="3419" t="s">
        <v>1138</v>
      </c>
      <c r="C255" s="3428">
        <v>6940</v>
      </c>
      <c r="D255" s="3428">
        <v>6890</v>
      </c>
      <c r="E255" s="3428">
        <v>8650</v>
      </c>
      <c r="F255" s="3427">
        <v>1210</v>
      </c>
      <c r="G255" s="3425">
        <v>4230</v>
      </c>
      <c r="I255" s="1024"/>
      <c r="J255" s="3455"/>
      <c r="K255" s="3455"/>
      <c r="L255" s="3455"/>
      <c r="M255" s="3455"/>
      <c r="N255" s="3455"/>
      <c r="O255" s="3455"/>
      <c r="P255" s="3455"/>
      <c r="Q255" s="3455"/>
      <c r="R255" s="3455"/>
      <c r="S255" s="3455"/>
      <c r="T255" s="3455"/>
      <c r="U255" s="3455"/>
    </row>
    <row r="256" spans="1:21" s="1011" customFormat="1" ht="14.25" customHeight="1">
      <c r="A256" s="3419" t="s">
        <v>1155</v>
      </c>
      <c r="B256" s="3419" t="s">
        <v>2931</v>
      </c>
      <c r="C256" s="3419">
        <v>7520</v>
      </c>
      <c r="D256" s="3419">
        <v>7490</v>
      </c>
      <c r="E256" s="3419">
        <v>9240</v>
      </c>
      <c r="F256" s="3425">
        <v>1270</v>
      </c>
      <c r="G256" s="3425">
        <v>4590</v>
      </c>
      <c r="I256" s="1024"/>
      <c r="J256" s="3455"/>
      <c r="K256" s="3455"/>
      <c r="L256" s="3455"/>
      <c r="M256" s="3455"/>
      <c r="N256" s="3455"/>
      <c r="O256" s="3455"/>
      <c r="P256" s="3455"/>
      <c r="Q256" s="3455"/>
      <c r="R256" s="3455"/>
      <c r="S256" s="3455"/>
      <c r="T256" s="3455"/>
      <c r="U256" s="3455"/>
    </row>
    <row r="257" spans="1:21" s="1011" customFormat="1" ht="14.25" customHeight="1">
      <c r="A257" s="3419" t="s">
        <v>1155</v>
      </c>
      <c r="B257" s="3419" t="s">
        <v>1124</v>
      </c>
      <c r="C257" s="3419">
        <v>6280</v>
      </c>
      <c r="D257" s="3419">
        <v>6230</v>
      </c>
      <c r="E257" s="3419">
        <v>7740</v>
      </c>
      <c r="F257" s="3425">
        <v>1080</v>
      </c>
      <c r="G257" s="3425">
        <v>3830</v>
      </c>
      <c r="I257" s="1024"/>
      <c r="J257" s="3455"/>
      <c r="K257" s="3455"/>
      <c r="L257" s="3455"/>
      <c r="M257" s="3455"/>
      <c r="N257" s="3455"/>
      <c r="O257" s="3455"/>
      <c r="P257" s="3455"/>
      <c r="Q257" s="3455"/>
      <c r="R257" s="3455"/>
      <c r="S257" s="3455"/>
      <c r="T257" s="3455"/>
      <c r="U257" s="3455"/>
    </row>
    <row r="258" spans="1:21" s="1011" customFormat="1" ht="14.25" customHeight="1">
      <c r="A258" s="3419" t="s">
        <v>1155</v>
      </c>
      <c r="B258" s="3419" t="s">
        <v>2932</v>
      </c>
      <c r="C258" s="3419">
        <v>6190</v>
      </c>
      <c r="D258" s="3419">
        <v>6160</v>
      </c>
      <c r="E258" s="3419">
        <v>7680</v>
      </c>
      <c r="F258" s="3425">
        <v>1170</v>
      </c>
      <c r="G258" s="3425">
        <v>3780</v>
      </c>
      <c r="I258" s="1024"/>
      <c r="J258" s="3455"/>
      <c r="K258" s="3455"/>
      <c r="L258" s="3455"/>
      <c r="M258" s="3455"/>
      <c r="N258" s="3455"/>
      <c r="O258" s="3455"/>
      <c r="P258" s="3455"/>
      <c r="Q258" s="3455"/>
      <c r="R258" s="3455"/>
      <c r="S258" s="3455"/>
      <c r="T258" s="3455"/>
      <c r="U258" s="3455"/>
    </row>
    <row r="259" spans="1:21" s="1011" customFormat="1" ht="14.25" customHeight="1">
      <c r="A259" s="3419" t="s">
        <v>1155</v>
      </c>
      <c r="B259" s="3419" t="s">
        <v>2933</v>
      </c>
      <c r="C259" s="3419">
        <v>7610</v>
      </c>
      <c r="D259" s="3419">
        <v>7570</v>
      </c>
      <c r="E259" s="3419">
        <v>9350</v>
      </c>
      <c r="F259" s="3425">
        <v>1350</v>
      </c>
      <c r="G259" s="3425">
        <v>4650</v>
      </c>
      <c r="I259" s="1024"/>
      <c r="J259" s="3455"/>
      <c r="K259" s="3455"/>
      <c r="L259" s="3455"/>
      <c r="M259" s="3455"/>
      <c r="N259" s="3455"/>
      <c r="O259" s="3455"/>
      <c r="P259" s="3455"/>
      <c r="Q259" s="3455"/>
      <c r="R259" s="3455"/>
      <c r="S259" s="3455"/>
      <c r="T259" s="3455"/>
      <c r="U259" s="3455"/>
    </row>
    <row r="260" spans="1:21" s="1011" customFormat="1" ht="14.25" customHeight="1">
      <c r="A260" s="3419" t="s">
        <v>1155</v>
      </c>
      <c r="B260" s="3419" t="s">
        <v>2934</v>
      </c>
      <c r="C260" s="3419">
        <v>6920</v>
      </c>
      <c r="D260" s="3419">
        <v>6880</v>
      </c>
      <c r="E260" s="3419">
        <v>8380</v>
      </c>
      <c r="F260" s="3425">
        <v>1160</v>
      </c>
      <c r="G260" s="3425">
        <v>4220</v>
      </c>
      <c r="I260" s="1024"/>
      <c r="J260" s="3455"/>
      <c r="K260" s="3455"/>
      <c r="L260" s="3455"/>
      <c r="M260" s="3455"/>
      <c r="N260" s="3455"/>
      <c r="O260" s="3455"/>
      <c r="P260" s="3455"/>
      <c r="Q260" s="3455"/>
      <c r="R260" s="3455"/>
      <c r="S260" s="3455"/>
      <c r="T260" s="3455"/>
      <c r="U260" s="3455"/>
    </row>
    <row r="261" spans="1:21" s="1011" customFormat="1" ht="14.25" customHeight="1">
      <c r="A261" s="3419" t="s">
        <v>1155</v>
      </c>
      <c r="B261" s="3419" t="s">
        <v>2935</v>
      </c>
      <c r="C261" s="3419">
        <v>6850</v>
      </c>
      <c r="D261" s="3419">
        <v>6810</v>
      </c>
      <c r="E261" s="3419">
        <v>8290</v>
      </c>
      <c r="F261" s="3425">
        <v>1130</v>
      </c>
      <c r="G261" s="3425">
        <v>4180</v>
      </c>
      <c r="I261" s="1024"/>
      <c r="J261" s="3455"/>
      <c r="K261" s="3455"/>
      <c r="L261" s="3455"/>
      <c r="M261" s="3455"/>
      <c r="N261" s="3455"/>
      <c r="O261" s="3455"/>
      <c r="P261" s="3455"/>
      <c r="Q261" s="3455"/>
      <c r="R261" s="3455"/>
      <c r="S261" s="3455"/>
      <c r="T261" s="3455"/>
      <c r="U261" s="3455"/>
    </row>
    <row r="262" spans="1:21" s="1011" customFormat="1" ht="14.25" customHeight="1">
      <c r="A262" s="3419" t="s">
        <v>1155</v>
      </c>
      <c r="B262" s="3419" t="s">
        <v>2936</v>
      </c>
      <c r="C262" s="3419">
        <v>5860</v>
      </c>
      <c r="D262" s="3419">
        <v>5820</v>
      </c>
      <c r="E262" s="3419">
        <v>7640</v>
      </c>
      <c r="F262" s="3425">
        <v>1070</v>
      </c>
      <c r="G262" s="3427">
        <v>3570</v>
      </c>
      <c r="I262" s="1024"/>
      <c r="J262" s="3455"/>
      <c r="K262" s="3455"/>
      <c r="L262" s="3455"/>
      <c r="M262" s="3455"/>
      <c r="N262" s="3455"/>
      <c r="O262" s="3455"/>
      <c r="P262" s="3455"/>
      <c r="Q262" s="3455"/>
      <c r="R262" s="3455"/>
      <c r="S262" s="3455"/>
      <c r="T262" s="3455"/>
      <c r="U262" s="3455"/>
    </row>
    <row r="263" spans="1:21" s="1011" customFormat="1" ht="14.25" customHeight="1">
      <c r="A263" s="3419" t="s">
        <v>1155</v>
      </c>
      <c r="B263" s="3419" t="s">
        <v>2937</v>
      </c>
      <c r="C263" s="3419">
        <v>5870</v>
      </c>
      <c r="D263" s="3419">
        <v>5840</v>
      </c>
      <c r="E263" s="3419">
        <v>7270</v>
      </c>
      <c r="F263" s="3425">
        <v>1190</v>
      </c>
      <c r="G263" s="3425">
        <v>3580</v>
      </c>
      <c r="I263" s="1024"/>
      <c r="J263" s="3455"/>
      <c r="K263" s="3455"/>
      <c r="L263" s="3455"/>
      <c r="M263" s="3455"/>
      <c r="N263" s="3455"/>
      <c r="O263" s="3455"/>
      <c r="P263" s="3455"/>
      <c r="Q263" s="3455"/>
      <c r="R263" s="3455"/>
      <c r="S263" s="3455"/>
      <c r="T263" s="3455"/>
      <c r="U263" s="3455"/>
    </row>
    <row r="264" spans="1:21" s="1011" customFormat="1" ht="14.25" customHeight="1">
      <c r="A264" s="3419" t="s">
        <v>1155</v>
      </c>
      <c r="B264" s="3419" t="s">
        <v>1148</v>
      </c>
      <c r="C264" s="3419">
        <v>6190</v>
      </c>
      <c r="D264" s="3419">
        <v>6150</v>
      </c>
      <c r="E264" s="3419">
        <v>7660</v>
      </c>
      <c r="F264" s="3425">
        <v>1160</v>
      </c>
      <c r="G264" s="3425">
        <v>3770</v>
      </c>
      <c r="I264" s="1024"/>
      <c r="J264" s="3455"/>
      <c r="K264" s="3455"/>
      <c r="L264" s="3455"/>
      <c r="M264" s="3455"/>
      <c r="N264" s="3455"/>
      <c r="O264" s="3455"/>
      <c r="P264" s="3455"/>
      <c r="Q264" s="3455"/>
      <c r="R264" s="3455"/>
      <c r="S264" s="3455"/>
      <c r="T264" s="3455"/>
      <c r="U264" s="3455"/>
    </row>
    <row r="265" spans="1:21" s="1011" customFormat="1" ht="14.25" customHeight="1">
      <c r="A265" s="3419" t="s">
        <v>1155</v>
      </c>
      <c r="B265" s="3419" t="s">
        <v>2938</v>
      </c>
      <c r="C265" s="3419"/>
      <c r="D265" s="3419"/>
      <c r="E265" s="3419"/>
      <c r="F265" s="3425">
        <v>1500</v>
      </c>
      <c r="G265" s="3425"/>
      <c r="I265" s="1024"/>
      <c r="J265" s="3455"/>
      <c r="K265" s="3455"/>
      <c r="L265" s="3455"/>
      <c r="M265" s="3455"/>
      <c r="N265" s="3455"/>
      <c r="O265" s="3455"/>
      <c r="P265" s="3455"/>
      <c r="Q265" s="3455"/>
      <c r="R265" s="3455"/>
      <c r="S265" s="3455"/>
      <c r="T265" s="3455"/>
      <c r="U265" s="3455"/>
    </row>
    <row r="266" spans="1:21" s="1011" customFormat="1" ht="14.25" customHeight="1">
      <c r="A266" s="3419" t="s">
        <v>1155</v>
      </c>
      <c r="B266" s="3419" t="s">
        <v>2939</v>
      </c>
      <c r="C266" s="3419"/>
      <c r="D266" s="3419"/>
      <c r="E266" s="3419"/>
      <c r="F266" s="3425">
        <v>1500</v>
      </c>
      <c r="G266" s="3425"/>
      <c r="I266" s="1024"/>
      <c r="J266" s="3455"/>
      <c r="K266" s="3455"/>
      <c r="L266" s="3455"/>
      <c r="M266" s="3455"/>
      <c r="N266" s="3455"/>
      <c r="O266" s="3455"/>
      <c r="P266" s="3455"/>
      <c r="Q266" s="3455"/>
      <c r="R266" s="3455"/>
      <c r="S266" s="3455"/>
      <c r="T266" s="3455"/>
      <c r="U266" s="3455"/>
    </row>
    <row r="267" spans="1:21" s="1011" customFormat="1" ht="14.25" customHeight="1">
      <c r="A267" s="3419" t="s">
        <v>1155</v>
      </c>
      <c r="B267" s="3419" t="s">
        <v>2940</v>
      </c>
      <c r="C267" s="3419"/>
      <c r="D267" s="3419"/>
      <c r="E267" s="3419"/>
      <c r="F267" s="3425">
        <v>1500</v>
      </c>
      <c r="G267" s="3427"/>
      <c r="I267" s="1024"/>
      <c r="J267" s="3455"/>
      <c r="K267" s="3455"/>
      <c r="L267" s="3455"/>
      <c r="M267" s="3455"/>
      <c r="N267" s="3455"/>
      <c r="O267" s="3455"/>
      <c r="P267" s="3455"/>
      <c r="Q267" s="3455"/>
      <c r="R267" s="3455"/>
      <c r="S267" s="3455"/>
      <c r="T267" s="3455"/>
      <c r="U267" s="3455"/>
    </row>
    <row r="268" spans="1:21" s="1011" customFormat="1" ht="14.25" customHeight="1">
      <c r="A268" s="3419" t="s">
        <v>1155</v>
      </c>
      <c r="B268" s="3419" t="s">
        <v>2941</v>
      </c>
      <c r="C268" s="3419"/>
      <c r="D268" s="3419"/>
      <c r="E268" s="3419"/>
      <c r="F268" s="3425">
        <v>1290</v>
      </c>
      <c r="G268" s="3425"/>
      <c r="I268" s="1024"/>
      <c r="J268" s="3455"/>
      <c r="K268" s="3455"/>
      <c r="L268" s="3455"/>
      <c r="M268" s="3455"/>
      <c r="N268" s="3455"/>
      <c r="O268" s="3455"/>
      <c r="P268" s="3455"/>
      <c r="Q268" s="3455"/>
      <c r="R268" s="3455"/>
      <c r="S268" s="3455"/>
      <c r="T268" s="3455"/>
      <c r="U268" s="3455"/>
    </row>
    <row r="269" spans="1:21" s="1011" customFormat="1" ht="14.25" customHeight="1">
      <c r="A269" s="3419" t="s">
        <v>1155</v>
      </c>
      <c r="B269" s="3419" t="s">
        <v>2942</v>
      </c>
      <c r="C269" s="3419"/>
      <c r="D269" s="3419"/>
      <c r="E269" s="3419"/>
      <c r="F269" s="3425">
        <v>1150</v>
      </c>
      <c r="G269" s="3425"/>
      <c r="I269" s="1024"/>
      <c r="J269" s="3455"/>
      <c r="K269" s="3455"/>
      <c r="L269" s="3455"/>
      <c r="M269" s="3455"/>
      <c r="N269" s="3455"/>
      <c r="O269" s="3455"/>
      <c r="P269" s="3455"/>
      <c r="Q269" s="3455"/>
      <c r="R269" s="3455"/>
      <c r="S269" s="3455"/>
      <c r="T269" s="3455"/>
      <c r="U269" s="3455"/>
    </row>
    <row r="270" spans="1:21" s="1011" customFormat="1" ht="14.25" customHeight="1">
      <c r="A270" s="3419" t="s">
        <v>1155</v>
      </c>
      <c r="B270" s="3419" t="s">
        <v>2943</v>
      </c>
      <c r="C270" s="3419"/>
      <c r="D270" s="3419"/>
      <c r="E270" s="3419"/>
      <c r="F270" s="3425">
        <v>1380</v>
      </c>
      <c r="G270" s="3425"/>
      <c r="I270" s="1024"/>
      <c r="J270" s="3455"/>
      <c r="K270" s="3455"/>
      <c r="L270" s="3455"/>
      <c r="M270" s="3455"/>
      <c r="N270" s="3455"/>
      <c r="O270" s="3455"/>
      <c r="P270" s="3455"/>
      <c r="Q270" s="3455"/>
      <c r="R270" s="3455"/>
      <c r="S270" s="3455"/>
      <c r="T270" s="3455"/>
      <c r="U270" s="3455"/>
    </row>
    <row r="271" spans="1:21" s="1011" customFormat="1" ht="14.25" customHeight="1">
      <c r="A271" s="3419" t="s">
        <v>1155</v>
      </c>
      <c r="B271" s="3419" t="s">
        <v>2944</v>
      </c>
      <c r="C271" s="3419"/>
      <c r="D271" s="3419"/>
      <c r="E271" s="3419"/>
      <c r="F271" s="3425">
        <v>1460</v>
      </c>
      <c r="G271" s="3425"/>
      <c r="I271" s="1024"/>
      <c r="J271" s="3455"/>
      <c r="K271" s="3455"/>
      <c r="L271" s="3455"/>
      <c r="M271" s="3455"/>
      <c r="N271" s="3455"/>
      <c r="O271" s="3455"/>
      <c r="P271" s="3455"/>
      <c r="Q271" s="3455"/>
      <c r="R271" s="3455"/>
      <c r="S271" s="3455"/>
      <c r="T271" s="3455"/>
      <c r="U271" s="3455"/>
    </row>
    <row r="272" spans="1:21" s="1011" customFormat="1" ht="14.25" customHeight="1">
      <c r="A272" s="3419" t="s">
        <v>1155</v>
      </c>
      <c r="B272" s="3419" t="s">
        <v>2945</v>
      </c>
      <c r="C272" s="3428"/>
      <c r="D272" s="3428"/>
      <c r="E272" s="3428"/>
      <c r="F272" s="3427">
        <v>1460</v>
      </c>
      <c r="G272" s="3425"/>
      <c r="I272" s="1024"/>
      <c r="J272" s="3455"/>
      <c r="K272" s="3455"/>
      <c r="L272" s="3455"/>
      <c r="M272" s="3455"/>
      <c r="N272" s="3455"/>
      <c r="O272" s="3455"/>
      <c r="P272" s="3455"/>
      <c r="Q272" s="3455"/>
      <c r="R272" s="3455"/>
      <c r="S272" s="3455"/>
      <c r="T272" s="3455"/>
      <c r="U272" s="3455"/>
    </row>
    <row r="273" spans="1:21" s="1011" customFormat="1" ht="14.25" customHeight="1">
      <c r="A273" s="3419" t="s">
        <v>1155</v>
      </c>
      <c r="B273" s="3419" t="s">
        <v>2946</v>
      </c>
      <c r="C273" s="3419"/>
      <c r="D273" s="3419"/>
      <c r="E273" s="3419"/>
      <c r="F273" s="3425">
        <v>1490</v>
      </c>
      <c r="G273" s="3425"/>
      <c r="I273" s="1024"/>
      <c r="J273" s="3455"/>
      <c r="K273" s="3455"/>
      <c r="L273" s="3455"/>
      <c r="M273" s="3455"/>
      <c r="N273" s="3455"/>
      <c r="O273" s="3455"/>
      <c r="P273" s="3455"/>
      <c r="Q273" s="3455"/>
      <c r="R273" s="3455"/>
      <c r="S273" s="3455"/>
      <c r="T273" s="3455"/>
      <c r="U273" s="3455"/>
    </row>
    <row r="274" spans="1:21" s="1011" customFormat="1" ht="14.25" customHeight="1">
      <c r="A274" s="3419" t="s">
        <v>1155</v>
      </c>
      <c r="B274" s="3419" t="s">
        <v>2947</v>
      </c>
      <c r="C274" s="3419"/>
      <c r="D274" s="3419"/>
      <c r="E274" s="3419"/>
      <c r="F274" s="3425">
        <v>1490</v>
      </c>
      <c r="G274" s="3425"/>
      <c r="I274" s="1024"/>
      <c r="J274" s="3455"/>
      <c r="K274" s="3455"/>
      <c r="L274" s="3455"/>
      <c r="M274" s="3455"/>
      <c r="N274" s="3455"/>
      <c r="O274" s="3455"/>
      <c r="P274" s="3455"/>
      <c r="Q274" s="3455"/>
      <c r="R274" s="3455"/>
      <c r="S274" s="3455"/>
      <c r="T274" s="3455"/>
      <c r="U274" s="3455"/>
    </row>
    <row r="275" spans="1:21" s="1011" customFormat="1" ht="14.25" customHeight="1">
      <c r="A275" s="3419" t="s">
        <v>1155</v>
      </c>
      <c r="B275" s="3419" t="s">
        <v>2948</v>
      </c>
      <c r="C275" s="3419"/>
      <c r="D275" s="3419"/>
      <c r="E275" s="3419"/>
      <c r="F275" s="3425">
        <v>1220</v>
      </c>
      <c r="G275" s="3425"/>
      <c r="I275" s="1024"/>
      <c r="J275" s="3455"/>
      <c r="K275" s="3455"/>
      <c r="L275" s="3455"/>
      <c r="M275" s="3455"/>
      <c r="N275" s="3455"/>
      <c r="O275" s="3455"/>
      <c r="P275" s="3455"/>
      <c r="Q275" s="3455"/>
      <c r="R275" s="3455"/>
      <c r="S275" s="3455"/>
      <c r="T275" s="3455"/>
      <c r="U275" s="3455"/>
    </row>
    <row r="276" spans="1:21" s="1011" customFormat="1" ht="14.25" customHeight="1" thickBot="1">
      <c r="A276" s="3434" t="s">
        <v>1155</v>
      </c>
      <c r="B276" s="3422" t="s">
        <v>2949</v>
      </c>
      <c r="C276" s="3422"/>
      <c r="D276" s="3422"/>
      <c r="E276" s="3422"/>
      <c r="F276" s="3423">
        <v>1380</v>
      </c>
      <c r="G276" s="3435"/>
      <c r="I276" s="1024"/>
      <c r="J276" s="3455"/>
      <c r="K276" s="3455"/>
      <c r="L276" s="3455"/>
      <c r="M276" s="3455"/>
      <c r="N276" s="3455"/>
      <c r="O276" s="3455"/>
      <c r="P276" s="3455"/>
      <c r="Q276" s="3455"/>
      <c r="R276" s="3455"/>
      <c r="S276" s="3455"/>
      <c r="T276" s="3455"/>
      <c r="U276" s="3455"/>
    </row>
    <row r="277" spans="1:21" s="1011" customFormat="1" ht="14.25" customHeight="1">
      <c r="A277" s="3433" t="s">
        <v>1156</v>
      </c>
      <c r="B277" s="1288" t="s">
        <v>2950</v>
      </c>
      <c r="C277" s="1288">
        <v>5790</v>
      </c>
      <c r="D277" s="1288">
        <v>5740</v>
      </c>
      <c r="E277" s="1288">
        <v>6730</v>
      </c>
      <c r="F277" s="3420">
        <v>1110</v>
      </c>
      <c r="G277" s="3420">
        <v>3460</v>
      </c>
      <c r="I277" s="1024"/>
      <c r="J277" s="3455"/>
      <c r="K277" s="3455"/>
      <c r="L277" s="3455"/>
      <c r="M277" s="3455"/>
      <c r="N277" s="3455"/>
      <c r="O277" s="3455"/>
      <c r="P277" s="3455"/>
      <c r="Q277" s="3455"/>
      <c r="R277" s="3455"/>
      <c r="S277" s="3455"/>
      <c r="T277" s="3455"/>
      <c r="U277" s="3455"/>
    </row>
    <row r="278" spans="1:21" s="1011" customFormat="1" ht="14.25" customHeight="1">
      <c r="A278" s="3419" t="s">
        <v>1156</v>
      </c>
      <c r="B278" s="3419" t="s">
        <v>980</v>
      </c>
      <c r="C278" s="3419">
        <v>5740</v>
      </c>
      <c r="D278" s="3419">
        <v>5670</v>
      </c>
      <c r="E278" s="3419">
        <v>6680</v>
      </c>
      <c r="F278" s="3425">
        <v>1070</v>
      </c>
      <c r="G278" s="3425">
        <v>3420</v>
      </c>
      <c r="I278" s="1024"/>
      <c r="J278" s="3455"/>
      <c r="K278" s="3455"/>
      <c r="L278" s="3455"/>
      <c r="M278" s="3455"/>
      <c r="N278" s="3455"/>
      <c r="O278" s="3455"/>
      <c r="P278" s="3455"/>
      <c r="Q278" s="3455"/>
      <c r="R278" s="3455"/>
      <c r="S278" s="3455"/>
      <c r="T278" s="3455"/>
      <c r="U278" s="3455"/>
    </row>
    <row r="279" spans="1:21" s="1011" customFormat="1" ht="14.25" customHeight="1">
      <c r="A279" s="3419" t="s">
        <v>1156</v>
      </c>
      <c r="B279" s="3419" t="s">
        <v>2951</v>
      </c>
      <c r="C279" s="3419">
        <v>4760</v>
      </c>
      <c r="D279" s="3419">
        <v>4720</v>
      </c>
      <c r="E279" s="3419">
        <v>5540</v>
      </c>
      <c r="F279" s="3425">
        <v>810</v>
      </c>
      <c r="G279" s="3425">
        <v>2850</v>
      </c>
      <c r="I279" s="1024"/>
      <c r="J279" s="3455"/>
      <c r="K279" s="3455"/>
      <c r="L279" s="3455"/>
      <c r="M279" s="3455"/>
      <c r="N279" s="3455"/>
      <c r="O279" s="3455"/>
      <c r="P279" s="3455"/>
      <c r="Q279" s="3455"/>
      <c r="R279" s="3455"/>
      <c r="S279" s="3455"/>
      <c r="T279" s="3455"/>
      <c r="U279" s="3455"/>
    </row>
    <row r="280" spans="1:21" s="1011" customFormat="1" ht="14.25" customHeight="1">
      <c r="A280" s="3419" t="s">
        <v>1156</v>
      </c>
      <c r="B280" s="3419" t="s">
        <v>2952</v>
      </c>
      <c r="C280" s="3419">
        <v>4010</v>
      </c>
      <c r="D280" s="3419">
        <v>3950</v>
      </c>
      <c r="E280" s="3419">
        <v>4710</v>
      </c>
      <c r="F280" s="3425">
        <v>800</v>
      </c>
      <c r="G280" s="3425">
        <v>2390</v>
      </c>
      <c r="I280" s="1024"/>
      <c r="J280" s="3455"/>
      <c r="K280" s="3455"/>
      <c r="L280" s="3455"/>
      <c r="M280" s="3455"/>
      <c r="N280" s="3455"/>
      <c r="O280" s="3455"/>
      <c r="P280" s="3455"/>
      <c r="Q280" s="3455"/>
      <c r="R280" s="3455"/>
      <c r="S280" s="3455"/>
      <c r="T280" s="3455"/>
      <c r="U280" s="3455"/>
    </row>
    <row r="281" spans="1:21" s="1011" customFormat="1" ht="14.25" customHeight="1">
      <c r="A281" s="3419" t="s">
        <v>1156</v>
      </c>
      <c r="B281" s="3419" t="s">
        <v>2953</v>
      </c>
      <c r="C281" s="3419">
        <v>4480</v>
      </c>
      <c r="D281" s="3419">
        <v>4420</v>
      </c>
      <c r="E281" s="3419">
        <v>5230</v>
      </c>
      <c r="F281" s="3425">
        <v>870</v>
      </c>
      <c r="G281" s="3425">
        <v>2660</v>
      </c>
      <c r="I281" s="1024"/>
      <c r="J281" s="3455"/>
      <c r="K281" s="3455"/>
      <c r="L281" s="3455"/>
      <c r="M281" s="3455"/>
      <c r="N281" s="3455"/>
      <c r="O281" s="3455"/>
      <c r="P281" s="3455"/>
      <c r="Q281" s="3455"/>
      <c r="R281" s="3455"/>
      <c r="S281" s="3455"/>
      <c r="T281" s="3455"/>
      <c r="U281" s="3455"/>
    </row>
    <row r="282" spans="1:21" s="1011" customFormat="1" ht="14.25" customHeight="1">
      <c r="A282" s="3419" t="s">
        <v>1156</v>
      </c>
      <c r="B282" s="3419" t="s">
        <v>2954</v>
      </c>
      <c r="C282" s="3419">
        <v>5360</v>
      </c>
      <c r="D282" s="3419">
        <v>5300</v>
      </c>
      <c r="E282" s="3419">
        <v>6190</v>
      </c>
      <c r="F282" s="3425">
        <v>950</v>
      </c>
      <c r="G282" s="3425">
        <v>3190</v>
      </c>
      <c r="I282" s="1024"/>
      <c r="J282" s="3455"/>
      <c r="K282" s="3455"/>
      <c r="L282" s="3455"/>
      <c r="M282" s="3455"/>
      <c r="N282" s="3455"/>
      <c r="O282" s="3455"/>
      <c r="P282" s="3455"/>
      <c r="Q282" s="3455"/>
      <c r="R282" s="3455"/>
      <c r="S282" s="3455"/>
      <c r="T282" s="3455"/>
      <c r="U282" s="3455"/>
    </row>
    <row r="283" spans="1:21" s="1011" customFormat="1" ht="14.25" customHeight="1">
      <c r="A283" s="3419" t="s">
        <v>1156</v>
      </c>
      <c r="B283" s="3419" t="s">
        <v>1021</v>
      </c>
      <c r="C283" s="3419">
        <v>4950</v>
      </c>
      <c r="D283" s="3419">
        <v>4900</v>
      </c>
      <c r="E283" s="3419">
        <v>5720</v>
      </c>
      <c r="F283" s="3425">
        <v>920</v>
      </c>
      <c r="G283" s="3425">
        <v>2950</v>
      </c>
      <c r="I283" s="1024"/>
      <c r="J283" s="3455"/>
      <c r="K283" s="3455"/>
      <c r="L283" s="3455"/>
      <c r="M283" s="3455"/>
      <c r="N283" s="3455"/>
      <c r="O283" s="3455"/>
      <c r="P283" s="3455"/>
      <c r="Q283" s="3455"/>
      <c r="R283" s="3455"/>
      <c r="S283" s="3455"/>
      <c r="T283" s="3455"/>
      <c r="U283" s="3455"/>
    </row>
    <row r="284" spans="1:21" s="1011" customFormat="1" ht="14.25" customHeight="1">
      <c r="A284" s="3419" t="s">
        <v>1156</v>
      </c>
      <c r="B284" s="3419" t="s">
        <v>1029</v>
      </c>
      <c r="C284" s="3419">
        <v>5610</v>
      </c>
      <c r="D284" s="3419">
        <v>5560</v>
      </c>
      <c r="E284" s="3419">
        <v>6520</v>
      </c>
      <c r="F284" s="3425">
        <v>1030</v>
      </c>
      <c r="G284" s="3425">
        <v>3360</v>
      </c>
      <c r="I284" s="1024"/>
      <c r="J284" s="3455"/>
      <c r="K284" s="3455"/>
      <c r="L284" s="3455"/>
      <c r="M284" s="3455"/>
      <c r="N284" s="3455"/>
      <c r="O284" s="3455"/>
      <c r="P284" s="3455"/>
      <c r="Q284" s="3455"/>
      <c r="R284" s="3455"/>
      <c r="S284" s="3455"/>
      <c r="T284" s="3455"/>
      <c r="U284" s="3455"/>
    </row>
    <row r="285" spans="1:21" s="1011" customFormat="1" ht="14.25" customHeight="1">
      <c r="A285" s="3419" t="s">
        <v>1156</v>
      </c>
      <c r="B285" s="3419" t="s">
        <v>1039</v>
      </c>
      <c r="C285" s="3419">
        <v>5340</v>
      </c>
      <c r="D285" s="3419">
        <v>5290</v>
      </c>
      <c r="E285" s="3419">
        <v>6170</v>
      </c>
      <c r="F285" s="3425">
        <v>1080</v>
      </c>
      <c r="G285" s="3425">
        <v>3180</v>
      </c>
      <c r="I285" s="1024"/>
      <c r="J285" s="3455"/>
      <c r="K285" s="3455"/>
      <c r="L285" s="3455"/>
      <c r="M285" s="3455"/>
      <c r="N285" s="3455"/>
      <c r="O285" s="3455"/>
      <c r="P285" s="3455"/>
      <c r="Q285" s="3455"/>
      <c r="R285" s="3455"/>
      <c r="S285" s="3455"/>
      <c r="T285" s="3455"/>
      <c r="U285" s="3455"/>
    </row>
    <row r="286" spans="1:21" s="1011" customFormat="1" ht="14.25" customHeight="1">
      <c r="A286" s="3419" t="s">
        <v>1156</v>
      </c>
      <c r="B286" s="3419" t="s">
        <v>1046</v>
      </c>
      <c r="C286" s="3419">
        <v>4890</v>
      </c>
      <c r="D286" s="3419">
        <v>4840</v>
      </c>
      <c r="E286" s="3419">
        <v>5640</v>
      </c>
      <c r="F286" s="3425">
        <v>960</v>
      </c>
      <c r="G286" s="3425">
        <v>2910</v>
      </c>
      <c r="I286" s="1024"/>
      <c r="J286" s="3455"/>
      <c r="K286" s="3455"/>
      <c r="L286" s="3455"/>
      <c r="M286" s="3455"/>
      <c r="N286" s="3455"/>
      <c r="O286" s="3455"/>
      <c r="P286" s="3455"/>
      <c r="Q286" s="3455"/>
      <c r="R286" s="3455"/>
      <c r="S286" s="3455"/>
      <c r="T286" s="3455"/>
      <c r="U286" s="3455"/>
    </row>
    <row r="287" spans="1:21" s="1011" customFormat="1" ht="14.25" customHeight="1">
      <c r="A287" s="3419" t="s">
        <v>1156</v>
      </c>
      <c r="B287" s="3419" t="s">
        <v>2955</v>
      </c>
      <c r="C287" s="3419">
        <v>4960</v>
      </c>
      <c r="D287" s="3419">
        <v>4920</v>
      </c>
      <c r="E287" s="3419">
        <v>5730</v>
      </c>
      <c r="F287" s="3425">
        <v>930</v>
      </c>
      <c r="G287" s="3425">
        <v>2960</v>
      </c>
      <c r="I287" s="1024"/>
      <c r="J287" s="3455"/>
      <c r="K287" s="3455"/>
      <c r="L287" s="3455"/>
      <c r="M287" s="3455"/>
      <c r="N287" s="3455"/>
      <c r="O287" s="3455"/>
      <c r="P287" s="3455"/>
      <c r="Q287" s="3455"/>
      <c r="R287" s="3455"/>
      <c r="S287" s="3455"/>
      <c r="T287" s="3455"/>
      <c r="U287" s="3455"/>
    </row>
    <row r="288" spans="1:21" s="1011" customFormat="1" ht="14.25" customHeight="1">
      <c r="A288" s="3419" t="s">
        <v>1156</v>
      </c>
      <c r="B288" s="3419" t="s">
        <v>1067</v>
      </c>
      <c r="C288" s="3419">
        <v>4350</v>
      </c>
      <c r="D288" s="3419">
        <v>4300</v>
      </c>
      <c r="E288" s="3419">
        <v>4900</v>
      </c>
      <c r="F288" s="3425">
        <v>820</v>
      </c>
      <c r="G288" s="3425">
        <v>2590</v>
      </c>
      <c r="I288" s="1024"/>
      <c r="J288" s="3455"/>
      <c r="K288" s="3455"/>
      <c r="L288" s="3455"/>
      <c r="M288" s="3455"/>
      <c r="N288" s="3455"/>
      <c r="O288" s="3455"/>
      <c r="P288" s="3455"/>
      <c r="Q288" s="3455"/>
      <c r="R288" s="3455"/>
      <c r="S288" s="3455"/>
      <c r="T288" s="3455"/>
      <c r="U288" s="3455"/>
    </row>
    <row r="289" spans="1:21" s="1011" customFormat="1" ht="14.25" customHeight="1">
      <c r="A289" s="3419" t="s">
        <v>1156</v>
      </c>
      <c r="B289" s="3419" t="s">
        <v>2956</v>
      </c>
      <c r="C289" s="3419">
        <v>5230</v>
      </c>
      <c r="D289" s="3419">
        <v>5170</v>
      </c>
      <c r="E289" s="3419">
        <v>6060</v>
      </c>
      <c r="F289" s="3419">
        <v>900</v>
      </c>
      <c r="G289" s="3419">
        <v>3120</v>
      </c>
      <c r="H289" s="3441"/>
      <c r="I289" s="1024"/>
      <c r="J289" s="3455"/>
      <c r="K289" s="3455"/>
      <c r="L289" s="3455"/>
      <c r="M289" s="3455"/>
      <c r="N289" s="3455"/>
      <c r="O289" s="3455"/>
      <c r="P289" s="3455"/>
      <c r="Q289" s="3455"/>
      <c r="R289" s="3455"/>
      <c r="S289" s="3455"/>
      <c r="T289" s="3455"/>
      <c r="U289" s="3455"/>
    </row>
    <row r="290" spans="1:21" s="1011" customFormat="1" ht="14.25" customHeight="1">
      <c r="A290" s="1288" t="s">
        <v>1156</v>
      </c>
      <c r="B290" s="1288" t="s">
        <v>1090</v>
      </c>
      <c r="C290" s="1288">
        <v>5550</v>
      </c>
      <c r="D290" s="1288">
        <v>5500</v>
      </c>
      <c r="E290" s="1288">
        <v>6440</v>
      </c>
      <c r="F290" s="3420">
        <v>960</v>
      </c>
      <c r="G290" s="3436">
        <v>3320</v>
      </c>
      <c r="I290" s="1024"/>
      <c r="J290" s="3455"/>
      <c r="K290" s="3455"/>
      <c r="L290" s="3455"/>
      <c r="M290" s="3455"/>
      <c r="N290" s="3455"/>
      <c r="O290" s="3455"/>
      <c r="P290" s="3455"/>
      <c r="Q290" s="3455"/>
      <c r="R290" s="3455"/>
      <c r="S290" s="3455"/>
      <c r="T290" s="3455"/>
      <c r="U290" s="3455"/>
    </row>
    <row r="291" spans="1:21" s="1011" customFormat="1" ht="14.25" customHeight="1">
      <c r="A291" s="3419" t="s">
        <v>1156</v>
      </c>
      <c r="B291" s="3419" t="s">
        <v>1098</v>
      </c>
      <c r="C291" s="3419">
        <v>5440</v>
      </c>
      <c r="D291" s="3419">
        <v>5400</v>
      </c>
      <c r="E291" s="3419">
        <v>6320</v>
      </c>
      <c r="F291" s="3425">
        <v>930</v>
      </c>
      <c r="G291" s="3427">
        <v>3250</v>
      </c>
      <c r="I291" s="1024"/>
      <c r="J291" s="3455"/>
      <c r="K291" s="3455"/>
      <c r="L291" s="3455"/>
      <c r="M291" s="3455"/>
      <c r="N291" s="3455"/>
      <c r="O291" s="3455"/>
      <c r="P291" s="3455"/>
      <c r="Q291" s="3455"/>
      <c r="R291" s="3455"/>
      <c r="S291" s="3455"/>
      <c r="T291" s="3455"/>
      <c r="U291" s="3455"/>
    </row>
    <row r="292" spans="1:21" s="1011" customFormat="1" ht="14.25" customHeight="1">
      <c r="A292" s="3419" t="s">
        <v>1156</v>
      </c>
      <c r="B292" s="3419" t="s">
        <v>1104</v>
      </c>
      <c r="C292" s="3419">
        <v>5400</v>
      </c>
      <c r="D292" s="3419">
        <v>5360</v>
      </c>
      <c r="E292" s="3419">
        <v>6270</v>
      </c>
      <c r="F292" s="3425">
        <v>1040</v>
      </c>
      <c r="G292" s="3425">
        <v>3230</v>
      </c>
      <c r="I292" s="1024"/>
      <c r="J292" s="3455"/>
      <c r="K292" s="3455"/>
      <c r="L292" s="3455"/>
      <c r="M292" s="3455"/>
      <c r="N292" s="3455"/>
      <c r="O292" s="3455"/>
      <c r="P292" s="3455"/>
      <c r="Q292" s="3455"/>
      <c r="R292" s="3455"/>
      <c r="S292" s="3455"/>
      <c r="T292" s="3455"/>
      <c r="U292" s="3455"/>
    </row>
    <row r="293" spans="1:21" s="1011" customFormat="1" ht="14.25" customHeight="1">
      <c r="A293" s="3419" t="s">
        <v>1156</v>
      </c>
      <c r="B293" s="3419" t="s">
        <v>2957</v>
      </c>
      <c r="C293" s="3419">
        <v>5320</v>
      </c>
      <c r="D293" s="3419">
        <v>5270</v>
      </c>
      <c r="E293" s="3419">
        <v>6160</v>
      </c>
      <c r="F293" s="3425">
        <v>990</v>
      </c>
      <c r="G293" s="3425">
        <v>3170</v>
      </c>
      <c r="I293" s="1024"/>
      <c r="J293" s="3455"/>
      <c r="K293" s="3455"/>
      <c r="L293" s="3455"/>
      <c r="M293" s="3455"/>
      <c r="N293" s="3455"/>
      <c r="O293" s="3455"/>
      <c r="P293" s="3455"/>
      <c r="Q293" s="3455"/>
      <c r="R293" s="3455"/>
      <c r="S293" s="3455"/>
      <c r="T293" s="3455"/>
      <c r="U293" s="3455"/>
    </row>
    <row r="294" spans="1:21" s="1011" customFormat="1" ht="14.25" customHeight="1">
      <c r="A294" s="3419" t="s">
        <v>1156</v>
      </c>
      <c r="B294" s="3419" t="s">
        <v>2958</v>
      </c>
      <c r="C294" s="3419">
        <v>5260</v>
      </c>
      <c r="D294" s="3419">
        <v>5210</v>
      </c>
      <c r="E294" s="3419">
        <v>6100</v>
      </c>
      <c r="F294" s="3425">
        <v>950</v>
      </c>
      <c r="G294" s="3425">
        <v>3150</v>
      </c>
      <c r="I294" s="1024"/>
      <c r="J294" s="3455"/>
      <c r="K294" s="3455"/>
      <c r="L294" s="3455"/>
      <c r="M294" s="3455"/>
      <c r="N294" s="3455"/>
      <c r="O294" s="3455"/>
      <c r="P294" s="3455"/>
      <c r="Q294" s="3455"/>
      <c r="R294" s="3455"/>
      <c r="S294" s="3455"/>
      <c r="T294" s="3455"/>
      <c r="U294" s="3455"/>
    </row>
    <row r="295" spans="1:21" s="1011" customFormat="1" ht="14.25" customHeight="1">
      <c r="A295" s="3419" t="s">
        <v>1156</v>
      </c>
      <c r="B295" s="3419" t="s">
        <v>1139</v>
      </c>
      <c r="C295" s="3419">
        <v>5610</v>
      </c>
      <c r="D295" s="3419">
        <v>5570</v>
      </c>
      <c r="E295" s="3419">
        <v>6530</v>
      </c>
      <c r="F295" s="3425">
        <v>960</v>
      </c>
      <c r="G295" s="3425">
        <v>3360</v>
      </c>
      <c r="I295" s="1024"/>
      <c r="J295" s="3455"/>
      <c r="K295" s="3455"/>
      <c r="L295" s="3455"/>
      <c r="M295" s="3455"/>
      <c r="N295" s="3455"/>
      <c r="O295" s="3455"/>
      <c r="P295" s="3455"/>
      <c r="Q295" s="3455"/>
      <c r="R295" s="3455"/>
      <c r="S295" s="3455"/>
      <c r="T295" s="3455"/>
      <c r="U295" s="3455"/>
    </row>
    <row r="296" spans="1:21" s="1011" customFormat="1" ht="14.25" customHeight="1">
      <c r="A296" s="3419" t="s">
        <v>1156</v>
      </c>
      <c r="B296" s="3419" t="s">
        <v>1142</v>
      </c>
      <c r="C296" s="3419">
        <v>5540</v>
      </c>
      <c r="D296" s="3419">
        <v>5490</v>
      </c>
      <c r="E296" s="3419">
        <v>6430</v>
      </c>
      <c r="F296" s="3425">
        <v>980</v>
      </c>
      <c r="G296" s="3425">
        <v>3310</v>
      </c>
      <c r="I296" s="1024"/>
      <c r="J296" s="3455"/>
      <c r="K296" s="3455"/>
      <c r="L296" s="3455"/>
      <c r="M296" s="3455"/>
      <c r="N296" s="3455"/>
      <c r="O296" s="3455"/>
      <c r="P296" s="3455"/>
      <c r="Q296" s="3455"/>
      <c r="R296" s="3455"/>
      <c r="S296" s="3455"/>
      <c r="T296" s="3455"/>
      <c r="U296" s="3455"/>
    </row>
    <row r="297" spans="1:21" s="1011" customFormat="1" ht="14.25" customHeight="1">
      <c r="A297" s="3419" t="s">
        <v>1156</v>
      </c>
      <c r="B297" s="3419" t="s">
        <v>1144</v>
      </c>
      <c r="C297" s="3419">
        <v>5480</v>
      </c>
      <c r="D297" s="3419">
        <v>5420</v>
      </c>
      <c r="E297" s="3419">
        <v>6370</v>
      </c>
      <c r="F297" s="3425">
        <v>990</v>
      </c>
      <c r="G297" s="3425">
        <v>3270</v>
      </c>
      <c r="I297" s="1024"/>
      <c r="J297" s="3455"/>
      <c r="K297" s="3455"/>
      <c r="L297" s="3455"/>
      <c r="M297" s="3455"/>
      <c r="N297" s="3455"/>
      <c r="O297" s="3455"/>
      <c r="P297" s="3455"/>
      <c r="Q297" s="3455"/>
      <c r="R297" s="3455"/>
      <c r="S297" s="3455"/>
      <c r="T297" s="3455"/>
      <c r="U297" s="3455"/>
    </row>
    <row r="298" spans="1:21" s="1011" customFormat="1" ht="14.25" customHeight="1">
      <c r="A298" s="3419" t="s">
        <v>1156</v>
      </c>
      <c r="B298" s="3419" t="s">
        <v>1147</v>
      </c>
      <c r="C298" s="3419">
        <v>5090</v>
      </c>
      <c r="D298" s="3419">
        <v>5050</v>
      </c>
      <c r="E298" s="3419">
        <v>5910</v>
      </c>
      <c r="F298" s="3425">
        <v>900</v>
      </c>
      <c r="G298" s="3425">
        <v>3040</v>
      </c>
      <c r="I298" s="1024"/>
      <c r="J298" s="3455"/>
      <c r="K298" s="3455"/>
      <c r="L298" s="3455"/>
      <c r="M298" s="3455"/>
      <c r="N298" s="3455"/>
      <c r="O298" s="3455"/>
      <c r="P298" s="3455"/>
      <c r="Q298" s="3455"/>
      <c r="R298" s="3455"/>
      <c r="S298" s="3455"/>
      <c r="T298" s="3455"/>
      <c r="U298" s="3455"/>
    </row>
    <row r="299" spans="1:21" s="1011" customFormat="1" ht="14.25" customHeight="1">
      <c r="A299" s="3419" t="s">
        <v>1156</v>
      </c>
      <c r="B299" s="3419" t="s">
        <v>2959</v>
      </c>
      <c r="C299" s="3419">
        <v>5430</v>
      </c>
      <c r="D299" s="3419">
        <v>5380</v>
      </c>
      <c r="E299" s="3419">
        <v>6280</v>
      </c>
      <c r="F299" s="3425">
        <v>1000</v>
      </c>
      <c r="G299" s="3427">
        <v>3240</v>
      </c>
      <c r="I299" s="1024"/>
      <c r="J299" s="3455"/>
      <c r="K299" s="3455"/>
      <c r="L299" s="3455"/>
      <c r="M299" s="3455"/>
      <c r="N299" s="3455"/>
      <c r="O299" s="3455"/>
      <c r="P299" s="3455"/>
      <c r="Q299" s="3455"/>
      <c r="R299" s="3455"/>
      <c r="S299" s="3455"/>
      <c r="T299" s="3455"/>
      <c r="U299" s="3455"/>
    </row>
    <row r="300" spans="1:21" s="1011" customFormat="1" ht="14.25" customHeight="1">
      <c r="A300" s="3419" t="s">
        <v>1156</v>
      </c>
      <c r="B300" s="3419" t="s">
        <v>1119</v>
      </c>
      <c r="C300" s="3419">
        <v>4740</v>
      </c>
      <c r="D300" s="3419">
        <v>4680</v>
      </c>
      <c r="E300" s="3419">
        <v>5450</v>
      </c>
      <c r="F300" s="3425">
        <v>900</v>
      </c>
      <c r="G300" s="3425">
        <v>2830</v>
      </c>
      <c r="I300" s="1024"/>
      <c r="J300" s="3455"/>
      <c r="K300" s="3455"/>
      <c r="L300" s="3455"/>
      <c r="M300" s="3455"/>
      <c r="N300" s="3455"/>
      <c r="O300" s="3455"/>
      <c r="P300" s="3455"/>
      <c r="Q300" s="3455"/>
      <c r="R300" s="3455"/>
      <c r="S300" s="3455"/>
      <c r="T300" s="3455"/>
      <c r="U300" s="3455"/>
    </row>
    <row r="301" spans="1:21" s="1011" customFormat="1" ht="14.25" customHeight="1">
      <c r="A301" s="3419" t="s">
        <v>1156</v>
      </c>
      <c r="B301" s="3419" t="s">
        <v>1125</v>
      </c>
      <c r="C301" s="3419">
        <v>4870</v>
      </c>
      <c r="D301" s="3419">
        <v>4810</v>
      </c>
      <c r="E301" s="3419">
        <v>5560</v>
      </c>
      <c r="F301" s="3425">
        <v>990</v>
      </c>
      <c r="G301" s="3427">
        <v>2910</v>
      </c>
      <c r="I301" s="1024"/>
      <c r="J301" s="3455"/>
      <c r="K301" s="3455"/>
      <c r="L301" s="3455"/>
      <c r="M301" s="3455"/>
      <c r="N301" s="3455"/>
      <c r="O301" s="3455"/>
      <c r="P301" s="3455"/>
      <c r="Q301" s="3455"/>
      <c r="R301" s="3455"/>
      <c r="S301" s="3455"/>
      <c r="T301" s="3455"/>
      <c r="U301" s="3455"/>
    </row>
    <row r="302" spans="1:21" s="1011" customFormat="1" ht="14.25" customHeight="1">
      <c r="A302" s="3419" t="s">
        <v>1156</v>
      </c>
      <c r="B302" s="3419" t="s">
        <v>2960</v>
      </c>
      <c r="C302" s="3419">
        <v>5520</v>
      </c>
      <c r="D302" s="3419">
        <v>5470</v>
      </c>
      <c r="E302" s="3419">
        <v>6410</v>
      </c>
      <c r="F302" s="3425">
        <v>950</v>
      </c>
      <c r="G302" s="3425">
        <v>3300</v>
      </c>
      <c r="I302" s="1024"/>
      <c r="J302" s="3455"/>
      <c r="K302" s="3455"/>
      <c r="L302" s="3455"/>
      <c r="M302" s="3455"/>
      <c r="N302" s="3455"/>
      <c r="O302" s="3455"/>
      <c r="P302" s="3455"/>
      <c r="Q302" s="3455"/>
      <c r="R302" s="3455"/>
      <c r="S302" s="3455"/>
      <c r="T302" s="3455"/>
      <c r="U302" s="3455"/>
    </row>
    <row r="303" spans="1:21" s="1011" customFormat="1" ht="14.25" customHeight="1">
      <c r="A303" s="3419" t="s">
        <v>1156</v>
      </c>
      <c r="B303" s="3419" t="s">
        <v>2961</v>
      </c>
      <c r="C303" s="3419">
        <v>5630</v>
      </c>
      <c r="D303" s="3419">
        <v>5590</v>
      </c>
      <c r="E303" s="3419">
        <v>6550</v>
      </c>
      <c r="F303" s="3425">
        <v>1010</v>
      </c>
      <c r="G303" s="3425">
        <v>3370</v>
      </c>
      <c r="I303" s="1024"/>
      <c r="J303" s="3455"/>
      <c r="K303" s="3455"/>
      <c r="L303" s="3455"/>
      <c r="M303" s="3455"/>
      <c r="N303" s="3455"/>
      <c r="O303" s="3455"/>
      <c r="P303" s="3455"/>
      <c r="Q303" s="3455"/>
      <c r="R303" s="3455"/>
      <c r="S303" s="3455"/>
      <c r="T303" s="3455"/>
      <c r="U303" s="3455"/>
    </row>
    <row r="304" spans="1:21" s="1011" customFormat="1" ht="14.25" customHeight="1">
      <c r="A304" s="3419" t="s">
        <v>1156</v>
      </c>
      <c r="B304" s="3419" t="s">
        <v>2962</v>
      </c>
      <c r="C304" s="3419">
        <v>5680</v>
      </c>
      <c r="D304" s="3419">
        <v>5620</v>
      </c>
      <c r="E304" s="3419">
        <v>6620</v>
      </c>
      <c r="F304" s="3425">
        <v>1050</v>
      </c>
      <c r="G304" s="3427">
        <v>3390</v>
      </c>
      <c r="I304" s="1024"/>
      <c r="J304" s="3455"/>
      <c r="K304" s="3455"/>
      <c r="L304" s="3455"/>
      <c r="M304" s="3455"/>
      <c r="N304" s="3455"/>
      <c r="O304" s="3455"/>
      <c r="P304" s="3455"/>
      <c r="Q304" s="3455"/>
      <c r="R304" s="3455"/>
      <c r="S304" s="3455"/>
      <c r="T304" s="3455"/>
      <c r="U304" s="3455"/>
    </row>
    <row r="305" spans="1:21" s="1011" customFormat="1" ht="14.25" customHeight="1">
      <c r="A305" s="3419" t="s">
        <v>1156</v>
      </c>
      <c r="B305" s="3419" t="s">
        <v>2963</v>
      </c>
      <c r="C305" s="3419">
        <v>5590</v>
      </c>
      <c r="D305" s="3419">
        <v>5530</v>
      </c>
      <c r="E305" s="3419">
        <v>6460</v>
      </c>
      <c r="F305" s="3425">
        <v>900</v>
      </c>
      <c r="G305" s="3425">
        <v>3340</v>
      </c>
      <c r="I305" s="1024"/>
      <c r="J305" s="3455"/>
      <c r="K305" s="3455"/>
      <c r="L305" s="3455"/>
      <c r="M305" s="3455"/>
      <c r="N305" s="3455"/>
      <c r="O305" s="3455"/>
      <c r="P305" s="3455"/>
      <c r="Q305" s="3455"/>
      <c r="R305" s="3455"/>
      <c r="S305" s="3455"/>
      <c r="T305" s="3455"/>
      <c r="U305" s="3455"/>
    </row>
    <row r="306" spans="1:21" s="1011" customFormat="1" ht="14.25" customHeight="1">
      <c r="A306" s="3419" t="s">
        <v>1156</v>
      </c>
      <c r="B306" s="3419" t="s">
        <v>2964</v>
      </c>
      <c r="C306" s="3419">
        <v>5560</v>
      </c>
      <c r="D306" s="3419">
        <v>5510</v>
      </c>
      <c r="E306" s="3419">
        <v>6440</v>
      </c>
      <c r="F306" s="3425">
        <v>900</v>
      </c>
      <c r="G306" s="3427">
        <v>3320</v>
      </c>
      <c r="I306" s="1024"/>
      <c r="J306" s="3455"/>
      <c r="K306" s="3455"/>
      <c r="L306" s="3455"/>
      <c r="M306" s="3455"/>
      <c r="N306" s="3455"/>
      <c r="O306" s="3455"/>
      <c r="P306" s="3455"/>
      <c r="Q306" s="3455"/>
      <c r="R306" s="3455"/>
      <c r="S306" s="3455"/>
      <c r="T306" s="3455"/>
      <c r="U306" s="3455"/>
    </row>
    <row r="307" spans="1:21" s="1011" customFormat="1" ht="14.25" customHeight="1">
      <c r="A307" s="3419" t="s">
        <v>1156</v>
      </c>
      <c r="B307" s="3419" t="s">
        <v>2965</v>
      </c>
      <c r="C307" s="3419">
        <v>5650</v>
      </c>
      <c r="D307" s="3419">
        <v>5600</v>
      </c>
      <c r="E307" s="3419">
        <v>6590</v>
      </c>
      <c r="F307" s="3425">
        <v>930</v>
      </c>
      <c r="G307" s="3425">
        <v>3380</v>
      </c>
      <c r="I307" s="1024"/>
      <c r="J307" s="3455"/>
      <c r="K307" s="3455"/>
      <c r="L307" s="3455"/>
      <c r="M307" s="3455"/>
      <c r="N307" s="3455"/>
      <c r="O307" s="3455"/>
      <c r="P307" s="3455"/>
      <c r="Q307" s="3455"/>
      <c r="R307" s="3455"/>
      <c r="S307" s="3455"/>
      <c r="T307" s="3455"/>
      <c r="U307" s="3455"/>
    </row>
    <row r="308" spans="1:21" s="1011" customFormat="1" ht="14.25" customHeight="1">
      <c r="A308" s="3419" t="s">
        <v>1156</v>
      </c>
      <c r="B308" s="3419" t="s">
        <v>2966</v>
      </c>
      <c r="C308" s="3419">
        <v>5620</v>
      </c>
      <c r="D308" s="3419">
        <v>5580</v>
      </c>
      <c r="E308" s="3419">
        <v>6540</v>
      </c>
      <c r="F308" s="3425">
        <v>910</v>
      </c>
      <c r="G308" s="3425">
        <v>3370</v>
      </c>
      <c r="I308" s="1024"/>
      <c r="J308" s="3455"/>
      <c r="K308" s="3455"/>
      <c r="L308" s="3455"/>
      <c r="M308" s="3455"/>
      <c r="N308" s="3455"/>
      <c r="O308" s="3455"/>
      <c r="P308" s="3455"/>
      <c r="Q308" s="3455"/>
      <c r="R308" s="3455"/>
      <c r="S308" s="3455"/>
      <c r="T308" s="3455"/>
      <c r="U308" s="3455"/>
    </row>
    <row r="309" spans="1:21" s="1011" customFormat="1" ht="14.25" customHeight="1">
      <c r="A309" s="3419" t="s">
        <v>1156</v>
      </c>
      <c r="B309" s="3419" t="s">
        <v>2967</v>
      </c>
      <c r="C309" s="3419">
        <v>5060</v>
      </c>
      <c r="D309" s="3419">
        <v>5020</v>
      </c>
      <c r="E309" s="3419">
        <v>6370</v>
      </c>
      <c r="F309" s="3425">
        <v>800</v>
      </c>
      <c r="G309" s="3427">
        <v>3020</v>
      </c>
      <c r="I309" s="1024"/>
      <c r="J309" s="3455"/>
      <c r="K309" s="3455"/>
      <c r="L309" s="3455"/>
      <c r="M309" s="3455"/>
      <c r="N309" s="3455"/>
      <c r="O309" s="3455"/>
      <c r="P309" s="3455"/>
      <c r="Q309" s="3455"/>
      <c r="R309" s="3455"/>
      <c r="S309" s="3455"/>
      <c r="T309" s="3455"/>
      <c r="U309" s="3455"/>
    </row>
    <row r="310" spans="1:21" s="1011" customFormat="1" ht="14.25" customHeight="1">
      <c r="A310" s="3419" t="s">
        <v>1156</v>
      </c>
      <c r="B310" s="3419" t="s">
        <v>2968</v>
      </c>
      <c r="C310" s="3419">
        <v>5150</v>
      </c>
      <c r="D310" s="3419">
        <v>5110</v>
      </c>
      <c r="E310" s="3419">
        <v>6500</v>
      </c>
      <c r="F310" s="3425">
        <v>880</v>
      </c>
      <c r="G310" s="3425">
        <v>3080</v>
      </c>
      <c r="I310" s="1024"/>
      <c r="J310" s="3455"/>
      <c r="K310" s="3455"/>
      <c r="L310" s="3455"/>
      <c r="M310" s="3455"/>
      <c r="N310" s="3455"/>
      <c r="O310" s="3455"/>
      <c r="P310" s="3455"/>
      <c r="Q310" s="3455"/>
      <c r="R310" s="3455"/>
      <c r="S310" s="3455"/>
      <c r="T310" s="3455"/>
      <c r="U310" s="3455"/>
    </row>
    <row r="311" spans="1:21" s="1011" customFormat="1" ht="14.25" customHeight="1">
      <c r="A311" s="3419" t="s">
        <v>1156</v>
      </c>
      <c r="B311" s="3419" t="s">
        <v>2969</v>
      </c>
      <c r="C311" s="3419">
        <v>4750</v>
      </c>
      <c r="D311" s="3419">
        <v>4710</v>
      </c>
      <c r="E311" s="3419">
        <v>5510</v>
      </c>
      <c r="F311" s="3425">
        <v>880</v>
      </c>
      <c r="G311" s="3425">
        <v>2840</v>
      </c>
      <c r="I311" s="1024"/>
      <c r="J311" s="3455"/>
      <c r="K311" s="3455"/>
      <c r="L311" s="3455"/>
      <c r="M311" s="3455"/>
      <c r="N311" s="3455"/>
      <c r="O311" s="3455"/>
      <c r="P311" s="3455"/>
      <c r="Q311" s="3455"/>
      <c r="R311" s="3455"/>
      <c r="S311" s="3455"/>
      <c r="T311" s="3455"/>
      <c r="U311" s="3455"/>
    </row>
    <row r="312" spans="1:21" s="1011" customFormat="1" ht="14.25" customHeight="1">
      <c r="A312" s="3419" t="s">
        <v>1156</v>
      </c>
      <c r="B312" s="3419" t="s">
        <v>2970</v>
      </c>
      <c r="C312" s="3419">
        <v>4690</v>
      </c>
      <c r="D312" s="3419">
        <v>4640</v>
      </c>
      <c r="E312" s="3419">
        <v>5420</v>
      </c>
      <c r="F312" s="3425">
        <v>800</v>
      </c>
      <c r="G312" s="3425">
        <v>2800</v>
      </c>
      <c r="I312" s="1024"/>
      <c r="J312" s="3455"/>
      <c r="K312" s="3455"/>
      <c r="L312" s="3455"/>
      <c r="M312" s="3455"/>
      <c r="N312" s="3455"/>
      <c r="O312" s="3455"/>
      <c r="P312" s="3455"/>
      <c r="Q312" s="3455"/>
      <c r="R312" s="3455"/>
      <c r="S312" s="3455"/>
      <c r="T312" s="3455"/>
      <c r="U312" s="3455"/>
    </row>
    <row r="313" spans="1:21" s="1011" customFormat="1" ht="14.25" customHeight="1">
      <c r="A313" s="3419" t="s">
        <v>1156</v>
      </c>
      <c r="B313" s="3419" t="s">
        <v>2971</v>
      </c>
      <c r="C313" s="3419">
        <v>4810</v>
      </c>
      <c r="D313" s="3419">
        <v>4760</v>
      </c>
      <c r="E313" s="3419">
        <v>5550</v>
      </c>
      <c r="F313" s="3425">
        <v>920</v>
      </c>
      <c r="G313" s="3425">
        <v>2870</v>
      </c>
      <c r="I313" s="1024"/>
      <c r="J313" s="3455"/>
      <c r="K313" s="3455"/>
      <c r="L313" s="3455"/>
      <c r="M313" s="3455"/>
      <c r="N313" s="3455"/>
      <c r="O313" s="3455"/>
      <c r="P313" s="3455"/>
      <c r="Q313" s="3455"/>
      <c r="R313" s="3455"/>
      <c r="S313" s="3455"/>
      <c r="T313" s="3455"/>
      <c r="U313" s="3455"/>
    </row>
    <row r="314" spans="1:21" s="1011" customFormat="1" ht="14.25" customHeight="1">
      <c r="A314" s="3419" t="s">
        <v>1156</v>
      </c>
      <c r="B314" s="3419" t="s">
        <v>2972</v>
      </c>
      <c r="C314" s="3419"/>
      <c r="D314" s="3419"/>
      <c r="E314" s="3419"/>
      <c r="F314" s="3425">
        <v>1020</v>
      </c>
      <c r="G314" s="3425"/>
      <c r="I314" s="1024"/>
      <c r="J314" s="3455"/>
      <c r="K314" s="3455"/>
      <c r="L314" s="3455"/>
      <c r="M314" s="3455"/>
      <c r="N314" s="3455"/>
      <c r="O314" s="3455"/>
      <c r="P314" s="3455"/>
      <c r="Q314" s="3455"/>
      <c r="R314" s="3455"/>
      <c r="S314" s="3455"/>
      <c r="T314" s="3455"/>
      <c r="U314" s="3455"/>
    </row>
    <row r="315" spans="1:21" s="1011" customFormat="1" ht="14.25" customHeight="1">
      <c r="A315" s="3419" t="s">
        <v>1156</v>
      </c>
      <c r="B315" s="3419" t="s">
        <v>2973</v>
      </c>
      <c r="C315" s="3419"/>
      <c r="D315" s="3419"/>
      <c r="E315" s="3419"/>
      <c r="F315" s="3425">
        <v>1050</v>
      </c>
      <c r="G315" s="3425"/>
      <c r="I315" s="1024"/>
      <c r="J315" s="3455"/>
      <c r="K315" s="3455"/>
      <c r="L315" s="3455"/>
      <c r="M315" s="3455"/>
      <c r="N315" s="3455"/>
      <c r="O315" s="3455"/>
      <c r="P315" s="3455"/>
      <c r="Q315" s="3455"/>
      <c r="R315" s="3455"/>
      <c r="S315" s="3455"/>
      <c r="T315" s="3455"/>
      <c r="U315" s="3455"/>
    </row>
    <row r="316" spans="1:21" s="1011" customFormat="1" ht="14.25" customHeight="1">
      <c r="A316" s="3419" t="s">
        <v>1156</v>
      </c>
      <c r="B316" s="3419" t="s">
        <v>2974</v>
      </c>
      <c r="C316" s="3419"/>
      <c r="D316" s="3419"/>
      <c r="E316" s="3419"/>
      <c r="F316" s="3425">
        <v>900</v>
      </c>
      <c r="G316" s="3432"/>
      <c r="I316" s="1024"/>
      <c r="J316" s="3455"/>
      <c r="K316" s="3455"/>
      <c r="L316" s="3455"/>
      <c r="M316" s="3455"/>
      <c r="N316" s="3455"/>
      <c r="O316" s="3455"/>
      <c r="P316" s="3455"/>
      <c r="Q316" s="3455"/>
      <c r="R316" s="3455"/>
      <c r="S316" s="3455"/>
      <c r="T316" s="3455"/>
      <c r="U316" s="3455"/>
    </row>
    <row r="317" spans="1:21" s="1011" customFormat="1" ht="14.25" customHeight="1">
      <c r="A317" s="1288" t="s">
        <v>1156</v>
      </c>
      <c r="B317" s="1288" t="s">
        <v>2975</v>
      </c>
      <c r="C317" s="1288"/>
      <c r="D317" s="1288"/>
      <c r="E317" s="1288"/>
      <c r="F317" s="3420">
        <v>920</v>
      </c>
      <c r="G317" s="3420"/>
      <c r="I317" s="1008"/>
      <c r="J317" s="3455"/>
      <c r="K317" s="3455"/>
      <c r="L317" s="3455"/>
      <c r="M317" s="3455"/>
      <c r="N317" s="3455"/>
      <c r="O317" s="3455"/>
      <c r="P317" s="3455"/>
      <c r="Q317" s="3455"/>
      <c r="R317" s="3455"/>
      <c r="S317" s="3455"/>
      <c r="T317" s="3455"/>
      <c r="U317" s="3455"/>
    </row>
    <row r="318" spans="1:21" s="1011" customFormat="1" ht="14.25" customHeight="1">
      <c r="A318" s="3419" t="s">
        <v>1156</v>
      </c>
      <c r="B318" s="3419" t="s">
        <v>2976</v>
      </c>
      <c r="C318" s="3419"/>
      <c r="D318" s="3419"/>
      <c r="E318" s="3419"/>
      <c r="F318" s="3425">
        <v>1080</v>
      </c>
      <c r="G318" s="3427"/>
      <c r="I318" s="1008"/>
      <c r="J318" s="3455"/>
      <c r="K318" s="3455"/>
      <c r="L318" s="3455"/>
      <c r="M318" s="3455"/>
      <c r="N318" s="3455"/>
      <c r="O318" s="3455"/>
      <c r="P318" s="3455"/>
      <c r="Q318" s="3455"/>
      <c r="R318" s="3455"/>
      <c r="S318" s="3455"/>
      <c r="T318" s="3455"/>
      <c r="U318" s="3455"/>
    </row>
    <row r="319" spans="1:21" s="1011" customFormat="1" ht="14.25" customHeight="1">
      <c r="A319" s="3419" t="s">
        <v>1156</v>
      </c>
      <c r="B319" s="3419" t="s">
        <v>2977</v>
      </c>
      <c r="C319" s="3419"/>
      <c r="D319" s="3419"/>
      <c r="E319" s="3419"/>
      <c r="F319" s="3425">
        <v>1020</v>
      </c>
      <c r="G319" s="3425"/>
      <c r="I319" s="1008"/>
      <c r="J319" s="3455"/>
      <c r="K319" s="3455"/>
      <c r="L319" s="3455"/>
      <c r="M319" s="3455"/>
      <c r="N319" s="3455"/>
      <c r="O319" s="3455"/>
      <c r="P319" s="3455"/>
      <c r="Q319" s="3455"/>
      <c r="R319" s="3455"/>
      <c r="S319" s="3455"/>
      <c r="T319" s="3455"/>
      <c r="U319" s="3455"/>
    </row>
    <row r="320" spans="1:21" s="1011" customFormat="1" ht="14.25" customHeight="1">
      <c r="A320" s="3419" t="s">
        <v>1156</v>
      </c>
      <c r="B320" s="3419" t="s">
        <v>2978</v>
      </c>
      <c r="C320" s="3419"/>
      <c r="D320" s="3419"/>
      <c r="E320" s="3419"/>
      <c r="F320" s="3425">
        <v>1050</v>
      </c>
      <c r="G320" s="3427"/>
      <c r="I320" s="1008"/>
      <c r="J320" s="3455"/>
      <c r="K320" s="3455"/>
      <c r="L320" s="3455"/>
      <c r="M320" s="3455"/>
      <c r="N320" s="3455"/>
      <c r="O320" s="3455"/>
      <c r="P320" s="3455"/>
      <c r="Q320" s="3455"/>
      <c r="R320" s="3455"/>
      <c r="S320" s="3455"/>
      <c r="T320" s="3455"/>
      <c r="U320" s="3455"/>
    </row>
    <row r="321" spans="1:21" s="1011" customFormat="1" ht="14.25" customHeight="1">
      <c r="A321" s="3419" t="s">
        <v>1156</v>
      </c>
      <c r="B321" s="3419" t="s">
        <v>2979</v>
      </c>
      <c r="C321" s="3419"/>
      <c r="D321" s="3419"/>
      <c r="E321" s="3419"/>
      <c r="F321" s="3425">
        <v>960</v>
      </c>
      <c r="G321" s="3427"/>
      <c r="I321" s="1008"/>
      <c r="J321" s="3455"/>
      <c r="K321" s="3455"/>
      <c r="L321" s="3455"/>
      <c r="M321" s="3455"/>
      <c r="N321" s="3455"/>
      <c r="O321" s="3455"/>
      <c r="P321" s="3455"/>
      <c r="Q321" s="3455"/>
      <c r="R321" s="3455"/>
      <c r="S321" s="3455"/>
      <c r="T321" s="3455"/>
      <c r="U321" s="3455"/>
    </row>
    <row r="322" spans="1:21" s="1011" customFormat="1" ht="14.25" customHeight="1">
      <c r="A322" s="3419" t="s">
        <v>1156</v>
      </c>
      <c r="B322" s="3419" t="s">
        <v>2980</v>
      </c>
      <c r="C322" s="3419"/>
      <c r="D322" s="3419"/>
      <c r="E322" s="3419"/>
      <c r="F322" s="3425">
        <v>960</v>
      </c>
      <c r="G322" s="3425"/>
      <c r="I322" s="1008"/>
      <c r="J322" s="3455"/>
      <c r="K322" s="3455"/>
      <c r="L322" s="3455"/>
      <c r="M322" s="3455"/>
      <c r="N322" s="3455"/>
      <c r="O322" s="3455"/>
      <c r="P322" s="3455"/>
      <c r="Q322" s="3455"/>
      <c r="R322" s="3455"/>
      <c r="S322" s="3455"/>
      <c r="T322" s="3455"/>
      <c r="U322" s="3455"/>
    </row>
    <row r="323" spans="1:21" s="1011" customFormat="1" ht="14.25" customHeight="1">
      <c r="A323" s="3419" t="s">
        <v>1156</v>
      </c>
      <c r="B323" s="3419" t="s">
        <v>2981</v>
      </c>
      <c r="C323" s="3419"/>
      <c r="D323" s="3419"/>
      <c r="E323" s="3419"/>
      <c r="F323" s="3425">
        <v>880</v>
      </c>
      <c r="G323" s="3427"/>
      <c r="I323" s="1008"/>
      <c r="J323" s="3455"/>
      <c r="K323" s="3455"/>
      <c r="L323" s="3455"/>
      <c r="M323" s="3455"/>
      <c r="N323" s="3455"/>
      <c r="O323" s="3455"/>
      <c r="P323" s="3455"/>
      <c r="Q323" s="3455"/>
      <c r="R323" s="3455"/>
      <c r="S323" s="3455"/>
      <c r="T323" s="3455"/>
      <c r="U323" s="3455"/>
    </row>
    <row r="324" spans="1:21" s="1011" customFormat="1" ht="14.25" customHeight="1">
      <c r="A324" s="3419" t="s">
        <v>1156</v>
      </c>
      <c r="B324" s="3419" t="s">
        <v>2982</v>
      </c>
      <c r="C324" s="3419"/>
      <c r="D324" s="3419"/>
      <c r="E324" s="3419"/>
      <c r="F324" s="3425">
        <v>930</v>
      </c>
      <c r="G324" s="3427"/>
      <c r="I324" s="1008"/>
      <c r="J324" s="3455"/>
      <c r="K324" s="3455"/>
      <c r="L324" s="3455"/>
      <c r="M324" s="3455"/>
      <c r="N324" s="3455"/>
      <c r="O324" s="3455"/>
      <c r="P324" s="3455"/>
      <c r="Q324" s="3455"/>
      <c r="R324" s="3455"/>
      <c r="S324" s="3455"/>
      <c r="T324" s="3455"/>
      <c r="U324" s="3455"/>
    </row>
    <row r="325" spans="1:21" s="1011" customFormat="1" ht="14.25" customHeight="1">
      <c r="A325" s="3419" t="s">
        <v>1156</v>
      </c>
      <c r="B325" s="3419" t="s">
        <v>2983</v>
      </c>
      <c r="C325" s="3419"/>
      <c r="D325" s="3419"/>
      <c r="E325" s="3419"/>
      <c r="F325" s="3425">
        <v>900</v>
      </c>
      <c r="G325" s="3425"/>
      <c r="I325" s="1008"/>
      <c r="J325" s="3455"/>
      <c r="K325" s="3455"/>
      <c r="L325" s="3455"/>
      <c r="M325" s="3455"/>
      <c r="N325" s="3455"/>
      <c r="O325" s="3455"/>
      <c r="P325" s="3455"/>
      <c r="Q325" s="3455"/>
      <c r="R325" s="3455"/>
      <c r="S325" s="3455"/>
      <c r="T325" s="3455"/>
      <c r="U325" s="3455"/>
    </row>
    <row r="326" spans="1:21" s="1011" customFormat="1" ht="14.25" customHeight="1" thickBot="1">
      <c r="A326" s="3434" t="s">
        <v>1156</v>
      </c>
      <c r="B326" s="3422" t="s">
        <v>2984</v>
      </c>
      <c r="C326" s="3422"/>
      <c r="D326" s="3422"/>
      <c r="E326" s="3422"/>
      <c r="F326" s="3423">
        <v>790</v>
      </c>
      <c r="G326" s="3438"/>
      <c r="I326" s="1008"/>
      <c r="J326" s="3455"/>
      <c r="K326" s="3455"/>
      <c r="L326" s="3455"/>
      <c r="M326" s="3455"/>
      <c r="N326" s="3455"/>
      <c r="O326" s="3455"/>
      <c r="P326" s="3455"/>
      <c r="Q326" s="3455"/>
      <c r="R326" s="3455"/>
      <c r="S326" s="3455"/>
      <c r="T326" s="3455"/>
      <c r="U326" s="3455"/>
    </row>
    <row r="327" spans="1:21" s="1011" customFormat="1" ht="14.25" customHeight="1">
      <c r="A327" s="3433" t="s">
        <v>1157</v>
      </c>
      <c r="B327" s="2598" t="s">
        <v>2985</v>
      </c>
      <c r="C327" s="2598">
        <v>3750</v>
      </c>
      <c r="D327" s="2598">
        <v>3710</v>
      </c>
      <c r="E327" s="2598">
        <v>4080</v>
      </c>
      <c r="F327" s="3442">
        <v>860</v>
      </c>
      <c r="G327" s="3442">
        <v>2210</v>
      </c>
      <c r="I327" s="1008"/>
      <c r="J327" s="3455"/>
      <c r="K327" s="3455"/>
      <c r="L327" s="3455"/>
      <c r="M327" s="3455"/>
      <c r="N327" s="3455"/>
      <c r="O327" s="3455"/>
      <c r="P327" s="3455"/>
      <c r="Q327" s="3455"/>
      <c r="R327" s="3455"/>
      <c r="S327" s="3455"/>
      <c r="T327" s="3455"/>
      <c r="U327" s="3455"/>
    </row>
    <row r="328" spans="1:21" s="1011" customFormat="1" ht="14.25" customHeight="1">
      <c r="A328" s="3419" t="s">
        <v>1157</v>
      </c>
      <c r="B328" s="3419" t="s">
        <v>981</v>
      </c>
      <c r="C328" s="3419">
        <v>3330</v>
      </c>
      <c r="D328" s="3419">
        <v>3290</v>
      </c>
      <c r="E328" s="3419">
        <v>3610</v>
      </c>
      <c r="F328" s="3419">
        <v>850</v>
      </c>
      <c r="G328" s="3419">
        <v>1960</v>
      </c>
      <c r="H328" s="3441"/>
      <c r="I328" s="1008"/>
      <c r="J328" s="3455"/>
      <c r="K328" s="3455"/>
      <c r="L328" s="3455"/>
      <c r="M328" s="3455"/>
      <c r="N328" s="3455"/>
      <c r="O328" s="3455"/>
      <c r="P328" s="3455"/>
      <c r="Q328" s="3455"/>
      <c r="R328" s="3455"/>
      <c r="S328" s="3455"/>
      <c r="T328" s="3455"/>
      <c r="U328" s="3455"/>
    </row>
    <row r="329" spans="1:21" s="1011" customFormat="1" ht="14.25" customHeight="1">
      <c r="A329" s="3419" t="s">
        <v>1157</v>
      </c>
      <c r="B329" s="3419" t="s">
        <v>2986</v>
      </c>
      <c r="C329" s="3419">
        <v>2730</v>
      </c>
      <c r="D329" s="3419">
        <v>2690</v>
      </c>
      <c r="E329" s="3419">
        <v>3100</v>
      </c>
      <c r="F329" s="3419">
        <v>660</v>
      </c>
      <c r="G329" s="3419">
        <v>1610</v>
      </c>
      <c r="H329" s="3441"/>
      <c r="I329" s="1008"/>
      <c r="J329" s="3455"/>
      <c r="K329" s="3455"/>
      <c r="L329" s="3455"/>
      <c r="M329" s="3455"/>
      <c r="N329" s="3455"/>
      <c r="O329" s="3455"/>
      <c r="P329" s="3455"/>
      <c r="Q329" s="3455"/>
      <c r="R329" s="3455"/>
      <c r="S329" s="3455"/>
      <c r="T329" s="3455"/>
      <c r="U329" s="3455"/>
    </row>
    <row r="330" spans="1:21" s="1011" customFormat="1" ht="14.25" customHeight="1">
      <c r="A330" s="3419" t="s">
        <v>1157</v>
      </c>
      <c r="B330" s="3419" t="s">
        <v>2987</v>
      </c>
      <c r="C330" s="3419">
        <v>3270</v>
      </c>
      <c r="D330" s="3419">
        <v>3240</v>
      </c>
      <c r="E330" s="3419">
        <v>3560</v>
      </c>
      <c r="F330" s="3419">
        <v>680</v>
      </c>
      <c r="G330" s="3428">
        <v>1940</v>
      </c>
      <c r="H330" s="3441"/>
      <c r="I330" s="1008"/>
      <c r="J330" s="3455"/>
      <c r="K330" s="3455"/>
      <c r="L330" s="3455"/>
      <c r="M330" s="3455"/>
      <c r="N330" s="3455"/>
      <c r="O330" s="3455"/>
      <c r="P330" s="3455"/>
      <c r="Q330" s="3455"/>
      <c r="R330" s="3455"/>
      <c r="S330" s="3455"/>
      <c r="T330" s="3455"/>
      <c r="U330" s="3455"/>
    </row>
    <row r="331" spans="1:21" s="1011" customFormat="1" ht="14.25" customHeight="1">
      <c r="A331" s="3419" t="s">
        <v>1157</v>
      </c>
      <c r="B331" s="3419" t="s">
        <v>1008</v>
      </c>
      <c r="C331" s="3419">
        <v>3770</v>
      </c>
      <c r="D331" s="3419">
        <v>3740</v>
      </c>
      <c r="E331" s="3419">
        <v>4110</v>
      </c>
      <c r="F331" s="3419">
        <v>730</v>
      </c>
      <c r="G331" s="3419">
        <v>2230</v>
      </c>
      <c r="H331" s="3441"/>
      <c r="I331" s="1008"/>
      <c r="J331" s="3455"/>
      <c r="K331" s="3455"/>
      <c r="L331" s="3455"/>
      <c r="M331" s="3455"/>
      <c r="N331" s="3455"/>
      <c r="O331" s="3455"/>
      <c r="P331" s="3455"/>
      <c r="Q331" s="3455"/>
      <c r="R331" s="3455"/>
      <c r="S331" s="3455"/>
      <c r="T331" s="3455"/>
      <c r="U331" s="3455"/>
    </row>
    <row r="332" spans="1:21" s="1011" customFormat="1" ht="14.25" customHeight="1">
      <c r="A332" s="3419" t="s">
        <v>1157</v>
      </c>
      <c r="B332" s="3419" t="s">
        <v>2988</v>
      </c>
      <c r="C332" s="3419">
        <v>3520</v>
      </c>
      <c r="D332" s="3419">
        <v>3480</v>
      </c>
      <c r="E332" s="3419">
        <v>3830</v>
      </c>
      <c r="F332" s="3419">
        <v>720</v>
      </c>
      <c r="G332" s="3419">
        <v>2090</v>
      </c>
      <c r="H332" s="3441"/>
      <c r="I332" s="1008"/>
      <c r="J332" s="3455"/>
      <c r="K332" s="3455"/>
      <c r="L332" s="3455"/>
      <c r="M332" s="3455"/>
      <c r="N332" s="3455"/>
      <c r="O332" s="3455"/>
      <c r="P332" s="3455"/>
      <c r="Q332" s="3455"/>
      <c r="R332" s="3455"/>
      <c r="S332" s="3455"/>
      <c r="T332" s="3455"/>
      <c r="U332" s="3455"/>
    </row>
    <row r="333" spans="1:21" s="1011" customFormat="1" ht="14.25" customHeight="1">
      <c r="A333" s="3419" t="s">
        <v>1157</v>
      </c>
      <c r="B333" s="3419" t="s">
        <v>2989</v>
      </c>
      <c r="C333" s="3419">
        <v>3840</v>
      </c>
      <c r="D333" s="3419">
        <v>3800</v>
      </c>
      <c r="E333" s="3419">
        <v>4200</v>
      </c>
      <c r="F333" s="3419">
        <v>760</v>
      </c>
      <c r="G333" s="3419">
        <v>2270</v>
      </c>
      <c r="H333" s="3441"/>
      <c r="I333" s="1008"/>
      <c r="J333" s="3455"/>
      <c r="K333" s="3455"/>
      <c r="L333" s="3455"/>
      <c r="M333" s="3455"/>
      <c r="N333" s="3455"/>
      <c r="O333" s="3455"/>
      <c r="P333" s="3455"/>
      <c r="Q333" s="3455"/>
      <c r="R333" s="3455"/>
      <c r="S333" s="3455"/>
      <c r="T333" s="3455"/>
      <c r="U333" s="3455"/>
    </row>
    <row r="334" spans="1:21" s="1011" customFormat="1" ht="14.25" customHeight="1">
      <c r="A334" s="3419" t="s">
        <v>1157</v>
      </c>
      <c r="B334" s="3419" t="s">
        <v>1030</v>
      </c>
      <c r="C334" s="3419">
        <v>3960</v>
      </c>
      <c r="D334" s="3419">
        <v>3910</v>
      </c>
      <c r="E334" s="3419">
        <v>4340</v>
      </c>
      <c r="F334" s="3419">
        <v>780</v>
      </c>
      <c r="G334" s="3419">
        <v>2340</v>
      </c>
      <c r="H334" s="3441"/>
      <c r="I334" s="1008"/>
      <c r="J334" s="3455"/>
      <c r="K334" s="3455"/>
      <c r="L334" s="3455"/>
      <c r="M334" s="3455"/>
      <c r="N334" s="3455"/>
      <c r="O334" s="3455"/>
      <c r="P334" s="3455"/>
      <c r="Q334" s="3455"/>
      <c r="R334" s="3455"/>
      <c r="S334" s="3455"/>
      <c r="T334" s="3455"/>
      <c r="U334" s="3455"/>
    </row>
    <row r="335" spans="1:21" s="1011" customFormat="1" ht="14.25" customHeight="1">
      <c r="A335" s="3419" t="s">
        <v>1157</v>
      </c>
      <c r="B335" s="3419" t="s">
        <v>1040</v>
      </c>
      <c r="C335" s="3419">
        <v>3710</v>
      </c>
      <c r="D335" s="3419">
        <v>3670</v>
      </c>
      <c r="E335" s="3419">
        <v>4030</v>
      </c>
      <c r="F335" s="3419">
        <v>750</v>
      </c>
      <c r="G335" s="3428">
        <v>2200</v>
      </c>
      <c r="H335" s="3441"/>
      <c r="I335" s="1008"/>
      <c r="J335" s="3455"/>
      <c r="K335" s="3455"/>
      <c r="L335" s="3455"/>
      <c r="M335" s="3455"/>
      <c r="N335" s="3455"/>
      <c r="O335" s="3455"/>
      <c r="P335" s="3455"/>
      <c r="Q335" s="3455"/>
      <c r="R335" s="3455"/>
      <c r="S335" s="3455"/>
      <c r="T335" s="3455"/>
      <c r="U335" s="3455"/>
    </row>
    <row r="336" spans="1:21" s="1011" customFormat="1" ht="14.25" customHeight="1">
      <c r="A336" s="3419" t="s">
        <v>1157</v>
      </c>
      <c r="B336" s="3419" t="s">
        <v>2990</v>
      </c>
      <c r="C336" s="3419">
        <v>3570</v>
      </c>
      <c r="D336" s="3419">
        <v>3530</v>
      </c>
      <c r="E336" s="3419">
        <v>3880</v>
      </c>
      <c r="F336" s="3419">
        <v>770</v>
      </c>
      <c r="G336" s="3419">
        <v>2110</v>
      </c>
      <c r="H336" s="3441"/>
      <c r="I336" s="1008"/>
      <c r="J336" s="3455"/>
      <c r="K336" s="3455"/>
      <c r="L336" s="3455"/>
      <c r="M336" s="3455"/>
      <c r="N336" s="3455"/>
      <c r="O336" s="3455"/>
      <c r="P336" s="3455"/>
      <c r="Q336" s="3455"/>
      <c r="R336" s="3455"/>
      <c r="S336" s="3455"/>
      <c r="T336" s="3455"/>
      <c r="U336" s="3455"/>
    </row>
    <row r="337" spans="1:21" s="1011" customFormat="1" ht="14.25" customHeight="1">
      <c r="A337" s="3419" t="s">
        <v>1157</v>
      </c>
      <c r="B337" s="3419" t="s">
        <v>2991</v>
      </c>
      <c r="C337" s="3419">
        <v>3780</v>
      </c>
      <c r="D337" s="3419">
        <v>3750</v>
      </c>
      <c r="E337" s="3419">
        <v>4130</v>
      </c>
      <c r="F337" s="3419">
        <v>750</v>
      </c>
      <c r="G337" s="3419">
        <v>2240</v>
      </c>
      <c r="H337" s="3441"/>
      <c r="I337" s="1008"/>
      <c r="J337" s="3455"/>
      <c r="K337" s="3455"/>
      <c r="L337" s="3455"/>
      <c r="M337" s="3455"/>
      <c r="N337" s="3455"/>
      <c r="O337" s="3455"/>
      <c r="P337" s="3455"/>
      <c r="Q337" s="3455"/>
      <c r="R337" s="3455"/>
      <c r="S337" s="3455"/>
      <c r="T337" s="3455"/>
      <c r="U337" s="3455"/>
    </row>
    <row r="338" spans="1:21" s="1011" customFormat="1" ht="14.25" customHeight="1">
      <c r="A338" s="3419" t="s">
        <v>1157</v>
      </c>
      <c r="B338" s="3419" t="s">
        <v>1068</v>
      </c>
      <c r="C338" s="3419">
        <v>3600</v>
      </c>
      <c r="D338" s="3419">
        <v>3570</v>
      </c>
      <c r="E338" s="3419">
        <v>3920</v>
      </c>
      <c r="F338" s="3419">
        <v>790</v>
      </c>
      <c r="G338" s="3428">
        <v>2140</v>
      </c>
      <c r="H338" s="3441"/>
      <c r="I338" s="1008"/>
      <c r="J338" s="3455"/>
      <c r="K338" s="3455"/>
      <c r="L338" s="3455"/>
      <c r="M338" s="3455"/>
      <c r="N338" s="3455"/>
      <c r="O338" s="3455"/>
      <c r="P338" s="3455"/>
      <c r="Q338" s="3455"/>
      <c r="R338" s="3455"/>
      <c r="S338" s="3455"/>
      <c r="T338" s="3455"/>
      <c r="U338" s="3455"/>
    </row>
    <row r="339" spans="1:21" s="1011" customFormat="1" ht="14.25" customHeight="1">
      <c r="A339" s="3419" t="s">
        <v>1157</v>
      </c>
      <c r="B339" s="3419" t="s">
        <v>1076</v>
      </c>
      <c r="C339" s="3419">
        <v>3540</v>
      </c>
      <c r="D339" s="3419">
        <v>3500</v>
      </c>
      <c r="E339" s="3419">
        <v>3850</v>
      </c>
      <c r="F339" s="3419">
        <v>780</v>
      </c>
      <c r="G339" s="3428">
        <v>2100</v>
      </c>
      <c r="H339" s="3441"/>
      <c r="I339" s="1008"/>
      <c r="J339" s="3455"/>
      <c r="K339" s="3455"/>
      <c r="L339" s="3455"/>
      <c r="M339" s="3455"/>
      <c r="N339" s="3455"/>
      <c r="O339" s="3455"/>
      <c r="P339" s="3455"/>
      <c r="Q339" s="3455"/>
      <c r="R339" s="3455"/>
      <c r="S339" s="3455"/>
      <c r="T339" s="3455"/>
      <c r="U339" s="3455"/>
    </row>
    <row r="340" spans="1:21" s="1011" customFormat="1" ht="14.25" customHeight="1">
      <c r="A340" s="3419" t="s">
        <v>1157</v>
      </c>
      <c r="B340" s="3419" t="s">
        <v>2992</v>
      </c>
      <c r="C340" s="3419">
        <v>3850</v>
      </c>
      <c r="D340" s="3419">
        <v>3810</v>
      </c>
      <c r="E340" s="3419">
        <v>4210</v>
      </c>
      <c r="F340" s="3419">
        <v>750</v>
      </c>
      <c r="G340" s="3428">
        <v>2280</v>
      </c>
      <c r="H340" s="3441"/>
      <c r="I340" s="1008"/>
      <c r="J340" s="3455"/>
      <c r="K340" s="3455"/>
      <c r="L340" s="3455"/>
      <c r="M340" s="3455"/>
      <c r="N340" s="3455"/>
      <c r="O340" s="3455"/>
      <c r="P340" s="3455"/>
      <c r="Q340" s="3455"/>
      <c r="R340" s="3455"/>
      <c r="S340" s="3455"/>
      <c r="T340" s="3455"/>
      <c r="U340" s="3455"/>
    </row>
    <row r="341" spans="1:21" s="1011" customFormat="1" ht="14.25" customHeight="1">
      <c r="A341" s="3419" t="s">
        <v>1157</v>
      </c>
      <c r="B341" s="3419" t="s">
        <v>1054</v>
      </c>
      <c r="C341" s="3419">
        <v>3780</v>
      </c>
      <c r="D341" s="3419">
        <v>3750</v>
      </c>
      <c r="E341" s="3419">
        <v>4140</v>
      </c>
      <c r="F341" s="3419">
        <v>720</v>
      </c>
      <c r="G341" s="3419">
        <v>2240</v>
      </c>
      <c r="H341" s="3441"/>
      <c r="I341" s="1008"/>
      <c r="J341" s="3455"/>
      <c r="K341" s="3455"/>
      <c r="L341" s="3455"/>
      <c r="M341" s="3455"/>
      <c r="N341" s="3455"/>
      <c r="O341" s="3455"/>
      <c r="P341" s="3455"/>
      <c r="Q341" s="3455"/>
      <c r="R341" s="3455"/>
      <c r="S341" s="3455"/>
      <c r="T341" s="3455"/>
      <c r="U341" s="3455"/>
    </row>
    <row r="342" spans="1:21" s="1011" customFormat="1" ht="14.25" customHeight="1">
      <c r="A342" s="3419" t="s">
        <v>1157</v>
      </c>
      <c r="B342" s="3419" t="s">
        <v>2993</v>
      </c>
      <c r="C342" s="3419">
        <v>3670</v>
      </c>
      <c r="D342" s="3419">
        <v>3620</v>
      </c>
      <c r="E342" s="3419">
        <v>3990</v>
      </c>
      <c r="F342" s="3419">
        <v>760</v>
      </c>
      <c r="G342" s="3419">
        <v>2170</v>
      </c>
      <c r="H342" s="3441"/>
      <c r="I342" s="1008"/>
      <c r="J342" s="3455"/>
      <c r="K342" s="3455"/>
      <c r="L342" s="3455"/>
      <c r="M342" s="3455"/>
      <c r="N342" s="3455"/>
      <c r="O342" s="3455"/>
      <c r="P342" s="3455"/>
      <c r="Q342" s="3455"/>
      <c r="R342" s="3455"/>
      <c r="S342" s="3455"/>
      <c r="T342" s="3455"/>
      <c r="U342" s="3455"/>
    </row>
    <row r="343" spans="1:21" s="1011" customFormat="1" ht="14.25" customHeight="1">
      <c r="A343" s="3419" t="s">
        <v>1157</v>
      </c>
      <c r="B343" s="3419" t="s">
        <v>1105</v>
      </c>
      <c r="C343" s="3419">
        <v>3760</v>
      </c>
      <c r="D343" s="3419">
        <v>3720</v>
      </c>
      <c r="E343" s="3419">
        <v>4090</v>
      </c>
      <c r="F343" s="3419">
        <v>780</v>
      </c>
      <c r="G343" s="3419">
        <v>2220</v>
      </c>
      <c r="H343" s="3441"/>
      <c r="I343" s="1008"/>
      <c r="J343" s="3455"/>
      <c r="K343" s="3455"/>
      <c r="L343" s="3455"/>
      <c r="M343" s="3455"/>
      <c r="N343" s="3455"/>
      <c r="O343" s="3455"/>
      <c r="P343" s="3455"/>
      <c r="Q343" s="3455"/>
      <c r="R343" s="3455"/>
      <c r="S343" s="3455"/>
      <c r="T343" s="3455"/>
      <c r="U343" s="3455"/>
    </row>
    <row r="344" spans="1:21" s="1011" customFormat="1" ht="14.25" customHeight="1">
      <c r="A344" s="3419" t="s">
        <v>1157</v>
      </c>
      <c r="B344" s="3419" t="s">
        <v>1113</v>
      </c>
      <c r="C344" s="3419">
        <v>3680</v>
      </c>
      <c r="D344" s="3419">
        <v>3640</v>
      </c>
      <c r="E344" s="3419">
        <v>4010</v>
      </c>
      <c r="F344" s="3419">
        <v>750</v>
      </c>
      <c r="G344" s="3419">
        <v>2180</v>
      </c>
      <c r="H344" s="3441"/>
      <c r="I344" s="1008"/>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4.25" thickBot="1">
      <c r="A357" s="3444" t="s">
        <v>1157</v>
      </c>
      <c r="B357" s="3444" t="s">
        <v>3004</v>
      </c>
      <c r="C357" s="3444">
        <v>3690</v>
      </c>
      <c r="D357" s="3444">
        <v>3650</v>
      </c>
      <c r="E357" s="3444">
        <v>4020</v>
      </c>
      <c r="F357" s="3444">
        <v>700</v>
      </c>
      <c r="G357" s="3444">
        <v>2190</v>
      </c>
      <c r="H357" s="3441"/>
    </row>
    <row r="358" spans="1:8">
      <c r="A358" s="3445" t="s">
        <v>2760</v>
      </c>
      <c r="B358" s="3446" t="s">
        <v>3005</v>
      </c>
      <c r="C358" s="3446">
        <v>2080</v>
      </c>
      <c r="D358" s="3446">
        <v>2040</v>
      </c>
      <c r="E358" s="3446">
        <v>2010</v>
      </c>
      <c r="F358" s="3446">
        <v>530</v>
      </c>
      <c r="G358" s="3447">
        <v>1230</v>
      </c>
      <c r="H358" s="3441"/>
    </row>
    <row r="359" spans="1:8">
      <c r="A359" s="3448" t="s">
        <v>2760</v>
      </c>
      <c r="B359" s="3428" t="s">
        <v>3006</v>
      </c>
      <c r="C359" s="3428">
        <v>1850</v>
      </c>
      <c r="D359" s="3428">
        <v>1820</v>
      </c>
      <c r="E359" s="3428">
        <v>1780</v>
      </c>
      <c r="F359" s="3428">
        <v>520</v>
      </c>
      <c r="G359" s="3440">
        <v>1100</v>
      </c>
      <c r="H359" s="3441"/>
    </row>
    <row r="360" spans="1:8">
      <c r="A360" s="3448" t="s">
        <v>2760</v>
      </c>
      <c r="B360" s="3428" t="s">
        <v>3007</v>
      </c>
      <c r="C360" s="3428">
        <v>2020</v>
      </c>
      <c r="D360" s="3428">
        <v>1990</v>
      </c>
      <c r="E360" s="3428">
        <v>1950</v>
      </c>
      <c r="F360" s="3428">
        <v>500</v>
      </c>
      <c r="G360" s="3440">
        <v>1200</v>
      </c>
      <c r="H360" s="3441"/>
    </row>
    <row r="361" spans="1:8">
      <c r="A361" s="3448" t="s">
        <v>2760</v>
      </c>
      <c r="B361" s="3428" t="s">
        <v>999</v>
      </c>
      <c r="C361" s="3428">
        <v>2260</v>
      </c>
      <c r="D361" s="3428">
        <v>2220</v>
      </c>
      <c r="E361" s="3428">
        <v>2180</v>
      </c>
      <c r="F361" s="3428">
        <v>580</v>
      </c>
      <c r="G361" s="3440">
        <v>1340</v>
      </c>
      <c r="H361" s="3441"/>
    </row>
    <row r="362" spans="1:8">
      <c r="A362" s="3448" t="s">
        <v>2760</v>
      </c>
      <c r="B362" s="3428" t="s">
        <v>3008</v>
      </c>
      <c r="C362" s="3428">
        <v>2650</v>
      </c>
      <c r="D362" s="3428">
        <v>2610</v>
      </c>
      <c r="E362" s="3428">
        <v>2570</v>
      </c>
      <c r="F362" s="3428">
        <v>630</v>
      </c>
      <c r="G362" s="3440">
        <v>1570</v>
      </c>
      <c r="H362" s="3441"/>
    </row>
    <row r="363" spans="1:8">
      <c r="A363" s="3448" t="s">
        <v>2760</v>
      </c>
      <c r="B363" s="3428" t="s">
        <v>3009</v>
      </c>
      <c r="C363" s="3428">
        <v>2390</v>
      </c>
      <c r="D363" s="3428">
        <v>2360</v>
      </c>
      <c r="E363" s="3428">
        <v>2320</v>
      </c>
      <c r="F363" s="3428">
        <v>600</v>
      </c>
      <c r="G363" s="3440">
        <v>1420</v>
      </c>
      <c r="H363" s="3441"/>
    </row>
    <row r="364" spans="1:8">
      <c r="A364" s="3448" t="s">
        <v>2760</v>
      </c>
      <c r="B364" s="3428" t="s">
        <v>3010</v>
      </c>
      <c r="C364" s="3428">
        <v>2050</v>
      </c>
      <c r="D364" s="3428">
        <v>2030</v>
      </c>
      <c r="E364" s="3428">
        <v>1990</v>
      </c>
      <c r="F364" s="3428">
        <v>550</v>
      </c>
      <c r="G364" s="3440">
        <v>1220</v>
      </c>
      <c r="H364" s="3441"/>
    </row>
    <row r="365" spans="1:8">
      <c r="A365" s="3448" t="s">
        <v>2760</v>
      </c>
      <c r="B365" s="3428" t="s">
        <v>1047</v>
      </c>
      <c r="C365" s="3428">
        <v>2140</v>
      </c>
      <c r="D365" s="3428">
        <v>2100</v>
      </c>
      <c r="E365" s="3428">
        <v>2060</v>
      </c>
      <c r="F365" s="3428">
        <v>540</v>
      </c>
      <c r="G365" s="3440">
        <v>1270</v>
      </c>
      <c r="H365" s="3441"/>
    </row>
    <row r="366" spans="1:8">
      <c r="A366" s="3448" t="s">
        <v>2760</v>
      </c>
      <c r="B366" s="3428" t="s">
        <v>3011</v>
      </c>
      <c r="C366" s="3428">
        <v>2410</v>
      </c>
      <c r="D366" s="3428">
        <v>2370</v>
      </c>
      <c r="E366" s="3428">
        <v>2330</v>
      </c>
      <c r="F366" s="3428">
        <v>570</v>
      </c>
      <c r="G366" s="3440">
        <v>1440</v>
      </c>
      <c r="H366" s="3441"/>
    </row>
    <row r="367" spans="1:8">
      <c r="A367" s="3448" t="s">
        <v>2760</v>
      </c>
      <c r="B367" s="3428" t="s">
        <v>3012</v>
      </c>
      <c r="C367" s="3428">
        <v>2300</v>
      </c>
      <c r="D367" s="3428">
        <v>2260</v>
      </c>
      <c r="E367" s="3428">
        <v>2220</v>
      </c>
      <c r="F367" s="3428">
        <v>560</v>
      </c>
      <c r="G367" s="3440">
        <v>1370</v>
      </c>
      <c r="H367" s="3441"/>
    </row>
    <row r="368" spans="1:8">
      <c r="A368" s="3448" t="s">
        <v>2760</v>
      </c>
      <c r="B368" s="3428" t="s">
        <v>3013</v>
      </c>
      <c r="C368" s="3428">
        <v>2430</v>
      </c>
      <c r="D368" s="3428">
        <v>2390</v>
      </c>
      <c r="E368" s="3428">
        <v>2350</v>
      </c>
      <c r="F368" s="3428">
        <v>570</v>
      </c>
      <c r="G368" s="3440">
        <v>1450</v>
      </c>
      <c r="H368" s="3441"/>
    </row>
    <row r="369" spans="1:8">
      <c r="A369" s="3448" t="s">
        <v>2760</v>
      </c>
      <c r="B369" s="3428" t="s">
        <v>1061</v>
      </c>
      <c r="C369" s="3428">
        <v>2320</v>
      </c>
      <c r="D369" s="3428">
        <v>2290</v>
      </c>
      <c r="E369" s="3428">
        <v>2250</v>
      </c>
      <c r="F369" s="3428">
        <v>550</v>
      </c>
      <c r="G369" s="3440">
        <v>1380</v>
      </c>
      <c r="H369" s="3441"/>
    </row>
    <row r="370" spans="1:8">
      <c r="A370" s="3448" t="s">
        <v>2760</v>
      </c>
      <c r="B370" s="3428" t="s">
        <v>1069</v>
      </c>
      <c r="C370" s="3428">
        <v>2190</v>
      </c>
      <c r="D370" s="3428">
        <v>2170</v>
      </c>
      <c r="E370" s="3428">
        <v>2130</v>
      </c>
      <c r="F370" s="3428">
        <v>530</v>
      </c>
      <c r="G370" s="3440">
        <v>1310</v>
      </c>
      <c r="H370" s="3441"/>
    </row>
    <row r="371" spans="1:8">
      <c r="A371" s="3448" t="s">
        <v>2760</v>
      </c>
      <c r="B371" s="3428" t="s">
        <v>1077</v>
      </c>
      <c r="C371" s="3428">
        <v>2460</v>
      </c>
      <c r="D371" s="3428">
        <v>2420</v>
      </c>
      <c r="E371" s="3428">
        <v>2370</v>
      </c>
      <c r="F371" s="3428">
        <v>560</v>
      </c>
      <c r="G371" s="3440">
        <v>1470</v>
      </c>
      <c r="H371" s="3441"/>
    </row>
    <row r="372" spans="1:8">
      <c r="A372" s="3448" t="s">
        <v>2760</v>
      </c>
      <c r="B372" s="3428" t="s">
        <v>3014</v>
      </c>
      <c r="C372" s="3428">
        <v>2250</v>
      </c>
      <c r="D372" s="3428">
        <v>2210</v>
      </c>
      <c r="E372" s="3428">
        <v>2180</v>
      </c>
      <c r="F372" s="3428">
        <v>550</v>
      </c>
      <c r="G372" s="3440">
        <v>1340</v>
      </c>
      <c r="H372" s="3441"/>
    </row>
    <row r="373" spans="1:8">
      <c r="A373" s="3448" t="s">
        <v>2760</v>
      </c>
      <c r="B373" s="3428" t="s">
        <v>1106</v>
      </c>
      <c r="C373" s="3428">
        <v>2210</v>
      </c>
      <c r="D373" s="3428">
        <v>2190</v>
      </c>
      <c r="E373" s="3428">
        <v>2150</v>
      </c>
      <c r="F373" s="3428">
        <v>530</v>
      </c>
      <c r="G373" s="3440">
        <v>1320</v>
      </c>
      <c r="H373" s="3441"/>
    </row>
    <row r="374" spans="1:8">
      <c r="A374" s="3448" t="s">
        <v>2760</v>
      </c>
      <c r="B374" s="3428" t="s">
        <v>1114</v>
      </c>
      <c r="C374" s="3428">
        <v>2320</v>
      </c>
      <c r="D374" s="3428">
        <v>2280</v>
      </c>
      <c r="E374" s="3428">
        <v>2230</v>
      </c>
      <c r="F374" s="3428">
        <v>580</v>
      </c>
      <c r="G374" s="3440">
        <v>1380</v>
      </c>
      <c r="H374" s="3441"/>
    </row>
    <row r="375" spans="1:8">
      <c r="A375" s="3448" t="s">
        <v>2760</v>
      </c>
      <c r="B375" s="3428" t="s">
        <v>3015</v>
      </c>
      <c r="C375" s="3428">
        <v>2090</v>
      </c>
      <c r="D375" s="3428">
        <v>2050</v>
      </c>
      <c r="E375" s="3428">
        <v>2020</v>
      </c>
      <c r="F375" s="3428">
        <v>520</v>
      </c>
      <c r="G375" s="3440">
        <v>1240</v>
      </c>
      <c r="H375" s="3441"/>
    </row>
    <row r="376" spans="1:8">
      <c r="A376" s="3448" t="s">
        <v>2760</v>
      </c>
      <c r="B376" s="3428" t="s">
        <v>1126</v>
      </c>
      <c r="C376" s="3428">
        <v>2010</v>
      </c>
      <c r="D376" s="3428">
        <v>1980</v>
      </c>
      <c r="E376" s="3428">
        <v>1940</v>
      </c>
      <c r="F376" s="3428">
        <v>540</v>
      </c>
      <c r="G376" s="3440">
        <v>1190</v>
      </c>
      <c r="H376" s="3441"/>
    </row>
    <row r="377" spans="1:8" ht="14.25" thickBot="1">
      <c r="A377" s="3450" t="s">
        <v>2760</v>
      </c>
      <c r="B377" s="3444" t="s">
        <v>3016</v>
      </c>
      <c r="C377" s="3444">
        <v>1930</v>
      </c>
      <c r="D377" s="3444">
        <v>1890</v>
      </c>
      <c r="E377" s="3444">
        <v>1860</v>
      </c>
      <c r="F377" s="3444">
        <v>530</v>
      </c>
      <c r="G377" s="3451">
        <v>1150</v>
      </c>
      <c r="H377" s="3441"/>
    </row>
    <row r="378" spans="1:8">
      <c r="A378" s="3445" t="s">
        <v>2761</v>
      </c>
      <c r="B378" s="3446" t="s">
        <v>3017</v>
      </c>
      <c r="C378" s="3446">
        <v>1520</v>
      </c>
      <c r="D378" s="3446">
        <v>1490</v>
      </c>
      <c r="E378" s="3446">
        <v>1460</v>
      </c>
      <c r="F378" s="3446">
        <v>460</v>
      </c>
      <c r="G378" s="3447">
        <v>940</v>
      </c>
      <c r="H378" s="3441"/>
    </row>
    <row r="379" spans="1:8">
      <c r="A379" s="3448" t="s">
        <v>2761</v>
      </c>
      <c r="B379" s="3428" t="s">
        <v>3018</v>
      </c>
      <c r="C379" s="3428">
        <v>1500</v>
      </c>
      <c r="D379" s="3428">
        <v>1470</v>
      </c>
      <c r="E379" s="3428">
        <v>1430</v>
      </c>
      <c r="F379" s="3428">
        <v>460</v>
      </c>
      <c r="G379" s="3440">
        <v>920</v>
      </c>
      <c r="H379" s="3441"/>
    </row>
    <row r="380" spans="1:8">
      <c r="A380" s="3448" t="s">
        <v>2761</v>
      </c>
      <c r="B380" s="3428" t="s">
        <v>3019</v>
      </c>
      <c r="C380" s="3428">
        <v>1620</v>
      </c>
      <c r="D380" s="3428">
        <v>1590</v>
      </c>
      <c r="E380" s="3428">
        <v>1560</v>
      </c>
      <c r="F380" s="3428">
        <v>480</v>
      </c>
      <c r="G380" s="3440">
        <v>1000</v>
      </c>
      <c r="H380" s="3441"/>
    </row>
    <row r="381" spans="1:8">
      <c r="A381" s="3448" t="s">
        <v>2761</v>
      </c>
      <c r="B381" s="3428" t="s">
        <v>3020</v>
      </c>
      <c r="C381" s="3428">
        <v>1460</v>
      </c>
      <c r="D381" s="3428">
        <v>1430</v>
      </c>
      <c r="E381" s="3428">
        <v>1390</v>
      </c>
      <c r="F381" s="3428">
        <v>450</v>
      </c>
      <c r="G381" s="3440">
        <v>900</v>
      </c>
      <c r="H381" s="3441"/>
    </row>
    <row r="382" spans="1:8">
      <c r="A382" s="3448" t="s">
        <v>2761</v>
      </c>
      <c r="B382" s="3428" t="s">
        <v>3021</v>
      </c>
      <c r="C382" s="3428">
        <v>1310</v>
      </c>
      <c r="D382" s="3428">
        <v>1280</v>
      </c>
      <c r="E382" s="3428">
        <v>1250</v>
      </c>
      <c r="F382" s="3428">
        <v>440</v>
      </c>
      <c r="G382" s="3440">
        <v>800</v>
      </c>
      <c r="H382" s="3441"/>
    </row>
    <row r="383" spans="1:8">
      <c r="A383" s="3448" t="s">
        <v>2761</v>
      </c>
      <c r="B383" s="3428" t="s">
        <v>3022</v>
      </c>
      <c r="C383" s="3428">
        <v>1260</v>
      </c>
      <c r="D383" s="3428">
        <v>1230</v>
      </c>
      <c r="E383" s="3428">
        <v>1200</v>
      </c>
      <c r="F383" s="3428">
        <v>420</v>
      </c>
      <c r="G383" s="3440">
        <v>770</v>
      </c>
      <c r="H383" s="3441"/>
    </row>
    <row r="384" spans="1:8" ht="14.25" thickBot="1">
      <c r="A384" s="3449" t="s">
        <v>2761</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76" t="s">
        <v>3186</v>
      </c>
      <c r="B1" s="3976"/>
      <c r="C1" s="3976"/>
      <c r="D1" s="3976"/>
      <c r="E1" s="3976"/>
      <c r="F1" s="3977"/>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2736</v>
      </c>
      <c r="C4" s="3498" t="s">
        <v>1212</v>
      </c>
      <c r="D4" s="3498" t="s">
        <v>3185</v>
      </c>
      <c r="E4" s="3498" t="s">
        <v>905</v>
      </c>
      <c r="F4" s="3498" t="s">
        <v>3190</v>
      </c>
    </row>
    <row r="5" spans="1:6">
      <c r="A5" s="3499" t="s">
        <v>2759</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2760</v>
      </c>
      <c r="B16" s="3501">
        <v>2230</v>
      </c>
      <c r="C16" s="3501">
        <v>2200</v>
      </c>
      <c r="D16" s="3501">
        <v>2180</v>
      </c>
      <c r="E16" s="3501">
        <v>570</v>
      </c>
      <c r="F16" s="3501">
        <v>1330</v>
      </c>
    </row>
    <row r="17" spans="1:6">
      <c r="A17" s="3499" t="s">
        <v>2761</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5" t="s">
        <v>2773</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5" t="s">
        <v>2774</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5" t="s">
        <v>2775</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5" t="s">
        <v>2776</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5" t="s">
        <v>2777</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9"/>
  </cols>
  <sheetData>
    <row r="1" spans="1:7">
      <c r="A1" s="3978" t="s">
        <v>3024</v>
      </c>
      <c r="B1" s="3978"/>
    </row>
    <row r="2" spans="1:7" ht="14.25" thickBot="1">
      <c r="A2" s="3460"/>
      <c r="B2" s="3460"/>
    </row>
    <row r="3" spans="1:7" ht="14.25" thickBot="1">
      <c r="A3" s="3460"/>
      <c r="B3" s="3460"/>
      <c r="C3" s="3461" t="s">
        <v>3025</v>
      </c>
      <c r="D3" s="3461" t="s">
        <v>3026</v>
      </c>
      <c r="E3" s="3461" t="s">
        <v>3027</v>
      </c>
      <c r="F3" s="3461" t="s">
        <v>3028</v>
      </c>
      <c r="G3" s="3461" t="s">
        <v>3029</v>
      </c>
    </row>
    <row r="4" spans="1:7" ht="14.2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4.2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4.2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4.2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4.2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4.2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4.2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4.2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4.2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4.2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4.2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4.2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4.2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56.25">
      <c r="A7" s="1581" t="s">
        <v>2028</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2023年12月6日（评估专业人员勘察现场之日）</v>
      </c>
    </row>
    <row r="12" spans="1:4" ht="18.75">
      <c r="A12" s="1583" t="s">
        <v>1542</v>
      </c>
    </row>
    <row r="13" spans="1:4" ht="18.75">
      <c r="A13" s="1577" t="s">
        <v>2198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18.75">
      <c r="A21" s="1577" t="s">
        <v>1591</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81" t="s">
        <v>1857</v>
      </c>
      <c r="C1" s="3981"/>
      <c r="D1" s="3981"/>
      <c r="E1" s="3981"/>
      <c r="F1" s="3981"/>
      <c r="G1" s="3980" t="s">
        <v>1858</v>
      </c>
      <c r="H1" s="3980"/>
      <c r="I1" s="3980"/>
      <c r="J1" s="3980"/>
      <c r="K1" s="3980"/>
      <c r="L1" s="3980"/>
      <c r="N1" s="3980" t="s">
        <v>1859</v>
      </c>
      <c r="O1" s="3980"/>
      <c r="P1" s="3980"/>
      <c r="Q1" s="3980"/>
      <c r="S1" s="3980" t="s">
        <v>1860</v>
      </c>
      <c r="T1" s="3980"/>
      <c r="U1" s="3980"/>
      <c r="V1" s="3980"/>
      <c r="X1" s="3979" t="s">
        <v>1920</v>
      </c>
      <c r="Y1" s="3980"/>
      <c r="Z1" s="3980"/>
      <c r="AA1" s="3980"/>
      <c r="AB1" s="3980"/>
      <c r="AD1" s="3979" t="s">
        <v>1924</v>
      </c>
      <c r="AE1" s="3980"/>
      <c r="AF1" s="3980"/>
      <c r="AG1" s="3980"/>
      <c r="AH1" s="3980"/>
    </row>
    <row r="2" spans="1:34" s="2615" customFormat="1" ht="14.25" thickBot="1">
      <c r="B2" s="2616" t="s">
        <v>1861</v>
      </c>
      <c r="C2" s="2616" t="s">
        <v>1922</v>
      </c>
      <c r="D2" s="2617" t="s">
        <v>1179</v>
      </c>
      <c r="E2" s="2617" t="s">
        <v>1469</v>
      </c>
      <c r="F2" s="2616" t="s">
        <v>1923</v>
      </c>
      <c r="G2" s="2618"/>
      <c r="I2" s="2616" t="s">
        <v>2211</v>
      </c>
      <c r="J2" s="2617" t="s">
        <v>2213</v>
      </c>
      <c r="K2" s="2617" t="s">
        <v>2214</v>
      </c>
      <c r="L2" s="2616" t="s">
        <v>2215</v>
      </c>
      <c r="N2" s="2616" t="s">
        <v>1861</v>
      </c>
      <c r="O2" s="2617" t="s">
        <v>2212</v>
      </c>
      <c r="P2" s="2617" t="s">
        <v>1469</v>
      </c>
      <c r="Q2" s="2616" t="s">
        <v>1923</v>
      </c>
      <c r="S2" s="2616" t="s">
        <v>1861</v>
      </c>
      <c r="T2" s="2617" t="s">
        <v>2212</v>
      </c>
      <c r="U2" s="2617" t="s">
        <v>1469</v>
      </c>
      <c r="V2" s="2616" t="s">
        <v>1923</v>
      </c>
      <c r="X2" s="2616" t="s">
        <v>1861</v>
      </c>
      <c r="Y2" s="2616" t="s">
        <v>1922</v>
      </c>
      <c r="Z2" s="2617" t="s">
        <v>1179</v>
      </c>
      <c r="AA2" s="2617" t="s">
        <v>1469</v>
      </c>
      <c r="AB2" s="2616" t="s">
        <v>1923</v>
      </c>
      <c r="AD2" s="2616" t="s">
        <v>1861</v>
      </c>
      <c r="AE2" s="2616" t="s">
        <v>1922</v>
      </c>
      <c r="AF2" s="2617" t="s">
        <v>1179</v>
      </c>
      <c r="AG2" s="2617" t="s">
        <v>1469</v>
      </c>
      <c r="AH2" s="2616" t="s">
        <v>1923</v>
      </c>
    </row>
    <row r="3" spans="1:34" s="2625" customFormat="1" ht="14.25">
      <c r="A3" s="2619" t="s">
        <v>2222</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2444</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2443</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2442</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2441</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2440</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2289</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2288</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2287</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2286</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2283</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2282</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2247</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2245</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2243</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2242</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2240</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2239</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2238</v>
      </c>
      <c r="B22" s="2649">
        <f t="shared" si="11"/>
        <v>464.37293017158942</v>
      </c>
      <c r="C22" s="2649">
        <f t="shared" si="12"/>
        <v>344.73679941385956</v>
      </c>
      <c r="D22" s="2649">
        <f t="shared" si="2"/>
        <v>344.73679941385956</v>
      </c>
      <c r="E22" s="2649">
        <f t="shared" si="3"/>
        <v>663.2377795103107</v>
      </c>
      <c r="F22" s="2650">
        <f t="shared" si="4"/>
        <v>304.75936311478398</v>
      </c>
      <c r="G22" s="3983">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2231</v>
      </c>
      <c r="B23" s="2639">
        <f t="shared" si="11"/>
        <v>459.95733971036987</v>
      </c>
      <c r="C23" s="2639">
        <f t="shared" si="12"/>
        <v>341.22221064422405</v>
      </c>
      <c r="D23" s="2639">
        <f t="shared" si="2"/>
        <v>341.22221064422405</v>
      </c>
      <c r="E23" s="2639">
        <f t="shared" si="3"/>
        <v>657.19161663724799</v>
      </c>
      <c r="F23" s="2639">
        <f t="shared" si="4"/>
        <v>300.87803644464805</v>
      </c>
      <c r="G23" s="3983"/>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2232</v>
      </c>
      <c r="B24" s="2639">
        <f t="shared" si="11"/>
        <v>453.11529869999993</v>
      </c>
      <c r="C24" s="2639">
        <f t="shared" si="12"/>
        <v>336.47787264000004</v>
      </c>
      <c r="D24" s="2639">
        <f t="shared" si="2"/>
        <v>336.47787264000004</v>
      </c>
      <c r="E24" s="2639">
        <f t="shared" si="3"/>
        <v>647.35186823999993</v>
      </c>
      <c r="F24" s="2639">
        <f t="shared" si="4"/>
        <v>295.73229452000004</v>
      </c>
      <c r="G24" s="3983"/>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2228</v>
      </c>
      <c r="B25" s="2639">
        <f t="shared" si="11"/>
        <v>446.46299999999997</v>
      </c>
      <c r="C25" s="2639">
        <f t="shared" si="12"/>
        <v>333.27840000000003</v>
      </c>
      <c r="D25" s="2639">
        <f t="shared" ref="D25:D30" si="13">C25</f>
        <v>333.27840000000003</v>
      </c>
      <c r="E25" s="2639">
        <f t="shared" si="3"/>
        <v>637.28279999999995</v>
      </c>
      <c r="F25" s="2639">
        <f t="shared" si="4"/>
        <v>288.68830000000003</v>
      </c>
      <c r="G25" s="3989"/>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2221</v>
      </c>
      <c r="B26" s="2655">
        <v>439</v>
      </c>
      <c r="C26" s="2655">
        <v>327</v>
      </c>
      <c r="D26" s="2655">
        <f t="shared" si="13"/>
        <v>327</v>
      </c>
      <c r="E26" s="2655">
        <v>627</v>
      </c>
      <c r="F26" s="2656">
        <v>283</v>
      </c>
      <c r="G26" s="3988">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2223</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3"/>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1862</v>
      </c>
      <c r="B28" s="2639">
        <f t="shared" si="16"/>
        <v>419.31181600000002</v>
      </c>
      <c r="C28" s="2639">
        <f t="shared" si="16"/>
        <v>313.95436800000004</v>
      </c>
      <c r="D28" s="2639">
        <f t="shared" si="13"/>
        <v>313.95436800000004</v>
      </c>
      <c r="E28" s="2639">
        <f t="shared" si="17"/>
        <v>596.63028431999999</v>
      </c>
      <c r="F28" s="2639">
        <f t="shared" si="17"/>
        <v>274.74220703999998</v>
      </c>
      <c r="G28" s="3983"/>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1863</v>
      </c>
      <c r="B29" s="2639">
        <f t="shared" si="16"/>
        <v>405.524</v>
      </c>
      <c r="C29" s="2639">
        <f t="shared" si="16"/>
        <v>307.79840000000002</v>
      </c>
      <c r="D29" s="2639">
        <f t="shared" si="13"/>
        <v>307.79840000000002</v>
      </c>
      <c r="E29" s="2639">
        <f t="shared" si="17"/>
        <v>574.67759999999998</v>
      </c>
      <c r="F29" s="2639">
        <f t="shared" si="17"/>
        <v>270.20280000000002</v>
      </c>
      <c r="G29" s="3989"/>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88">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3"/>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3"/>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82">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3"/>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3"/>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82">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3"/>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3"/>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1921</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1864</v>
      </c>
      <c r="B42" s="2660">
        <v>299</v>
      </c>
      <c r="C42" s="2660">
        <v>252</v>
      </c>
      <c r="D42" s="2660">
        <f t="shared" si="20"/>
        <v>252</v>
      </c>
      <c r="E42" s="2660">
        <v>409</v>
      </c>
      <c r="F42" s="2661">
        <v>227</v>
      </c>
      <c r="G42" s="3985">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1865</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86"/>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1866</v>
      </c>
      <c r="B44" s="2639">
        <f t="shared" si="27"/>
        <v>288.2649053828776</v>
      </c>
      <c r="C44" s="2639">
        <f t="shared" si="27"/>
        <v>243.64564425013293</v>
      </c>
      <c r="D44" s="2639">
        <f t="shared" si="20"/>
        <v>243.64564425013293</v>
      </c>
      <c r="E44" s="2639">
        <f t="shared" si="28"/>
        <v>393.31080825986544</v>
      </c>
      <c r="F44" s="2639">
        <f t="shared" si="28"/>
        <v>223.07903790551154</v>
      </c>
      <c r="G44" s="3986"/>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1867</v>
      </c>
      <c r="B45" s="2639">
        <f t="shared" si="27"/>
        <v>282.50186729015837</v>
      </c>
      <c r="C45" s="2639">
        <f t="shared" si="27"/>
        <v>238.09796174155468</v>
      </c>
      <c r="D45" s="2639">
        <f t="shared" si="20"/>
        <v>238.09796174155468</v>
      </c>
      <c r="E45" s="2639">
        <f t="shared" si="28"/>
        <v>385.33438646014054</v>
      </c>
      <c r="F45" s="2639">
        <f t="shared" si="28"/>
        <v>221.55034055567739</v>
      </c>
      <c r="G45" s="3987"/>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1868</v>
      </c>
      <c r="B46" s="2688">
        <v>278</v>
      </c>
      <c r="C46" s="2688">
        <v>234</v>
      </c>
      <c r="D46" s="2688">
        <f t="shared" si="20"/>
        <v>234</v>
      </c>
      <c r="E46" s="2688">
        <v>379</v>
      </c>
      <c r="F46" s="2689">
        <v>220</v>
      </c>
      <c r="G46" s="3982">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1869</v>
      </c>
      <c r="B47" s="2639">
        <f>B46/(1+N46)</f>
        <v>275.49301357645425</v>
      </c>
      <c r="C47" s="2639">
        <f>C46/(1+O46)</f>
        <v>232.41954707985698</v>
      </c>
      <c r="D47" s="2639">
        <f t="shared" si="20"/>
        <v>232.41954707985698</v>
      </c>
      <c r="E47" s="2639">
        <f t="shared" ref="E47:F49" si="29">E46/(1+P46)</f>
        <v>375.32184591008121</v>
      </c>
      <c r="F47" s="2639">
        <f t="shared" si="29"/>
        <v>218.03766105054513</v>
      </c>
      <c r="G47" s="3983"/>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1870</v>
      </c>
      <c r="B48" s="2639">
        <f>B47/(1+N47)</f>
        <v>275.24529281292263</v>
      </c>
      <c r="C48" s="2639">
        <f>C47/(1+O47)</f>
        <v>231.74747938962707</v>
      </c>
      <c r="D48" s="2639">
        <f t="shared" si="20"/>
        <v>231.74747938962707</v>
      </c>
      <c r="E48" s="2639">
        <f t="shared" si="29"/>
        <v>375.35938184826603</v>
      </c>
      <c r="F48" s="2639">
        <f t="shared" si="29"/>
        <v>216.78033510692495</v>
      </c>
      <c r="G48" s="3983"/>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1871</v>
      </c>
      <c r="B49" s="2639">
        <f>B48/(1+N48)</f>
        <v>275.19025476197027</v>
      </c>
      <c r="C49" s="2690">
        <v>232</v>
      </c>
      <c r="D49" s="2690">
        <f t="shared" si="20"/>
        <v>232</v>
      </c>
      <c r="E49" s="2639">
        <f t="shared" si="29"/>
        <v>375.65990977608692</v>
      </c>
      <c r="F49" s="2639">
        <f t="shared" si="29"/>
        <v>214.12518283971252</v>
      </c>
      <c r="G49" s="398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1872</v>
      </c>
      <c r="B50" s="2660">
        <v>275</v>
      </c>
      <c r="C50" s="2660">
        <v>232</v>
      </c>
      <c r="D50" s="2660">
        <f t="shared" si="20"/>
        <v>232</v>
      </c>
      <c r="E50" s="2660">
        <v>376</v>
      </c>
      <c r="F50" s="2661">
        <v>213</v>
      </c>
      <c r="G50" s="3982">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1873</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3">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1874</v>
      </c>
      <c r="B52" s="2639">
        <f t="shared" si="30"/>
        <v>275.19335084830601</v>
      </c>
      <c r="C52" s="2639">
        <f t="shared" si="30"/>
        <v>230.18088050139744</v>
      </c>
      <c r="D52" s="2639">
        <f t="shared" si="20"/>
        <v>230.18088050139744</v>
      </c>
      <c r="E52" s="2639">
        <f t="shared" si="31"/>
        <v>377.58482925212331</v>
      </c>
      <c r="F52" s="2639">
        <f t="shared" si="31"/>
        <v>210.90687997847917</v>
      </c>
      <c r="G52" s="3983">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1875</v>
      </c>
      <c r="B53" s="2639">
        <f t="shared" si="30"/>
        <v>276.29854502841971</v>
      </c>
      <c r="C53" s="2639">
        <f t="shared" si="30"/>
        <v>229.79023709833027</v>
      </c>
      <c r="D53" s="2639">
        <f t="shared" si="20"/>
        <v>229.79023709833027</v>
      </c>
      <c r="E53" s="2639">
        <f t="shared" si="31"/>
        <v>379.78759731655936</v>
      </c>
      <c r="F53" s="2639">
        <f t="shared" si="31"/>
        <v>211.32953905659235</v>
      </c>
      <c r="G53" s="398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1876</v>
      </c>
      <c r="B54" s="2660">
        <v>269</v>
      </c>
      <c r="C54" s="2660">
        <v>221</v>
      </c>
      <c r="D54" s="2660">
        <f t="shared" si="20"/>
        <v>221</v>
      </c>
      <c r="E54" s="2660">
        <v>373</v>
      </c>
      <c r="F54" s="2661">
        <v>196</v>
      </c>
      <c r="G54" s="3982">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1877</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3">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1878</v>
      </c>
      <c r="B56" s="2639">
        <f t="shared" si="32"/>
        <v>242.95398227588385</v>
      </c>
      <c r="C56" s="2639">
        <f t="shared" si="32"/>
        <v>199.59137053614126</v>
      </c>
      <c r="D56" s="2639">
        <f t="shared" si="20"/>
        <v>199.59137053614126</v>
      </c>
      <c r="E56" s="2639">
        <f t="shared" si="33"/>
        <v>335.92189522342125</v>
      </c>
      <c r="F56" s="2639">
        <f t="shared" si="33"/>
        <v>183.10139991109489</v>
      </c>
      <c r="G56" s="3983">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1879</v>
      </c>
      <c r="B57" s="2639">
        <f t="shared" si="32"/>
        <v>232.06990378821649</v>
      </c>
      <c r="C57" s="2639">
        <f t="shared" si="32"/>
        <v>192.74878854286936</v>
      </c>
      <c r="D57" s="2639">
        <f t="shared" si="20"/>
        <v>192.74878854286936</v>
      </c>
      <c r="E57" s="2639">
        <f t="shared" si="33"/>
        <v>319.71247284992984</v>
      </c>
      <c r="F57" s="2639">
        <f t="shared" si="33"/>
        <v>175.67053622862409</v>
      </c>
      <c r="G57" s="398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1880</v>
      </c>
      <c r="B58" s="2660">
        <v>220</v>
      </c>
      <c r="C58" s="2660">
        <v>187</v>
      </c>
      <c r="D58" s="2660">
        <f t="shared" si="20"/>
        <v>187</v>
      </c>
      <c r="E58" s="2660">
        <v>301</v>
      </c>
      <c r="F58" s="2661">
        <v>168</v>
      </c>
      <c r="G58" s="3982">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1881</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3">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1882</v>
      </c>
      <c r="B60" s="2639">
        <f t="shared" si="34"/>
        <v>210.630522469011</v>
      </c>
      <c r="C60" s="2639">
        <f t="shared" si="34"/>
        <v>181.69567812247232</v>
      </c>
      <c r="D60" s="2639">
        <f t="shared" si="20"/>
        <v>181.69567812247232</v>
      </c>
      <c r="E60" s="2639">
        <f t="shared" si="35"/>
        <v>286.13517466736738</v>
      </c>
      <c r="F60" s="2639">
        <f t="shared" si="35"/>
        <v>165.47535084591149</v>
      </c>
      <c r="G60" s="3983">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1883</v>
      </c>
      <c r="B61" s="2639">
        <f t="shared" si="34"/>
        <v>208.83454537875372</v>
      </c>
      <c r="C61" s="2639">
        <f t="shared" si="34"/>
        <v>183.77230517090351</v>
      </c>
      <c r="D61" s="2639">
        <f t="shared" si="20"/>
        <v>183.77230517090351</v>
      </c>
      <c r="E61" s="2639">
        <f t="shared" si="35"/>
        <v>281.10342338870947</v>
      </c>
      <c r="F61" s="2639">
        <f t="shared" si="35"/>
        <v>168.97309388942256</v>
      </c>
      <c r="G61" s="398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1884</v>
      </c>
      <c r="B62" s="2688">
        <v>214</v>
      </c>
      <c r="C62" s="2688">
        <v>188</v>
      </c>
      <c r="D62" s="2688">
        <f t="shared" si="20"/>
        <v>188</v>
      </c>
      <c r="E62" s="2688">
        <v>289</v>
      </c>
      <c r="F62" s="2689">
        <v>166</v>
      </c>
      <c r="G62" s="3982">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1885</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3">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1886</v>
      </c>
      <c r="B64" s="2639">
        <f t="shared" si="36"/>
        <v>206.31694671589116</v>
      </c>
      <c r="C64" s="2639">
        <f t="shared" si="36"/>
        <v>183.61041121036101</v>
      </c>
      <c r="D64" s="2639">
        <f t="shared" si="20"/>
        <v>183.61041121036101</v>
      </c>
      <c r="E64" s="2639">
        <f t="shared" si="37"/>
        <v>276.66850301795557</v>
      </c>
      <c r="F64" s="2639">
        <f t="shared" si="37"/>
        <v>165.1360938278614</v>
      </c>
      <c r="G64" s="3983">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1887</v>
      </c>
      <c r="B65" s="2691">
        <f t="shared" si="36"/>
        <v>196.62341248059772</v>
      </c>
      <c r="C65" s="2691">
        <f t="shared" si="36"/>
        <v>170.99125648199012</v>
      </c>
      <c r="D65" s="2691">
        <f t="shared" si="20"/>
        <v>170.99125648199012</v>
      </c>
      <c r="E65" s="2691">
        <f t="shared" si="37"/>
        <v>266.07857570490052</v>
      </c>
      <c r="F65" s="2691">
        <f t="shared" si="37"/>
        <v>154.53499328828505</v>
      </c>
      <c r="G65" s="398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1888</v>
      </c>
      <c r="B66" s="2660">
        <v>188</v>
      </c>
      <c r="C66" s="2660">
        <v>165</v>
      </c>
      <c r="D66" s="2660">
        <f t="shared" si="20"/>
        <v>165</v>
      </c>
      <c r="E66" s="2660">
        <v>254</v>
      </c>
      <c r="F66" s="2661">
        <v>148</v>
      </c>
      <c r="G66" s="3982">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1889</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3">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1890</v>
      </c>
      <c r="B68" s="2639">
        <f t="shared" si="40"/>
        <v>168.82017748715555</v>
      </c>
      <c r="C68" s="2639">
        <f t="shared" si="40"/>
        <v>148.06267029972753</v>
      </c>
      <c r="D68" s="2639">
        <f t="shared" si="20"/>
        <v>148.06267029972753</v>
      </c>
      <c r="E68" s="2639">
        <f t="shared" si="41"/>
        <v>216.46288379323747</v>
      </c>
      <c r="F68" s="2639">
        <f t="shared" si="41"/>
        <v>134.23529411764704</v>
      </c>
      <c r="G68" s="3983">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1891</v>
      </c>
      <c r="B69" s="2639">
        <f t="shared" si="40"/>
        <v>163.84913591779542</v>
      </c>
      <c r="C69" s="2639">
        <f t="shared" si="40"/>
        <v>145.0283378746594</v>
      </c>
      <c r="D69" s="2639">
        <f t="shared" si="20"/>
        <v>145.0283378746594</v>
      </c>
      <c r="E69" s="2639">
        <f t="shared" si="41"/>
        <v>204.95180722891567</v>
      </c>
      <c r="F69" s="2639">
        <f t="shared" si="41"/>
        <v>125.95920303605313</v>
      </c>
      <c r="G69" s="398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1892</v>
      </c>
      <c r="B70" s="2667">
        <v>159</v>
      </c>
      <c r="C70" s="2667">
        <v>141</v>
      </c>
      <c r="D70" s="2667">
        <f t="shared" si="20"/>
        <v>141</v>
      </c>
      <c r="E70" s="2667">
        <v>195</v>
      </c>
      <c r="F70" s="2668">
        <v>122</v>
      </c>
      <c r="G70" s="3982">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1893</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3">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1894</v>
      </c>
      <c r="B72" s="2639">
        <f t="shared" si="44"/>
        <v>146.57412060301507</v>
      </c>
      <c r="C72" s="2639">
        <f t="shared" si="44"/>
        <v>136.46831955922866</v>
      </c>
      <c r="D72" s="2639">
        <f t="shared" si="20"/>
        <v>136.46831955922866</v>
      </c>
      <c r="E72" s="2639">
        <f t="shared" si="45"/>
        <v>166.73864894795128</v>
      </c>
      <c r="F72" s="2639">
        <f t="shared" si="45"/>
        <v>115.05882352941177</v>
      </c>
      <c r="G72" s="3983">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1895</v>
      </c>
      <c r="B73" s="2639">
        <f t="shared" si="44"/>
        <v>144.04145728643215</v>
      </c>
      <c r="C73" s="2639">
        <f t="shared" si="44"/>
        <v>136.12396694214877</v>
      </c>
      <c r="D73" s="2639">
        <f t="shared" si="20"/>
        <v>136.12396694214877</v>
      </c>
      <c r="E73" s="2639">
        <f t="shared" si="45"/>
        <v>158.32225913621264</v>
      </c>
      <c r="F73" s="2639">
        <f t="shared" si="45"/>
        <v>114.04278074866311</v>
      </c>
      <c r="G73" s="398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1896</v>
      </c>
      <c r="B74" s="2667">
        <v>138</v>
      </c>
      <c r="C74" s="2667">
        <v>131</v>
      </c>
      <c r="D74" s="2667">
        <f t="shared" si="20"/>
        <v>131</v>
      </c>
      <c r="E74" s="2667">
        <v>155</v>
      </c>
      <c r="F74" s="2668">
        <v>114</v>
      </c>
      <c r="G74" s="3982">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1897</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3">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1898</v>
      </c>
      <c r="B76" s="2639">
        <f t="shared" si="48"/>
        <v>124.29032258064517</v>
      </c>
      <c r="C76" s="2639">
        <f t="shared" si="48"/>
        <v>123.8968609865471</v>
      </c>
      <c r="D76" s="2639">
        <f t="shared" si="20"/>
        <v>123.8968609865471</v>
      </c>
      <c r="E76" s="2639">
        <f t="shared" si="49"/>
        <v>138.00507614213197</v>
      </c>
      <c r="F76" s="2639">
        <f t="shared" si="49"/>
        <v>107.96106557377048</v>
      </c>
      <c r="G76" s="3983">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1899</v>
      </c>
      <c r="B77" s="2639">
        <f t="shared" si="48"/>
        <v>122.57204301075269</v>
      </c>
      <c r="C77" s="2639">
        <f t="shared" si="48"/>
        <v>123.4932735426009</v>
      </c>
      <c r="D77" s="2639">
        <f t="shared" si="20"/>
        <v>123.4932735426009</v>
      </c>
      <c r="E77" s="2639">
        <f t="shared" si="49"/>
        <v>129.82233502538071</v>
      </c>
      <c r="F77" s="2639">
        <f t="shared" si="49"/>
        <v>107.39446721311475</v>
      </c>
      <c r="G77" s="398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1900</v>
      </c>
      <c r="B78" s="2688">
        <v>121</v>
      </c>
      <c r="C78" s="2688">
        <v>122</v>
      </c>
      <c r="D78" s="2688">
        <f t="shared" si="20"/>
        <v>122</v>
      </c>
      <c r="E78" s="2688">
        <v>124</v>
      </c>
      <c r="F78" s="2689">
        <v>107</v>
      </c>
      <c r="G78" s="3982">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1901</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3">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1902</v>
      </c>
      <c r="B80" s="2639">
        <f t="shared" si="52"/>
        <v>116.99099099099099</v>
      </c>
      <c r="C80" s="2639">
        <f t="shared" si="52"/>
        <v>118.84848484848486</v>
      </c>
      <c r="D80" s="2639">
        <f t="shared" si="20"/>
        <v>118.84848484848486</v>
      </c>
      <c r="E80" s="2639">
        <f t="shared" si="53"/>
        <v>117.60960960960961</v>
      </c>
      <c r="F80" s="2639">
        <f t="shared" si="53"/>
        <v>104</v>
      </c>
      <c r="G80" s="3983">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1903</v>
      </c>
      <c r="B81" s="2691">
        <f t="shared" si="52"/>
        <v>112.48648648648648</v>
      </c>
      <c r="C81" s="2691">
        <f t="shared" si="52"/>
        <v>115.21212121212122</v>
      </c>
      <c r="D81" s="2691">
        <f t="shared" si="20"/>
        <v>115.21212121212122</v>
      </c>
      <c r="E81" s="2691">
        <f t="shared" si="53"/>
        <v>110.4024024024024</v>
      </c>
      <c r="F81" s="2691">
        <f t="shared" si="53"/>
        <v>104</v>
      </c>
      <c r="G81" s="398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1904</v>
      </c>
      <c r="B82" s="2708">
        <v>111</v>
      </c>
      <c r="C82" s="2708">
        <v>114</v>
      </c>
      <c r="D82" s="2708">
        <f t="shared" si="20"/>
        <v>114</v>
      </c>
      <c r="E82" s="2708">
        <v>108</v>
      </c>
      <c r="F82" s="2709">
        <v>104</v>
      </c>
      <c r="G82" s="3982">
        <v>2003</v>
      </c>
      <c r="H82" s="2698">
        <v>4</v>
      </c>
      <c r="I82" s="2710"/>
      <c r="J82" s="2710"/>
      <c r="K82" s="2710"/>
      <c r="L82" s="2710"/>
      <c r="N82" s="2711"/>
      <c r="O82" s="2710"/>
      <c r="P82" s="2710"/>
      <c r="Q82" s="2710"/>
      <c r="S82" s="2711"/>
      <c r="T82" s="2710"/>
      <c r="U82" s="2710"/>
      <c r="V82" s="2710"/>
      <c r="X82" s="2702"/>
      <c r="Y82" s="2702"/>
      <c r="Z82" s="2702"/>
    </row>
    <row r="83" spans="1:26">
      <c r="A83" s="2638" t="s">
        <v>1905</v>
      </c>
      <c r="B83" s="2712">
        <f t="shared" ref="B83:C85" si="54">B84+(B$82-B$86)/4</f>
        <v>109.75</v>
      </c>
      <c r="C83" s="2712">
        <f t="shared" si="54"/>
        <v>112.25</v>
      </c>
      <c r="D83" s="2712">
        <f t="shared" si="20"/>
        <v>112.25</v>
      </c>
      <c r="E83" s="2712">
        <f t="shared" ref="E83:F85" si="55">E84+(E$82-E$86)/4</f>
        <v>107.25</v>
      </c>
      <c r="F83" s="2712">
        <f t="shared" si="55"/>
        <v>103.5</v>
      </c>
      <c r="G83" s="3983">
        <v>2003</v>
      </c>
      <c r="H83" s="2665">
        <v>3</v>
      </c>
      <c r="I83" s="2710"/>
      <c r="J83" s="2710"/>
      <c r="K83" s="2710"/>
      <c r="L83" s="2710"/>
      <c r="X83" s="2702"/>
      <c r="Y83" s="2702"/>
      <c r="Z83" s="2702"/>
    </row>
    <row r="84" spans="1:26">
      <c r="A84" s="2638" t="s">
        <v>1906</v>
      </c>
      <c r="B84" s="2712">
        <f t="shared" si="54"/>
        <v>108.5</v>
      </c>
      <c r="C84" s="2712">
        <f t="shared" si="54"/>
        <v>110.5</v>
      </c>
      <c r="D84" s="2712">
        <f t="shared" si="20"/>
        <v>110.5</v>
      </c>
      <c r="E84" s="2712">
        <f t="shared" si="55"/>
        <v>106.5</v>
      </c>
      <c r="F84" s="2712">
        <f t="shared" si="55"/>
        <v>103</v>
      </c>
      <c r="G84" s="3983">
        <v>2003</v>
      </c>
      <c r="H84" s="2653">
        <v>2</v>
      </c>
      <c r="I84" s="2710"/>
      <c r="J84" s="2710"/>
      <c r="K84" s="2710"/>
      <c r="L84" s="2710"/>
      <c r="X84" s="2702"/>
      <c r="Y84" s="2702"/>
      <c r="Z84" s="2702"/>
    </row>
    <row r="85" spans="1:26" ht="13.5" thickBot="1">
      <c r="A85" s="2638" t="s">
        <v>1907</v>
      </c>
      <c r="B85" s="2712">
        <f t="shared" si="54"/>
        <v>107.25</v>
      </c>
      <c r="C85" s="2712">
        <f t="shared" si="54"/>
        <v>108.75</v>
      </c>
      <c r="D85" s="2712">
        <f t="shared" si="20"/>
        <v>108.75</v>
      </c>
      <c r="E85" s="2712">
        <f t="shared" si="55"/>
        <v>105.75</v>
      </c>
      <c r="F85" s="2712">
        <f t="shared" si="55"/>
        <v>102.5</v>
      </c>
      <c r="G85" s="3984">
        <v>2003</v>
      </c>
      <c r="H85" s="2713">
        <v>1</v>
      </c>
      <c r="I85" s="2710"/>
      <c r="J85" s="2710"/>
      <c r="K85" s="2710"/>
      <c r="L85" s="2710"/>
      <c r="S85" s="2641"/>
      <c r="T85" s="2637"/>
      <c r="U85" s="2637"/>
      <c r="X85" s="2702"/>
      <c r="Y85" s="2702"/>
      <c r="Z85" s="2702"/>
    </row>
    <row r="86" spans="1:26" ht="13.5" thickBot="1">
      <c r="A86" s="2638" t="s">
        <v>1908</v>
      </c>
      <c r="B86" s="2714">
        <v>106</v>
      </c>
      <c r="C86" s="2714">
        <v>107</v>
      </c>
      <c r="D86" s="2714">
        <f t="shared" si="20"/>
        <v>107</v>
      </c>
      <c r="E86" s="2714">
        <v>105</v>
      </c>
      <c r="F86" s="2715">
        <v>102</v>
      </c>
      <c r="G86" s="3982">
        <v>2002</v>
      </c>
      <c r="H86" s="2662">
        <v>4</v>
      </c>
      <c r="I86" s="2710"/>
      <c r="J86" s="2710"/>
      <c r="K86" s="2710"/>
      <c r="L86" s="2710"/>
      <c r="N86" s="2711"/>
      <c r="O86" s="2710"/>
      <c r="P86" s="2710"/>
      <c r="Q86" s="2710"/>
      <c r="S86" s="2711"/>
      <c r="T86" s="2710"/>
      <c r="U86" s="2710"/>
      <c r="V86" s="2710"/>
      <c r="X86" s="2702"/>
      <c r="Y86" s="2702"/>
      <c r="Z86" s="2702"/>
    </row>
    <row r="87" spans="1:26">
      <c r="A87" s="2638" t="s">
        <v>1909</v>
      </c>
      <c r="B87" s="2712">
        <f t="shared" ref="B87:C89" si="56">B88+(B$86-B$90)/4</f>
        <v>105</v>
      </c>
      <c r="C87" s="2712">
        <f t="shared" si="56"/>
        <v>106</v>
      </c>
      <c r="D87" s="2712">
        <f t="shared" si="20"/>
        <v>106</v>
      </c>
      <c r="E87" s="2712">
        <f t="shared" ref="E87:F89" si="57">E88+(E$86-E$90)/4</f>
        <v>104.5</v>
      </c>
      <c r="F87" s="2712">
        <f t="shared" si="57"/>
        <v>101.5</v>
      </c>
      <c r="G87" s="3983">
        <v>2002</v>
      </c>
      <c r="H87" s="2665">
        <v>3</v>
      </c>
      <c r="I87" s="2710"/>
      <c r="J87" s="2710"/>
      <c r="K87" s="2710"/>
      <c r="L87" s="2710"/>
      <c r="X87" s="2702"/>
      <c r="Y87" s="2702"/>
      <c r="Z87" s="2702"/>
    </row>
    <row r="88" spans="1:26">
      <c r="A88" s="2638" t="s">
        <v>1910</v>
      </c>
      <c r="B88" s="2712">
        <f t="shared" si="56"/>
        <v>104</v>
      </c>
      <c r="C88" s="2712">
        <f t="shared" si="56"/>
        <v>105</v>
      </c>
      <c r="D88" s="2712">
        <f t="shared" si="20"/>
        <v>105</v>
      </c>
      <c r="E88" s="2712">
        <f t="shared" si="57"/>
        <v>104</v>
      </c>
      <c r="F88" s="2712">
        <f t="shared" si="57"/>
        <v>101</v>
      </c>
      <c r="G88" s="3983">
        <v>2002</v>
      </c>
      <c r="H88" s="2653">
        <v>2</v>
      </c>
      <c r="I88" s="2710"/>
      <c r="J88" s="2710"/>
      <c r="K88" s="2710"/>
      <c r="L88" s="2710"/>
      <c r="X88" s="2702"/>
      <c r="Y88" s="2702"/>
      <c r="Z88" s="2702"/>
    </row>
    <row r="89" spans="1:26" s="2675" customFormat="1" ht="13.5" thickBot="1">
      <c r="A89" s="2671" t="s">
        <v>1911</v>
      </c>
      <c r="B89" s="2678">
        <f t="shared" si="56"/>
        <v>103</v>
      </c>
      <c r="C89" s="2678">
        <f t="shared" si="56"/>
        <v>104</v>
      </c>
      <c r="D89" s="2678">
        <f t="shared" si="20"/>
        <v>104</v>
      </c>
      <c r="E89" s="2678">
        <f t="shared" si="57"/>
        <v>103.5</v>
      </c>
      <c r="F89" s="2678">
        <f t="shared" si="57"/>
        <v>100.5</v>
      </c>
      <c r="G89" s="3984">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1912</v>
      </c>
      <c r="G92" s="2725"/>
      <c r="N92" s="2725"/>
      <c r="S92" s="2725"/>
    </row>
    <row r="93" spans="1:26" s="2724" customFormat="1">
      <c r="A93" s="2724" t="s">
        <v>1913</v>
      </c>
      <c r="G93" s="2725"/>
      <c r="N93" s="2725"/>
      <c r="S93" s="2725"/>
    </row>
    <row r="94" spans="1:26" s="2724" customFormat="1">
      <c r="A94" s="2724" t="s">
        <v>1914</v>
      </c>
      <c r="G94" s="2725"/>
      <c r="I94" s="2726"/>
      <c r="J94" s="2726"/>
      <c r="K94" s="2726"/>
      <c r="L94" s="2726"/>
      <c r="N94" s="2727"/>
      <c r="O94" s="2726"/>
      <c r="P94" s="2726"/>
      <c r="Q94" s="2726"/>
      <c r="S94" s="2727"/>
      <c r="T94" s="2726"/>
      <c r="U94" s="2726"/>
      <c r="V94" s="2726"/>
    </row>
    <row r="95" spans="1:26" s="2724" customFormat="1">
      <c r="A95" s="2724" t="s">
        <v>1915</v>
      </c>
      <c r="G95" s="2725"/>
      <c r="N95" s="2725"/>
      <c r="S95" s="2725"/>
    </row>
    <row r="102" spans="7:22" ht="13.5" thickBot="1"/>
    <row r="103" spans="7:22">
      <c r="G103" s="2636"/>
      <c r="S103" s="2728" t="s">
        <v>1916</v>
      </c>
      <c r="T103" s="2729" t="s">
        <v>1917</v>
      </c>
      <c r="U103" s="2729" t="s">
        <v>1918</v>
      </c>
      <c r="V103" s="2729" t="s">
        <v>1919</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H49" sqref="H49"/>
    </sheetView>
  </sheetViews>
  <sheetFormatPr defaultRowHeight="13.5"/>
  <cols>
    <col min="1" max="1" width="12.375" customWidth="1"/>
    <col min="11" max="17" width="0" hidden="1" customWidth="1"/>
    <col min="24" max="30" width="0" hidden="1" customWidth="1"/>
  </cols>
  <sheetData>
    <row r="1" spans="1:30">
      <c r="A1" s="3395">
        <f>基准地价!G23</f>
        <v>45266</v>
      </c>
      <c r="B1" s="3343" t="s">
        <v>2787</v>
      </c>
      <c r="C1" s="3344"/>
      <c r="D1" s="3344"/>
      <c r="E1" s="3344"/>
      <c r="F1" s="3344"/>
      <c r="G1" s="3344"/>
      <c r="H1" s="3344"/>
      <c r="I1" s="3344"/>
      <c r="J1" s="3345"/>
      <c r="K1" s="3344" t="s">
        <v>2788</v>
      </c>
      <c r="L1" s="3344"/>
      <c r="M1" s="3344"/>
      <c r="N1" s="3344"/>
      <c r="O1" s="3344"/>
      <c r="P1" s="3344"/>
      <c r="Q1" s="3345"/>
      <c r="R1" s="3990" t="s">
        <v>2797</v>
      </c>
      <c r="S1" s="3991"/>
      <c r="T1" s="3991"/>
      <c r="U1" s="3991"/>
      <c r="V1" s="3991"/>
      <c r="W1" s="3991"/>
      <c r="X1" s="3345"/>
      <c r="Y1" s="3990" t="s">
        <v>2808</v>
      </c>
      <c r="Z1" s="3991"/>
      <c r="AA1" s="3991"/>
      <c r="AB1" s="3991"/>
      <c r="AC1" s="3991"/>
      <c r="AD1" s="3991"/>
    </row>
    <row r="2" spans="1:30" ht="14.25" thickBot="1">
      <c r="A2" s="3336"/>
      <c r="B2" s="3346"/>
      <c r="C2" s="3347"/>
      <c r="D2" s="3348" t="s">
        <v>2790</v>
      </c>
      <c r="E2" s="3349" t="s">
        <v>2791</v>
      </c>
      <c r="F2" s="3349" t="s">
        <v>2792</v>
      </c>
      <c r="G2" s="3349" t="s">
        <v>2793</v>
      </c>
      <c r="H2" s="3349" t="s">
        <v>2794</v>
      </c>
      <c r="I2" s="3349" t="s">
        <v>2735</v>
      </c>
      <c r="J2" s="3350"/>
      <c r="K2" s="3348" t="s">
        <v>2790</v>
      </c>
      <c r="L2" s="3349" t="s">
        <v>2791</v>
      </c>
      <c r="M2" s="3349" t="s">
        <v>2792</v>
      </c>
      <c r="N2" s="3349" t="s">
        <v>2793</v>
      </c>
      <c r="O2" s="3349" t="s">
        <v>2794</v>
      </c>
      <c r="P2" s="3349" t="s">
        <v>2735</v>
      </c>
      <c r="Q2" s="3350"/>
      <c r="R2" s="3348" t="s">
        <v>2798</v>
      </c>
      <c r="S2" s="3349" t="s">
        <v>2799</v>
      </c>
      <c r="T2" s="3349" t="s">
        <v>2800</v>
      </c>
      <c r="U2" s="3349" t="s">
        <v>2801</v>
      </c>
      <c r="V2" s="3349" t="s">
        <v>2802</v>
      </c>
      <c r="W2" s="3349" t="s">
        <v>2803</v>
      </c>
      <c r="X2" s="3350"/>
      <c r="Y2" s="3348" t="s">
        <v>2790</v>
      </c>
      <c r="Z2" s="3349" t="s">
        <v>1470</v>
      </c>
      <c r="AA2" s="3349" t="s">
        <v>2809</v>
      </c>
      <c r="AB2" s="3349" t="s">
        <v>1469</v>
      </c>
      <c r="AC2" s="3349" t="s">
        <v>2794</v>
      </c>
      <c r="AD2" s="3349" t="s">
        <v>2452</v>
      </c>
    </row>
    <row r="3" spans="1:30">
      <c r="A3" s="3337" t="s">
        <v>2778</v>
      </c>
      <c r="B3" s="3351"/>
      <c r="C3" s="3352"/>
      <c r="D3" s="3352">
        <f>ROUND(AVERAGEIF(D4:D16,"&lt;&gt;0"),2)</f>
        <v>0.83</v>
      </c>
      <c r="E3" s="3352">
        <f>ROUND(AVERAGEIF(E4:E16,"&lt;&gt;0"),2)</f>
        <v>0.4</v>
      </c>
      <c r="F3" s="3352">
        <f>ROUND(AVERAGEIF(F4:F16,"&lt;&gt;0"),2)</f>
        <v>0.22</v>
      </c>
      <c r="G3" s="3352">
        <f>ROUND(AVERAGEIF(G4:G16,"&lt;&gt;0"),2)</f>
        <v>0.9</v>
      </c>
      <c r="H3" s="3352">
        <f>ROUND(AVERAGEIF(H4:H16,"&lt;&gt;0"),2)</f>
        <v>0.65</v>
      </c>
      <c r="I3" s="3352">
        <f>F3</f>
        <v>0.22</v>
      </c>
      <c r="J3" s="3353"/>
      <c r="K3" s="3354">
        <f>ROUND(AVERAGEIF(K4:K16,"&lt;&gt;0"),4)</f>
        <v>8.3000000000000001E-3</v>
      </c>
      <c r="L3" s="3355">
        <f>ROUND(AVERAGEIF(L4:L16,"&lt;&gt;0"),4)</f>
        <v>4.0000000000000001E-3</v>
      </c>
      <c r="M3" s="3355">
        <f>ROUND(AVERAGEIF(M4:M16,"&lt;&gt;0"),4)</f>
        <v>2.2000000000000001E-3</v>
      </c>
      <c r="N3" s="3355">
        <f>ROUND(AVERAGEIF(N4:N16,"&lt;&gt;0"),4)</f>
        <v>8.9999999999999993E-3</v>
      </c>
      <c r="O3" s="3355">
        <f>ROUND(AVERAGEIF(O4:O16,"&lt;&gt;0"),4)</f>
        <v>6.4999999999999997E-3</v>
      </c>
      <c r="P3" s="3355">
        <f>M3</f>
        <v>2.2000000000000001E-3</v>
      </c>
      <c r="Q3" s="3353"/>
      <c r="R3" s="3370">
        <f>ROUND(SUMPRODUCT(PRODUCT(1+K4:K16)),4)</f>
        <v>1.0860000000000001</v>
      </c>
      <c r="S3" s="3371">
        <f>ROUND(SUMPRODUCT(PRODUCT(1+L4:L16)),4)</f>
        <v>1.0410999999999999</v>
      </c>
      <c r="T3" s="3371">
        <f>ROUND(SUMPRODUCT(PRODUCT(1+M4:M16)),4)</f>
        <v>1.0225</v>
      </c>
      <c r="U3" s="3371">
        <f>ROUND(SUMPRODUCT(PRODUCT(1+N4:N16)),4)</f>
        <v>1.0938000000000001</v>
      </c>
      <c r="V3" s="3371">
        <f>ROUND(SUMPRODUCT(PRODUCT(1+O4:O16)),4)</f>
        <v>1.0668</v>
      </c>
      <c r="W3" s="3370">
        <f>T3</f>
        <v>1.0225</v>
      </c>
      <c r="X3" s="3353"/>
      <c r="Y3" s="3378">
        <f>ROUND(AVERAGEIF(Y5:Y16,"&lt;&gt;0"),4)</f>
        <v>8.6E-3</v>
      </c>
      <c r="Z3" s="3379">
        <f>ROUND(AVERAGEIF(Z5:Z16,"&lt;&gt;0"),4)</f>
        <v>3.5999999999999999E-3</v>
      </c>
      <c r="AA3" s="3380">
        <f>ROUND(AVERAGEIF(AA5:AA16,"&lt;&gt;0"),4)</f>
        <v>1.1000000000000001E-3</v>
      </c>
      <c r="AB3" s="3378">
        <f>ROUND(AVERAGEIF(AB5:AB16,"&lt;&gt;0"),4)</f>
        <v>9.4000000000000004E-3</v>
      </c>
      <c r="AC3" s="3381">
        <f>ROUND(AVERAGEIF(AC5:AC16,"&lt;&gt;0"),4)</f>
        <v>6.1999999999999998E-3</v>
      </c>
      <c r="AD3" s="3378">
        <f>AA3</f>
        <v>1.1000000000000001E-3</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3248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1.0755999999999999</v>
      </c>
      <c r="S5" s="3376">
        <f>ROUND(IF(项目基本情况!$B$8="出让",SUMPRODUCT(PRODUCT(1+L5:$L$16)),SUMPRODUCT(PRODUCT(1+L5:$L$15))),4)</f>
        <v>1.0395000000000001</v>
      </c>
      <c r="T5" s="3376">
        <f>ROUND(IF(项目基本情况!$B$8="出让",SUMPRODUCT(PRODUCT(1+M5:$M$16)),SUMPRODUCT(PRODUCT(1+M5:$M$15))),4)</f>
        <v>1.0250999999999999</v>
      </c>
      <c r="U5" s="3376">
        <f>ROUND(IF(项目基本情况!$B$8="出让",SUMPRODUCT(PRODUCT(1+N5:$N$16)),SUMPRODUCT(PRODUCT(1+N5:$N$15))),4)</f>
        <v>1.0818000000000001</v>
      </c>
      <c r="V5" s="3376">
        <f>ROUND(IF(项目基本情况!$B$8="出让",SUMPRODUCT(PRODUCT(1+O5:$O$16)),SUMPRODUCT(PRODUCT(1+O5:$O$15))),4)</f>
        <v>1.0629999999999999</v>
      </c>
      <c r="W5" s="3376">
        <f>T5</f>
        <v>1.0250999999999999</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3249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1.0755999999999999</v>
      </c>
      <c r="S6" s="3376">
        <f>ROUND(IF(项目基本情况!$B$8="出让",SUMPRODUCT(PRODUCT(1+L6:$L$16)),SUMPRODUCT(PRODUCT(1+L6:$L$15))),4)</f>
        <v>1.0395000000000001</v>
      </c>
      <c r="T6" s="3376">
        <f>ROUND(IF(项目基本情况!$B$8="出让",SUMPRODUCT(PRODUCT(1+M6:$M$16)),SUMPRODUCT(PRODUCT(1+M6:$M$15))),4)</f>
        <v>1.0250999999999999</v>
      </c>
      <c r="U6" s="3376">
        <f>ROUND(IF(项目基本情况!$B$8="出让",SUMPRODUCT(PRODUCT(1+N6:$N$16)),SUMPRODUCT(PRODUCT(1+N6:$N$15))),4)</f>
        <v>1.0818000000000001</v>
      </c>
      <c r="V6" s="3376">
        <f>ROUND(IF(项目基本情况!$B$8="出让",SUMPRODUCT(PRODUCT(1+O6:$O$16)),SUMPRODUCT(PRODUCT(1+O6:$O$15))),4)</f>
        <v>1.0629999999999999</v>
      </c>
      <c r="W6" s="3376">
        <f t="shared" ref="W6:W8" si="9">T6</f>
        <v>1.0250999999999999</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40" t="s">
        <v>3254</v>
      </c>
      <c r="B7" s="3401">
        <v>2023</v>
      </c>
      <c r="C7" s="3402">
        <v>2</v>
      </c>
      <c r="D7" s="3402">
        <v>0.91</v>
      </c>
      <c r="E7" s="3402">
        <v>0.66</v>
      </c>
      <c r="F7" s="3402">
        <v>0.47</v>
      </c>
      <c r="G7" s="3402">
        <v>0.96</v>
      </c>
      <c r="H7" s="3403">
        <v>0.71</v>
      </c>
      <c r="I7" s="3404">
        <f t="shared" si="0"/>
        <v>0.47</v>
      </c>
      <c r="J7" s="3363"/>
      <c r="K7" s="3364">
        <f t="shared" si="3"/>
        <v>9.1000000000000004E-3</v>
      </c>
      <c r="L7" s="3365">
        <f t="shared" si="4"/>
        <v>6.6E-3</v>
      </c>
      <c r="M7" s="3365">
        <f t="shared" si="5"/>
        <v>4.6999999999999993E-3</v>
      </c>
      <c r="N7" s="3365">
        <f t="shared" si="6"/>
        <v>9.5999999999999992E-3</v>
      </c>
      <c r="O7" s="3365">
        <f t="shared" si="7"/>
        <v>7.0999999999999995E-3</v>
      </c>
      <c r="P7" s="3365">
        <f t="shared" si="8"/>
        <v>4.6999999999999993E-3</v>
      </c>
      <c r="Q7" s="3363"/>
      <c r="R7" s="3363">
        <f>ROUND(IF(项目基本情况!$B$8="出让",SUMPRODUCT(PRODUCT(1+K7:$K$16)),SUMPRODUCT(PRODUCT(1+K7:$K$15))),4)</f>
        <v>1.0755999999999999</v>
      </c>
      <c r="S7" s="3363">
        <f>ROUND(IF(项目基本情况!$B$8="出让",SUMPRODUCT(PRODUCT(1+L7:$L$16)),SUMPRODUCT(PRODUCT(1+L7:$L$15))),4)</f>
        <v>1.0395000000000001</v>
      </c>
      <c r="T7" s="3363">
        <f>ROUND(IF(项目基本情况!$B$8="出让",SUMPRODUCT(PRODUCT(1+M7:$M$16)),SUMPRODUCT(PRODUCT(1+M7:$M$15))),4)</f>
        <v>1.0250999999999999</v>
      </c>
      <c r="U7" s="3363">
        <f>ROUND(IF(项目基本情况!$B$8="出让",SUMPRODUCT(PRODUCT(1+N7:$N$16)),SUMPRODUCT(PRODUCT(1+N7:$N$15))),4)</f>
        <v>1.0818000000000001</v>
      </c>
      <c r="V7" s="3363">
        <f>ROUND(IF(项目基本情况!$B$8="出让",SUMPRODUCT(PRODUCT(1+O7:$O$16)),SUMPRODUCT(PRODUCT(1+O7:$O$15))),4)</f>
        <v>1.0629999999999999</v>
      </c>
      <c r="W7" s="3363">
        <f t="shared" si="9"/>
        <v>1.0250999999999999</v>
      </c>
      <c r="X7" s="3363"/>
      <c r="Y7" s="3365">
        <f t="shared" ref="Y7:AC7" si="12">IF(D7=0,0,ROUND(AVERAGE(D7:D18)/100,4))</f>
        <v>8.3000000000000001E-3</v>
      </c>
      <c r="Z7" s="3365">
        <f t="shared" si="12"/>
        <v>4.0000000000000001E-3</v>
      </c>
      <c r="AA7" s="3365">
        <f t="shared" si="12"/>
        <v>2.2000000000000001E-3</v>
      </c>
      <c r="AB7" s="3365">
        <f t="shared" si="12"/>
        <v>8.9999999999999993E-3</v>
      </c>
      <c r="AC7" s="3365">
        <f t="shared" si="12"/>
        <v>6.4999999999999997E-3</v>
      </c>
      <c r="AD7" s="3365">
        <f t="shared" si="11"/>
        <v>2.2000000000000001E-3</v>
      </c>
    </row>
    <row r="8" spans="1:30">
      <c r="A8" s="3339" t="s">
        <v>3255</v>
      </c>
      <c r="B8" s="3398">
        <v>2023</v>
      </c>
      <c r="C8" s="3399">
        <v>1</v>
      </c>
      <c r="D8" s="3399">
        <v>0.89</v>
      </c>
      <c r="E8" s="3399">
        <v>0.74</v>
      </c>
      <c r="F8" s="3399">
        <v>0.56999999999999995</v>
      </c>
      <c r="G8" s="3399">
        <v>0.92</v>
      </c>
      <c r="H8" s="3405">
        <v>0.5</v>
      </c>
      <c r="I8" s="3400">
        <f t="shared" si="0"/>
        <v>0.56999999999999995</v>
      </c>
      <c r="J8" s="3360"/>
      <c r="K8" s="3361">
        <f t="shared" si="3"/>
        <v>8.8999999999999999E-3</v>
      </c>
      <c r="L8" s="3362">
        <f t="shared" si="4"/>
        <v>7.4000000000000003E-3</v>
      </c>
      <c r="M8" s="3362">
        <f t="shared" si="5"/>
        <v>5.6999999999999993E-3</v>
      </c>
      <c r="N8" s="3362">
        <f t="shared" si="6"/>
        <v>9.1999999999999998E-3</v>
      </c>
      <c r="O8" s="3362">
        <f t="shared" si="7"/>
        <v>5.0000000000000001E-3</v>
      </c>
      <c r="P8" s="3362">
        <f t="shared" si="8"/>
        <v>5.6999999999999993E-3</v>
      </c>
      <c r="Q8" s="3360"/>
      <c r="R8" s="3376">
        <f>ROUND(IF(项目基本情况!$B$8="出让",SUMPRODUCT(PRODUCT(1+K8:$K$16)),SUMPRODUCT(PRODUCT(1+K8:$K$15))),4)</f>
        <v>1.0659000000000001</v>
      </c>
      <c r="S8" s="3376">
        <f>ROUND(IF(项目基本情况!$B$8="出让",SUMPRODUCT(PRODUCT(1+L8:$L$16)),SUMPRODUCT(PRODUCT(1+L8:$L$15))),4)</f>
        <v>1.0326</v>
      </c>
      <c r="T8" s="3376">
        <f>ROUND(IF(项目基本情况!$B$8="出让",SUMPRODUCT(PRODUCT(1+M8:$M$16)),SUMPRODUCT(PRODUCT(1+M8:$M$15))),4)</f>
        <v>1.0203</v>
      </c>
      <c r="U8" s="3376">
        <f>ROUND(IF(项目基本情况!$B$8="出让",SUMPRODUCT(PRODUCT(1+N8:$N$16)),SUMPRODUCT(PRODUCT(1+N8:$N$15))),4)</f>
        <v>1.0714999999999999</v>
      </c>
      <c r="V8" s="3376">
        <f>ROUND(IF(项目基本情况!$B$8="出让",SUMPRODUCT(PRODUCT(1+O8:$O$16)),SUMPRODUCT(PRODUCT(1+O8:$O$15))),4)</f>
        <v>1.0555000000000001</v>
      </c>
      <c r="W8" s="3376">
        <f t="shared" si="9"/>
        <v>1.0203</v>
      </c>
      <c r="X8" s="3360"/>
      <c r="Y8" s="3385">
        <f t="shared" ref="Y8:AC8" si="13">IF(D8=0,0,ROUND(AVERAGE(D8:D19)/100,4))</f>
        <v>8.2000000000000007E-3</v>
      </c>
      <c r="Z8" s="3385">
        <f t="shared" si="13"/>
        <v>3.8E-3</v>
      </c>
      <c r="AA8" s="3385">
        <f t="shared" si="13"/>
        <v>2E-3</v>
      </c>
      <c r="AB8" s="3385">
        <f t="shared" si="13"/>
        <v>8.8999999999999999E-3</v>
      </c>
      <c r="AC8" s="3385">
        <f t="shared" si="13"/>
        <v>6.4000000000000003E-3</v>
      </c>
      <c r="AD8" s="3385">
        <f t="shared" si="11"/>
        <v>2E-3</v>
      </c>
    </row>
    <row r="9" spans="1:30">
      <c r="A9" s="3339" t="s">
        <v>3252</v>
      </c>
      <c r="B9" s="3398">
        <v>2022</v>
      </c>
      <c r="C9" s="3399">
        <v>4</v>
      </c>
      <c r="D9" s="3399">
        <v>0.62</v>
      </c>
      <c r="E9" s="3399">
        <v>0.2</v>
      </c>
      <c r="F9" s="3399">
        <v>0.11</v>
      </c>
      <c r="G9" s="3399">
        <v>0.69</v>
      </c>
      <c r="H9" s="3405">
        <v>0.53</v>
      </c>
      <c r="I9" s="3400">
        <f t="shared" si="0"/>
        <v>0.11</v>
      </c>
      <c r="J9" s="3360"/>
      <c r="K9" s="3361">
        <f t="shared" si="1"/>
        <v>6.1999999999999998E-3</v>
      </c>
      <c r="L9" s="3362">
        <f t="shared" si="1"/>
        <v>2E-3</v>
      </c>
      <c r="M9" s="3362">
        <f t="shared" si="1"/>
        <v>1.1000000000000001E-3</v>
      </c>
      <c r="N9" s="3362">
        <f t="shared" si="1"/>
        <v>6.8999999999999999E-3</v>
      </c>
      <c r="O9" s="3362">
        <f t="shared" si="1"/>
        <v>5.3E-3</v>
      </c>
      <c r="P9" s="3362">
        <f t="shared" ref="P9:P16" si="14">M9</f>
        <v>1.1000000000000001E-3</v>
      </c>
      <c r="Q9" s="3360"/>
      <c r="R9" s="3376">
        <f>ROUND(IF(项目基本情况!B8="出让",SUMPRODUCT(PRODUCT(1+K9:K16)),SUMPRODUCT(PRODUCT(1+K9:K15))),4)</f>
        <v>1.0565</v>
      </c>
      <c r="S9" s="3376">
        <f>ROUND(IF(项目基本情况!B8="出让",SUMPRODUCT(PRODUCT(1+L9:L16)),SUMPRODUCT(PRODUCT(1+L9:L15))),4)</f>
        <v>1.0250999999999999</v>
      </c>
      <c r="T9" s="3376">
        <f>ROUND(IF(项目基本情况!B8="出让",SUMPRODUCT(PRODUCT(1+M9:M16)),SUMPRODUCT(PRODUCT(1+M9:M15))),4)</f>
        <v>1.0145</v>
      </c>
      <c r="U9" s="3376">
        <f>ROUND(IF(项目基本情况!B8="出让",SUMPRODUCT(PRODUCT(1+N9:N16)),SUMPRODUCT(PRODUCT(1+N9:N15))),4)</f>
        <v>1.0618000000000001</v>
      </c>
      <c r="V9" s="3376">
        <f>ROUND(IF(项目基本情况!B8="出让",SUMPRODUCT(PRODUCT(1+O9:O16)),SUMPRODUCT(PRODUCT(1+O9:O15))),4)</f>
        <v>1.0502</v>
      </c>
      <c r="W9" s="3376">
        <f t="shared" ref="W9:W16" si="15">T9</f>
        <v>1.0145</v>
      </c>
      <c r="X9" s="3360"/>
      <c r="Y9" s="3385">
        <f>IF(D9=0,0,ROUND(AVERAGE(D9:D17)/100,4))</f>
        <v>8.0999999999999996E-3</v>
      </c>
      <c r="Z9" s="3385">
        <f>IF(E9=0,0,ROUND(AVERAGE(E9:E16)/100,4))</f>
        <v>3.3E-3</v>
      </c>
      <c r="AA9" s="3385">
        <f>IF(F9=0,0,ROUND(AVERAGE(F9:F16)/100,4))</f>
        <v>1.5E-3</v>
      </c>
      <c r="AB9" s="3385">
        <f>IF(G9=0,0,ROUND(AVERAGE(G9:G16)/100,4))</f>
        <v>8.8999999999999999E-3</v>
      </c>
      <c r="AC9" s="3385">
        <f>IF(H9=0,0,ROUND(AVERAGE(H9:H16)/100,4))</f>
        <v>6.6E-3</v>
      </c>
      <c r="AD9" s="3385">
        <f t="shared" si="2"/>
        <v>1.5E-3</v>
      </c>
    </row>
    <row r="10" spans="1:30">
      <c r="A10" s="3339" t="s">
        <v>3245</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3246</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2779</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2780</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2781</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2782</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4.25" thickBot="1">
      <c r="A16" s="3341" t="s">
        <v>2783</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3250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2795</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2796</v>
      </c>
      <c r="C21" s="3344"/>
      <c r="D21" s="3344"/>
      <c r="E21" s="3344"/>
      <c r="F21" s="3344"/>
      <c r="G21" s="3344"/>
      <c r="H21" s="3344"/>
      <c r="I21" s="3344"/>
      <c r="J21" s="3345"/>
      <c r="K21" s="3344" t="s">
        <v>2788</v>
      </c>
      <c r="L21" s="3344"/>
      <c r="M21" s="3344"/>
      <c r="N21" s="3344"/>
      <c r="O21" s="3344"/>
      <c r="P21" s="3344"/>
      <c r="Q21" s="3345"/>
      <c r="R21" s="3990" t="s">
        <v>2804</v>
      </c>
      <c r="S21" s="3991"/>
      <c r="T21" s="3991"/>
      <c r="U21" s="3991"/>
      <c r="V21" s="3991"/>
      <c r="W21" s="3991"/>
      <c r="X21" s="3345"/>
      <c r="Y21" s="3990" t="s">
        <v>1924</v>
      </c>
      <c r="Z21" s="3991"/>
      <c r="AA21" s="3991"/>
      <c r="AB21" s="3991"/>
      <c r="AC21" s="3991"/>
      <c r="AD21" s="3991"/>
    </row>
    <row r="22" spans="1:30" ht="14.25" thickBot="1">
      <c r="A22" s="3336"/>
      <c r="B22" s="3346"/>
      <c r="C22" s="3347"/>
      <c r="D22" s="3348" t="s">
        <v>2790</v>
      </c>
      <c r="E22" s="3349" t="s">
        <v>2791</v>
      </c>
      <c r="F22" s="3349" t="s">
        <v>2792</v>
      </c>
      <c r="G22" s="3349" t="s">
        <v>1469</v>
      </c>
      <c r="H22" s="3349"/>
      <c r="I22" s="3349" t="s">
        <v>2735</v>
      </c>
      <c r="J22" s="3350"/>
      <c r="K22" s="3348" t="s">
        <v>2790</v>
      </c>
      <c r="L22" s="3349" t="s">
        <v>2791</v>
      </c>
      <c r="M22" s="3349" t="s">
        <v>2792</v>
      </c>
      <c r="N22" s="3349" t="s">
        <v>2793</v>
      </c>
      <c r="O22" s="3349"/>
      <c r="P22" s="3349" t="s">
        <v>2735</v>
      </c>
      <c r="Q22" s="3350"/>
      <c r="R22" s="3348" t="s">
        <v>2805</v>
      </c>
      <c r="S22" s="3349" t="s">
        <v>2806</v>
      </c>
      <c r="T22" s="3349" t="s">
        <v>2792</v>
      </c>
      <c r="U22" s="3349" t="s">
        <v>1469</v>
      </c>
      <c r="V22" s="3349"/>
      <c r="W22" s="3349" t="s">
        <v>2807</v>
      </c>
      <c r="X22" s="3350"/>
      <c r="Y22" s="3348" t="s">
        <v>2789</v>
      </c>
      <c r="Z22" s="3349" t="s">
        <v>2791</v>
      </c>
      <c r="AA22" s="3349" t="s">
        <v>2792</v>
      </c>
      <c r="AB22" s="3349" t="s">
        <v>1469</v>
      </c>
      <c r="AC22" s="3349"/>
      <c r="AD22" s="3349" t="s">
        <v>2810</v>
      </c>
    </row>
    <row r="23" spans="1:30">
      <c r="A23" s="3337" t="s">
        <v>2784</v>
      </c>
      <c r="B23" s="3351"/>
      <c r="C23" s="3352"/>
      <c r="D23" s="3352"/>
      <c r="E23" s="3352">
        <f>ROUND(AVERAGEIF(E24:E36,"&lt;&gt;0"),2)</f>
        <v>0.42</v>
      </c>
      <c r="F23" s="3352">
        <f>ROUND(AVERAGEIF(F24:F36,"&lt;&gt;0"),2)</f>
        <v>0.32</v>
      </c>
      <c r="G23" s="3352">
        <f>ROUND(AVERAGEIF(G24:G36,"&lt;&gt;0"),2)</f>
        <v>0.75</v>
      </c>
      <c r="H23" s="3352"/>
      <c r="I23" s="3352">
        <f>F23</f>
        <v>0.32</v>
      </c>
      <c r="J23" s="3353"/>
      <c r="K23" s="3354"/>
      <c r="L23" s="3355">
        <f>ROUND(AVERAGEIF(L24:L36,"&lt;&gt;0"),4)</f>
        <v>4.1999999999999997E-3</v>
      </c>
      <c r="M23" s="3355">
        <f>ROUND(AVERAGEIF(M24:M36,"&lt;&gt;0"),4)</f>
        <v>3.2000000000000002E-3</v>
      </c>
      <c r="N23" s="3355">
        <f>ROUND(AVERAGEIF(N24:N36,"&lt;&gt;0"),4)</f>
        <v>7.4999999999999997E-3</v>
      </c>
      <c r="O23" s="3355"/>
      <c r="P23" s="3355">
        <f>M23</f>
        <v>3.2000000000000002E-3</v>
      </c>
      <c r="Q23" s="3353"/>
      <c r="R23" s="3370"/>
      <c r="S23" s="3371">
        <f>ROUND(SUMPRODUCT(PRODUCT(1+L24:L36)),4)</f>
        <v>1.0431999999999999</v>
      </c>
      <c r="T23" s="3371">
        <f>ROUND(SUMPRODUCT(PRODUCT(1+M24:M36)),4)</f>
        <v>1.0319</v>
      </c>
      <c r="U23" s="3371">
        <f>ROUND(SUMPRODUCT(PRODUCT(1+N24:N36)),4)</f>
        <v>1.0771999999999999</v>
      </c>
      <c r="V23" s="3371"/>
      <c r="W23" s="3370">
        <f>T23</f>
        <v>1.0319</v>
      </c>
      <c r="X23" s="3353"/>
      <c r="Y23" s="3378"/>
      <c r="Z23" s="3379">
        <f>ROUND(AVERAGEIF(Z24:Z36,"&lt;&gt;0"),4)</f>
        <v>4.3E-3</v>
      </c>
      <c r="AA23" s="3380">
        <f>ROUND(AVERAGEIF(AA24:AA36,"&lt;&gt;0"),4)</f>
        <v>3.5000000000000001E-3</v>
      </c>
      <c r="AB23" s="3378">
        <f>ROUND(AVERAGEIF(AB24:AB36,"&lt;&gt;0"),4)</f>
        <v>8.6E-3</v>
      </c>
      <c r="AC23" s="3381"/>
      <c r="AD23" s="3378">
        <f>AA23</f>
        <v>3.5000000000000001E-3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3248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1.0396000000000001</v>
      </c>
      <c r="T25" s="3376">
        <f>ROUND(IF(项目基本情况!$B$8="出让",SUMPRODUCT(PRODUCT(1+M25:M$36)),SUMPRODUCT(PRODUCT(1+M25:M$35))),4)</f>
        <v>1.0269999999999999</v>
      </c>
      <c r="U25" s="3376">
        <f>ROUND(IF(项目基本情况!$B$8="出让",SUMPRODUCT(PRODUCT(1+N25:N$36)),SUMPRODUCT(PRODUCT(1+N25:N$35))),4)</f>
        <v>1.0668</v>
      </c>
      <c r="V25" s="3376"/>
      <c r="W25" s="3376">
        <f>T25</f>
        <v>1.0269999999999999</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3249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1.0396000000000001</v>
      </c>
      <c r="T26" s="3376">
        <f>ROUND(IF(项目基本情况!$B$8="出让",SUMPRODUCT(PRODUCT(1+M26:M$36)),SUMPRODUCT(PRODUCT(1+M26:M$35))),4)</f>
        <v>1.0269999999999999</v>
      </c>
      <c r="U26" s="3376">
        <f>ROUND(IF(项目基本情况!$B$8="出让",SUMPRODUCT(PRODUCT(1+N26:N$36)),SUMPRODUCT(PRODUCT(1+N26:N$35))),4)</f>
        <v>1.0668</v>
      </c>
      <c r="V26" s="3376"/>
      <c r="W26" s="3376">
        <f t="shared" ref="W26:W28" si="22">T26</f>
        <v>1.0269999999999999</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40" t="s">
        <v>3256</v>
      </c>
      <c r="B27" s="3401">
        <v>2023</v>
      </c>
      <c r="C27" s="3402">
        <v>2</v>
      </c>
      <c r="D27" s="3402"/>
      <c r="E27" s="3402">
        <v>0.5</v>
      </c>
      <c r="F27" s="3402">
        <v>0.45</v>
      </c>
      <c r="G27" s="3402">
        <v>0.89</v>
      </c>
      <c r="H27" s="3403"/>
      <c r="I27" s="3404">
        <f t="shared" si="16"/>
        <v>0.45</v>
      </c>
      <c r="J27" s="3363"/>
      <c r="K27" s="3364"/>
      <c r="L27" s="3365">
        <f t="shared" si="18"/>
        <v>5.0000000000000001E-3</v>
      </c>
      <c r="M27" s="3365">
        <f t="shared" si="19"/>
        <v>4.5000000000000005E-3</v>
      </c>
      <c r="N27" s="3365">
        <f t="shared" si="20"/>
        <v>8.8999999999999999E-3</v>
      </c>
      <c r="O27" s="3365"/>
      <c r="P27" s="3365">
        <f t="shared" si="21"/>
        <v>4.5000000000000005E-3</v>
      </c>
      <c r="Q27" s="3363"/>
      <c r="R27" s="3363"/>
      <c r="S27" s="3363">
        <f>ROUND(IF(项目基本情况!$B$8="出让",SUMPRODUCT(PRODUCT(1+L27:L$36)),SUMPRODUCT(PRODUCT(1+L27:L$35))),4)</f>
        <v>1.0396000000000001</v>
      </c>
      <c r="T27" s="3363">
        <f>ROUND(IF(项目基本情况!$B$8="出让",SUMPRODUCT(PRODUCT(1+M27:M$36)),SUMPRODUCT(PRODUCT(1+M27:M$35))),4)</f>
        <v>1.0269999999999999</v>
      </c>
      <c r="U27" s="3363">
        <f>ROUND(IF(项目基本情况!$B$8="出让",SUMPRODUCT(PRODUCT(1+N27:N$36)),SUMPRODUCT(PRODUCT(1+N27:N$35))),4)</f>
        <v>1.0668</v>
      </c>
      <c r="V27" s="3363"/>
      <c r="W27" s="3363">
        <f t="shared" si="22"/>
        <v>1.0269999999999999</v>
      </c>
      <c r="X27" s="3363"/>
      <c r="Y27" s="3365"/>
      <c r="Z27" s="3389">
        <f t="shared" ref="Z27:AB27" si="25">IF(E27=0,0,ROUND(AVERAGE(E27:E38)/100,4))</f>
        <v>4.1999999999999997E-3</v>
      </c>
      <c r="AA27" s="3390">
        <f t="shared" si="25"/>
        <v>3.2000000000000002E-3</v>
      </c>
      <c r="AB27" s="3365">
        <f t="shared" si="25"/>
        <v>7.4999999999999997E-3</v>
      </c>
      <c r="AC27" s="3391"/>
      <c r="AD27" s="3365">
        <f t="shared" si="24"/>
        <v>3.2000000000000002E-3</v>
      </c>
    </row>
    <row r="28" spans="1:30">
      <c r="A28" s="3339" t="s">
        <v>3257</v>
      </c>
      <c r="B28" s="3398">
        <v>2023</v>
      </c>
      <c r="C28" s="3399">
        <v>1</v>
      </c>
      <c r="D28" s="3399"/>
      <c r="E28" s="3399">
        <v>0.55000000000000004</v>
      </c>
      <c r="F28" s="3399">
        <v>0.59</v>
      </c>
      <c r="G28" s="3399">
        <v>0.64</v>
      </c>
      <c r="H28" s="3405"/>
      <c r="I28" s="3400">
        <f t="shared" si="16"/>
        <v>0.59</v>
      </c>
      <c r="J28" s="3360"/>
      <c r="K28" s="3361"/>
      <c r="L28" s="3362">
        <f t="shared" si="18"/>
        <v>5.5000000000000005E-3</v>
      </c>
      <c r="M28" s="3362">
        <f t="shared" si="19"/>
        <v>5.8999999999999999E-3</v>
      </c>
      <c r="N28" s="3362">
        <f t="shared" si="20"/>
        <v>6.4000000000000003E-3</v>
      </c>
      <c r="O28" s="3362"/>
      <c r="P28" s="3362">
        <f t="shared" si="21"/>
        <v>5.8999999999999999E-3</v>
      </c>
      <c r="Q28" s="3360"/>
      <c r="R28" s="3376"/>
      <c r="S28" s="3376">
        <f>ROUND(IF(项目基本情况!$B$8="出让",SUMPRODUCT(PRODUCT(1+L28:L$36)),SUMPRODUCT(PRODUCT(1+L28:L$35))),4)</f>
        <v>1.0344</v>
      </c>
      <c r="T28" s="3376">
        <f>ROUND(IF(项目基本情况!$B$8="出让",SUMPRODUCT(PRODUCT(1+M28:M$36)),SUMPRODUCT(PRODUCT(1+M28:M$35))),4)</f>
        <v>1.0224</v>
      </c>
      <c r="U28" s="3376">
        <f>ROUND(IF(项目基本情况!$B$8="出让",SUMPRODUCT(PRODUCT(1+N28:N$36)),SUMPRODUCT(PRODUCT(1+N28:N$35))),4)</f>
        <v>1.0573999999999999</v>
      </c>
      <c r="V28" s="3376"/>
      <c r="W28" s="3376">
        <f t="shared" si="22"/>
        <v>1.0224</v>
      </c>
      <c r="X28" s="3360"/>
      <c r="Y28" s="3385"/>
      <c r="Z28" s="3386">
        <f t="shared" ref="Z28:AB28" si="26">IF(E28=0,0,ROUND(AVERAGE(E28:E39)/100,4))</f>
        <v>4.1999999999999997E-3</v>
      </c>
      <c r="AA28" s="3388">
        <f t="shared" si="26"/>
        <v>3.0000000000000001E-3</v>
      </c>
      <c r="AB28" s="3385">
        <f t="shared" si="26"/>
        <v>7.3000000000000001E-3</v>
      </c>
      <c r="AC28" s="3387"/>
      <c r="AD28" s="3385">
        <f t="shared" si="24"/>
        <v>3.0000000000000001E-3</v>
      </c>
    </row>
    <row r="29" spans="1:30">
      <c r="A29" s="3339" t="s">
        <v>3253</v>
      </c>
      <c r="B29" s="3398">
        <v>2022</v>
      </c>
      <c r="C29" s="3399">
        <v>4</v>
      </c>
      <c r="D29" s="3399"/>
      <c r="E29" s="3399">
        <v>0.45</v>
      </c>
      <c r="F29" s="3399">
        <v>0.2</v>
      </c>
      <c r="G29" s="3399">
        <v>0.38</v>
      </c>
      <c r="H29" s="3405"/>
      <c r="I29" s="3400">
        <f t="shared" si="16"/>
        <v>0.2</v>
      </c>
      <c r="J29" s="3360"/>
      <c r="K29" s="3361"/>
      <c r="L29" s="3362">
        <f t="shared" si="17"/>
        <v>4.5000000000000005E-3</v>
      </c>
      <c r="M29" s="3362">
        <f t="shared" si="17"/>
        <v>2E-3</v>
      </c>
      <c r="N29" s="3362">
        <f t="shared" si="17"/>
        <v>3.8E-3</v>
      </c>
      <c r="O29" s="3362"/>
      <c r="P29" s="3362">
        <f t="shared" ref="P29:P36" si="27">M29</f>
        <v>2E-3</v>
      </c>
      <c r="Q29" s="3360"/>
      <c r="R29" s="3376"/>
      <c r="S29" s="3376">
        <f>ROUND(IF(项目基本情况!$B$8="出让",SUMPRODUCT(PRODUCT(1+L29:L$36)),SUMPRODUCT(PRODUCT(1+L29:L$35))),4)</f>
        <v>1.0286999999999999</v>
      </c>
      <c r="T29" s="3376">
        <f>ROUND(IF(项目基本情况!$B$8="出让",SUMPRODUCT(PRODUCT(1+M29:M$36)),SUMPRODUCT(PRODUCT(1+M29:M$35))),4)</f>
        <v>1.0164</v>
      </c>
      <c r="U29" s="3376">
        <f>ROUND(IF(项目基本情况!$B$8="出让",SUMPRODUCT(PRODUCT(1+N29:N$36)),SUMPRODUCT(PRODUCT(1+N29:N$35))),4)</f>
        <v>1.0506</v>
      </c>
      <c r="V29" s="3376"/>
      <c r="W29" s="3376">
        <f t="shared" ref="W29:W36" si="28">T29</f>
        <v>1.0164</v>
      </c>
      <c r="X29" s="3360"/>
      <c r="Y29" s="3385"/>
      <c r="Z29" s="3386">
        <f t="shared" ref="Z29:AD36" si="29">IF(E29=0,0,ROUND(AVERAGE(E29:E37)/100,4))</f>
        <v>4.0000000000000001E-3</v>
      </c>
      <c r="AA29" s="3388">
        <f t="shared" si="29"/>
        <v>2.5999999999999999E-3</v>
      </c>
      <c r="AB29" s="3385">
        <f t="shared" si="29"/>
        <v>7.4000000000000003E-3</v>
      </c>
      <c r="AC29" s="3387"/>
      <c r="AD29" s="3385">
        <f t="shared" si="29"/>
        <v>2.5999999999999999E-3</v>
      </c>
    </row>
    <row r="30" spans="1:30">
      <c r="A30" s="3339" t="s">
        <v>3247</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3246</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2779</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2780</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2781</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2785</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4.25" thickBot="1">
      <c r="A36" s="3341" t="s">
        <v>2786</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4.25" thickTop="1"/>
    <row r="38" spans="1:30">
      <c r="A38" s="3657"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H27" sqref="H2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2205</v>
      </c>
      <c r="B1" s="2983"/>
      <c r="C1" s="2983"/>
      <c r="D1" s="2983"/>
      <c r="E1" s="2983"/>
      <c r="F1" s="2983"/>
      <c r="G1" s="2984"/>
      <c r="H1" s="2984"/>
      <c r="I1" s="2984"/>
      <c r="J1" s="2984"/>
      <c r="K1" s="2984"/>
      <c r="L1" s="2984"/>
      <c r="M1" s="2984"/>
      <c r="N1" s="2984"/>
    </row>
    <row r="2" spans="1:14" ht="14.25">
      <c r="A2" s="2989" t="s">
        <v>2200</v>
      </c>
      <c r="B2" s="2994" t="e">
        <f ca="1">SUMIF(B7:B14,"&lt;&gt;#ref!",B7:B14)</f>
        <v>#DIV/0!</v>
      </c>
      <c r="C2" s="2989" t="s">
        <v>2201</v>
      </c>
      <c r="D2" s="2986"/>
      <c r="E2" s="2986"/>
      <c r="F2" s="2986"/>
      <c r="G2" s="2984"/>
      <c r="H2" s="2984"/>
      <c r="I2" s="2984"/>
      <c r="J2" s="2984"/>
      <c r="K2" s="2984"/>
      <c r="L2" s="2984"/>
      <c r="M2" s="2984"/>
      <c r="N2" s="2984"/>
    </row>
    <row r="3" spans="1:14" ht="14.25">
      <c r="A3" s="2989" t="s">
        <v>2229</v>
      </c>
      <c r="B3" s="2994" t="e">
        <f ca="1">ROUND(B2*10000/E3,0)</f>
        <v>#DIV/0!</v>
      </c>
      <c r="C3" s="2989" t="s">
        <v>1595</v>
      </c>
      <c r="D3" s="2989" t="s">
        <v>2202</v>
      </c>
      <c r="E3" s="2987">
        <f ca="1">SUMIF(E7:E14,"&lt;&gt;#ref!",E7:E14)</f>
        <v>39917.98000000001</v>
      </c>
      <c r="F3" s="2986"/>
      <c r="G3" s="2984"/>
      <c r="H3" s="2984"/>
      <c r="I3" s="2984"/>
      <c r="J3" s="2984"/>
      <c r="K3" s="2984"/>
      <c r="L3" s="2984"/>
      <c r="M3" s="2984"/>
      <c r="N3" s="2984"/>
    </row>
    <row r="4" spans="1:14" ht="14.25">
      <c r="A4" s="2989" t="s">
        <v>2208</v>
      </c>
      <c r="B4" s="2994" t="e">
        <f ca="1">ROUND(B2*10000/E4,0)</f>
        <v>#DIV/0!</v>
      </c>
      <c r="C4" s="2989" t="s">
        <v>1595</v>
      </c>
      <c r="D4" s="2989" t="s">
        <v>2209</v>
      </c>
      <c r="E4" s="2987">
        <f ca="1">SUMIF(F7:F14,"&lt;&gt;#ref!",F7:F14)</f>
        <v>16124.24</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2206</v>
      </c>
      <c r="B6" s="2989" t="s">
        <v>2203</v>
      </c>
      <c r="C6" s="2542"/>
      <c r="D6" s="2986"/>
      <c r="E6" s="2989" t="s">
        <v>2204</v>
      </c>
      <c r="F6" s="2989" t="s">
        <v>2207</v>
      </c>
      <c r="G6" s="2984"/>
      <c r="H6" s="2984"/>
      <c r="I6" s="2984"/>
      <c r="J6" s="2984"/>
      <c r="K6" s="2984"/>
      <c r="L6" s="2984"/>
      <c r="M6" s="2984"/>
      <c r="N6" s="2984"/>
    </row>
    <row r="7" spans="1:14" ht="14.25">
      <c r="A7" s="2992" t="s">
        <v>3271</v>
      </c>
      <c r="B7" s="2994" t="e">
        <f ca="1">SUMIF(INDIRECT("'"&amp;A7&amp;"'"&amp;"!A:A"),"总价",INDIRECT("'"&amp;A7&amp;"'"&amp;"!B:B"))</f>
        <v>#DIV/0!</v>
      </c>
      <c r="C7" s="2989" t="s">
        <v>2201</v>
      </c>
      <c r="D7" s="2986"/>
      <c r="E7" s="2987">
        <f ca="1">SUMIF(INDIRECT("'"&amp;A7&amp;"'"&amp;"!C:C"),"建筑面积",INDIRECT("'"&amp;A7&amp;"'"&amp;"!D:D"))</f>
        <v>33957.110000000008</v>
      </c>
      <c r="F7" s="2987">
        <f ca="1">SUMIF(INDIRECT("'"&amp;A7&amp;"'"&amp;"!E:E"),"土地面积",INDIRECT("'"&amp;A7&amp;"'"&amp;"!F:F"))</f>
        <v>13752.84</v>
      </c>
      <c r="G7" s="2984"/>
      <c r="H7" s="2984"/>
      <c r="I7" s="2984"/>
      <c r="J7" s="2984"/>
      <c r="K7" s="2984"/>
      <c r="L7" s="2984"/>
      <c r="M7" s="2984"/>
      <c r="N7" s="2984"/>
    </row>
    <row r="8" spans="1:14" ht="14.25">
      <c r="A8" s="2992" t="s">
        <v>3272</v>
      </c>
      <c r="B8" s="2994" t="e">
        <f t="shared" ref="B8:B14" ca="1" si="0">SUMIF(INDIRECT("'"&amp;A8&amp;"'"&amp;"!A:A"),"总价",INDIRECT("'"&amp;A8&amp;"'"&amp;"!B:B"))</f>
        <v>#DIV/0!</v>
      </c>
      <c r="C8" s="2989" t="s">
        <v>2201</v>
      </c>
      <c r="D8" s="2986"/>
      <c r="E8" s="2987">
        <f t="shared" ref="E8:E14" ca="1" si="1">SUMIF(INDIRECT("'"&amp;A8&amp;"'"&amp;"!C:C"),"建筑面积",INDIRECT("'"&amp;A8&amp;"'"&amp;"!D:D"))</f>
        <v>5960.87</v>
      </c>
      <c r="F8" s="2987">
        <f t="shared" ref="F8:F14" ca="1" si="2">SUMIF(INDIRECT("'"&amp;A8&amp;"'"&amp;"!E:E"),"土地面积",INDIRECT("'"&amp;A8&amp;"'"&amp;"!F:F"))</f>
        <v>2371.4</v>
      </c>
      <c r="G8" s="2984"/>
      <c r="H8" s="2984"/>
      <c r="I8" s="2984"/>
      <c r="J8" s="2984"/>
      <c r="K8" s="2984"/>
      <c r="L8" s="2984"/>
      <c r="M8" s="2984"/>
      <c r="N8" s="2984"/>
    </row>
    <row r="9" spans="1:14" ht="14.25">
      <c r="A9" s="2992"/>
      <c r="B9" s="2994" t="e">
        <f t="shared" ca="1" si="0"/>
        <v>#REF!</v>
      </c>
      <c r="C9" s="2989" t="s">
        <v>2201</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2201</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2201</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2201</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2201</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2201</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P28" sqref="P28"/>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1727</v>
      </c>
      <c r="F1" s="2078">
        <f ca="1">J54</f>
        <v>-2</v>
      </c>
      <c r="G1" s="740">
        <f>MATCH(C1,'数据-取费表'!A6:A16,0)+5</f>
        <v>8</v>
      </c>
      <c r="H1" s="1210"/>
      <c r="I1" s="1773"/>
      <c r="J1" s="1773"/>
      <c r="K1" s="1774"/>
      <c r="L1" s="1773"/>
      <c r="M1" s="1773"/>
      <c r="N1" s="1775"/>
      <c r="O1" s="1775"/>
      <c r="P1" s="1775"/>
      <c r="Q1" s="1775"/>
      <c r="R1" s="1775"/>
      <c r="S1" s="1775"/>
      <c r="T1" s="1775"/>
      <c r="U1" s="1775"/>
      <c r="V1" s="1775"/>
      <c r="W1" s="1775"/>
      <c r="X1" s="1775"/>
      <c r="Y1" s="1775"/>
    </row>
    <row r="2" spans="1:25" ht="18" customHeight="1">
      <c r="A2" s="1448" t="s">
        <v>577</v>
      </c>
      <c r="B2" s="741">
        <f ca="1">IF(ISERROR(C45+J31),0,C45+J31)</f>
        <v>0</v>
      </c>
      <c r="C2" s="1211"/>
      <c r="D2" s="1777"/>
      <c r="E2" s="1778"/>
      <c r="F2" s="1778"/>
      <c r="G2" s="1402"/>
      <c r="H2" s="1223"/>
      <c r="I2" s="1779"/>
      <c r="J2" s="1779"/>
      <c r="K2" s="1780"/>
      <c r="L2" s="1779"/>
      <c r="M2" s="1779"/>
    </row>
    <row r="3" spans="1:25" ht="18" customHeight="1">
      <c r="A3" s="1449" t="s">
        <v>1219</v>
      </c>
      <c r="B3" s="1246">
        <f ca="1">ROUND(B2*10000/'数据-汇总表'!E3,0)</f>
        <v>0</v>
      </c>
      <c r="C3" s="1211"/>
      <c r="D3" s="1777"/>
      <c r="E3" s="1778"/>
      <c r="F3" s="1778"/>
      <c r="G3" s="1402"/>
      <c r="H3" s="742" t="s">
        <v>642</v>
      </c>
      <c r="I3" s="1779"/>
      <c r="J3" s="1779"/>
      <c r="K3" s="1780"/>
      <c r="L3" s="1779"/>
      <c r="M3" s="1779"/>
    </row>
    <row r="4" spans="1:25" ht="18" customHeight="1">
      <c r="A4" s="1450" t="s">
        <v>643</v>
      </c>
      <c r="B4" s="1212">
        <f ca="1">ROUND(B2*10000/'数据-汇总表'!D3,0)</f>
        <v>0</v>
      </c>
      <c r="C4" s="415"/>
      <c r="D4" s="1777"/>
      <c r="E4" s="1778"/>
      <c r="F4" s="1778"/>
      <c r="G4" s="1402"/>
      <c r="H4" s="742"/>
      <c r="I4" s="1779"/>
      <c r="J4" s="1779"/>
      <c r="K4" s="1780"/>
      <c r="L4" s="1779"/>
      <c r="M4" s="1779"/>
    </row>
    <row r="5" spans="1:25" ht="18" customHeight="1" thickBot="1">
      <c r="A5" s="1451"/>
      <c r="B5" s="417">
        <f ca="1">ROUND(B2/('数据-汇总表'!D3/666.67),0)</f>
        <v>0</v>
      </c>
      <c r="C5" s="418" t="s">
        <v>644</v>
      </c>
      <c r="D5" s="1777"/>
      <c r="E5" s="1778"/>
      <c r="F5" s="1778"/>
      <c r="G5" s="1402"/>
      <c r="H5" s="742"/>
      <c r="I5" s="1779"/>
      <c r="J5" s="1779"/>
      <c r="K5" s="1780"/>
      <c r="L5" s="1779"/>
      <c r="M5" s="1779"/>
    </row>
    <row r="6" spans="1:25" ht="18" customHeight="1">
      <c r="A6" s="1613" t="s">
        <v>645</v>
      </c>
      <c r="B6" s="1605" t="s">
        <v>646</v>
      </c>
      <c r="C6" s="1605" t="s">
        <v>580</v>
      </c>
      <c r="D6" s="1605" t="s">
        <v>581</v>
      </c>
      <c r="E6" s="745" t="s">
        <v>582</v>
      </c>
      <c r="F6" s="746"/>
      <c r="G6" s="1404"/>
      <c r="H6" s="1613" t="s">
        <v>578</v>
      </c>
      <c r="I6" s="1605" t="s">
        <v>579</v>
      </c>
      <c r="J6" s="1605" t="s">
        <v>580</v>
      </c>
      <c r="K6" s="1605" t="s">
        <v>581</v>
      </c>
      <c r="L6" s="745" t="s">
        <v>582</v>
      </c>
      <c r="M6" s="746"/>
    </row>
    <row r="7" spans="1:25" ht="18" customHeight="1">
      <c r="A7" s="747">
        <v>1</v>
      </c>
      <c r="B7" s="748" t="s">
        <v>1801</v>
      </c>
      <c r="C7" s="51">
        <f ca="1">C8+C12+C14</f>
        <v>0</v>
      </c>
      <c r="D7" s="2141" t="s">
        <v>1804</v>
      </c>
      <c r="E7" s="2135"/>
      <c r="F7" s="2136"/>
      <c r="G7" s="1404"/>
      <c r="H7" s="747">
        <v>1</v>
      </c>
      <c r="I7" s="748" t="s">
        <v>1801</v>
      </c>
      <c r="J7" s="51">
        <f ca="1">J8+J12+J14</f>
        <v>0</v>
      </c>
      <c r="K7" s="2141" t="s">
        <v>1804</v>
      </c>
      <c r="L7" s="2135"/>
      <c r="M7" s="2136"/>
    </row>
    <row r="8" spans="1:25" ht="18" customHeight="1">
      <c r="A8" s="1615" t="s">
        <v>1353</v>
      </c>
      <c r="B8" s="3993" t="s">
        <v>1806</v>
      </c>
      <c r="C8" s="1610">
        <f ca="1">ROUND(F8*F10*F9*(1-F11)/10000,0)</f>
        <v>0</v>
      </c>
      <c r="D8" s="1607" t="s">
        <v>1816</v>
      </c>
      <c r="E8" s="59" t="s">
        <v>585</v>
      </c>
      <c r="F8" s="751">
        <f ca="1">INDIRECT("'数据-取费表'!u"&amp;$G$1)</f>
        <v>0</v>
      </c>
      <c r="G8" s="1404"/>
      <c r="H8" s="2149" t="s">
        <v>1353</v>
      </c>
      <c r="I8" s="3993" t="s">
        <v>1806</v>
      </c>
      <c r="J8" s="749">
        <f ca="1">ROUND(M8*M10*M9*(1-M11)/10000,0)</f>
        <v>0</v>
      </c>
      <c r="K8" s="332" t="s">
        <v>1816</v>
      </c>
      <c r="L8" s="750" t="s">
        <v>1267</v>
      </c>
      <c r="M8" s="751">
        <f ca="1">INDIRECT("'数据-取费表'!z"&amp;$G$1)</f>
        <v>0</v>
      </c>
    </row>
    <row r="9" spans="1:25" ht="18" customHeight="1">
      <c r="A9" s="2145"/>
      <c r="B9" s="3994"/>
      <c r="C9" s="1611"/>
      <c r="D9" s="1608"/>
      <c r="E9" s="59" t="s">
        <v>586</v>
      </c>
      <c r="F9" s="751">
        <f ca="1">IF(INDIRECT("'数据-取费表'!ah"&amp;$G$1)="",INDIRECT("'数据-取费表'!k"&amp;$G$1),INDIRECT("'数据-取费表'!ah"&amp;$G$1))</f>
        <v>0</v>
      </c>
      <c r="G9" s="1404"/>
      <c r="H9" s="2134"/>
      <c r="I9" s="3994"/>
      <c r="J9" s="754"/>
      <c r="K9" s="755"/>
      <c r="L9" s="750" t="s">
        <v>1268</v>
      </c>
      <c r="M9" s="751">
        <f ca="1">F9</f>
        <v>0</v>
      </c>
    </row>
    <row r="10" spans="1:25" ht="18" customHeight="1">
      <c r="A10" s="2138"/>
      <c r="B10" s="3995"/>
      <c r="C10" s="1611"/>
      <c r="D10" s="1608"/>
      <c r="E10" s="59" t="s">
        <v>587</v>
      </c>
      <c r="F10" s="751">
        <f ca="1">INDIRECT("'数据-取费表'!ai"&amp;$G$1)</f>
        <v>0</v>
      </c>
      <c r="G10" s="1404"/>
      <c r="H10" s="2134"/>
      <c r="I10" s="3995"/>
      <c r="J10" s="754"/>
      <c r="K10" s="755"/>
      <c r="L10" s="750" t="s">
        <v>1269</v>
      </c>
      <c r="M10" s="751">
        <f ca="1">INDIRECT("'数据-取费表'!ai"&amp;$G$1)</f>
        <v>0</v>
      </c>
    </row>
    <row r="11" spans="1:25" ht="18" customHeight="1">
      <c r="A11" s="752"/>
      <c r="B11" s="3996"/>
      <c r="C11" s="1611"/>
      <c r="D11" s="1608"/>
      <c r="E11" s="59" t="s">
        <v>588</v>
      </c>
      <c r="F11" s="760">
        <f ca="1">INDIRECT("'数据-取费表'!w"&amp;$G$1)</f>
        <v>0</v>
      </c>
      <c r="G11" s="1404"/>
      <c r="H11" s="2150"/>
      <c r="I11" s="3995"/>
      <c r="J11" s="754"/>
      <c r="K11" s="755"/>
      <c r="L11" s="761" t="s">
        <v>1270</v>
      </c>
      <c r="M11" s="762">
        <f ca="1">INDIRECT("'数据-取费表'!ab"&amp;$G$1)</f>
        <v>0</v>
      </c>
    </row>
    <row r="12" spans="1:25" ht="18" customHeight="1">
      <c r="A12" s="1615" t="s">
        <v>1354</v>
      </c>
      <c r="B12" s="2139" t="s">
        <v>1802</v>
      </c>
      <c r="C12" s="765">
        <f ca="1">ROUND(IF(F12="押一",C8/12*F13,IF(F12="押二",C8/12*2*F13,IF(F12="押三",C8/12*3*F13,C13*F13))),0)</f>
        <v>0</v>
      </c>
      <c r="D12" s="2146" t="s">
        <v>2226</v>
      </c>
      <c r="E12" s="2143" t="s">
        <v>1807</v>
      </c>
      <c r="F12" s="2227"/>
      <c r="G12" s="1404"/>
      <c r="H12" s="2177" t="s">
        <v>1354</v>
      </c>
      <c r="I12" s="2182" t="s">
        <v>1802</v>
      </c>
      <c r="J12" s="749">
        <f ca="1">ROUND(IF(M12="押一",J8/12*M13,IF(M12="押二",J8/12*2*M13,IF(M12="押三",J8/12*3*M13,J13*M13))),0)</f>
        <v>0</v>
      </c>
      <c r="K12" s="2146" t="s">
        <v>2226</v>
      </c>
      <c r="L12" s="2143" t="s">
        <v>1807</v>
      </c>
      <c r="M12" s="2227"/>
    </row>
    <row r="13" spans="1:25" ht="18" customHeight="1">
      <c r="A13" s="756"/>
      <c r="B13" s="2140" t="s">
        <v>1855</v>
      </c>
      <c r="C13" s="2144"/>
      <c r="D13" s="755"/>
      <c r="E13" s="2143" t="s">
        <v>1800</v>
      </c>
      <c r="F13" s="762">
        <f ca="1">'数据-取费表'!B39</f>
        <v>1.4999999999999999E-2</v>
      </c>
      <c r="G13" s="1404"/>
      <c r="H13" s="2178"/>
      <c r="I13" s="2140" t="s">
        <v>1855</v>
      </c>
      <c r="J13" s="2144"/>
      <c r="K13" s="2179"/>
      <c r="L13" s="2143" t="s">
        <v>1800</v>
      </c>
      <c r="M13" s="2137">
        <f ca="1">'数据-取费表'!B39</f>
        <v>1.4999999999999999E-2</v>
      </c>
    </row>
    <row r="14" spans="1:25" ht="18" customHeight="1" thickBot="1">
      <c r="A14" s="2153" t="s">
        <v>1810</v>
      </c>
      <c r="B14" s="2154" t="s">
        <v>1803</v>
      </c>
      <c r="C14" s="2155"/>
      <c r="D14" s="2156"/>
      <c r="E14" s="2157"/>
      <c r="F14" s="2158"/>
      <c r="G14" s="1404"/>
      <c r="H14" s="2167" t="s">
        <v>1810</v>
      </c>
      <c r="I14" s="2180" t="s">
        <v>1803</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4"/>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4"/>
      <c r="H16" s="769" t="s">
        <v>1586</v>
      </c>
      <c r="I16" s="1948" t="s">
        <v>2101</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5"/>
      <c r="H17" s="769" t="s">
        <v>1587</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4"/>
      <c r="H21" s="1615"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5"/>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5"/>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4"/>
      <c r="H24" s="1616" t="s">
        <v>1587</v>
      </c>
      <c r="I24" s="750" t="s">
        <v>623</v>
      </c>
      <c r="J24" s="51">
        <f ca="1">ROUND(J16*M24,0)</f>
        <v>0</v>
      </c>
      <c r="K24" s="1730" t="s">
        <v>624</v>
      </c>
      <c r="L24" s="750" t="s">
        <v>597</v>
      </c>
      <c r="M24" s="782">
        <f ca="1">INDIRECT("'数据-取费表'!Ak"&amp;$G$1)</f>
        <v>0</v>
      </c>
    </row>
    <row r="25" spans="1:25" s="1786" customFormat="1" ht="18" customHeight="1">
      <c r="A25" s="769" t="s">
        <v>1400</v>
      </c>
      <c r="B25" s="750" t="s">
        <v>1783</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6.9999999999999999E-4</v>
      </c>
      <c r="D26" s="2185" t="str">
        <f>IF(F25&lt;=1,"销售费用×利率×(建设周期÷2)","销售费用×((1+利率)^(建设周期÷2)-1)")</f>
        <v>销售费用×((1+利率)^(建设周期÷2)-1)</v>
      </c>
      <c r="E26" s="750" t="s">
        <v>629</v>
      </c>
      <c r="F26" s="784">
        <f ca="1">'数据-取费表'!B40</f>
        <v>3.4500000000000003E-2</v>
      </c>
      <c r="G26" s="1405"/>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4"/>
      <c r="H27" s="763" t="s">
        <v>1357</v>
      </c>
      <c r="I27" s="2483" t="s">
        <v>2098</v>
      </c>
      <c r="J27" s="765">
        <f ca="1">J7-J18</f>
        <v>0</v>
      </c>
      <c r="K27" s="1732" t="s">
        <v>647</v>
      </c>
      <c r="L27" s="1734"/>
      <c r="M27" s="785"/>
    </row>
    <row r="28" spans="1:25" ht="18" customHeight="1">
      <c r="A28" s="769" t="s">
        <v>1400</v>
      </c>
      <c r="B28" s="750" t="s">
        <v>1784</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2099</v>
      </c>
      <c r="C31" s="2160">
        <f ca="1">ROUND((C21+C22+C25+C28)/(1-F23-C26-C29-C30),0)</f>
        <v>0</v>
      </c>
      <c r="D31" s="2161"/>
      <c r="E31" s="2162"/>
      <c r="F31" s="2163"/>
      <c r="G31" s="1405"/>
      <c r="H31" s="788" t="s">
        <v>1397</v>
      </c>
      <c r="I31" s="2484" t="s">
        <v>2100</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5" t="s">
        <v>2277</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92"/>
      <c r="J36" s="1801"/>
      <c r="K36" s="1802"/>
      <c r="L36" s="1801"/>
      <c r="M36" s="1801"/>
    </row>
    <row r="37" spans="1:18" ht="18" customHeight="1">
      <c r="A37" s="780"/>
      <c r="B37" s="759"/>
      <c r="C37" s="67"/>
      <c r="D37" s="781"/>
      <c r="E37" s="750" t="s">
        <v>621</v>
      </c>
      <c r="F37" s="751">
        <f ca="1">INDIRECT("'数据-取费表'!r"&amp;$G$1)</f>
        <v>0</v>
      </c>
      <c r="G37" s="1784"/>
      <c r="H37" s="1787"/>
      <c r="I37" s="3992"/>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2"/>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3"/>
      <c r="D41" s="1214"/>
      <c r="E41" s="1214"/>
      <c r="F41" s="1215"/>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6" t="s">
        <v>659</v>
      </c>
      <c r="E43" s="2547" t="s">
        <v>2216</v>
      </c>
      <c r="F43" s="2548">
        <f ca="1">INDIRECT("'数据-取费表'!j"&amp;$G$1)</f>
        <v>0</v>
      </c>
      <c r="G43" s="1784"/>
      <c r="H43" s="1784"/>
      <c r="I43" s="1784"/>
      <c r="J43" s="1784"/>
      <c r="K43" s="1804"/>
      <c r="L43" s="1784"/>
      <c r="M43" s="1784"/>
    </row>
    <row r="44" spans="1:18" ht="18" customHeight="1">
      <c r="A44" s="769" t="s">
        <v>1403</v>
      </c>
      <c r="B44" s="800" t="s">
        <v>660</v>
      </c>
      <c r="C44" s="1217">
        <f ca="1">C42-C43</f>
        <v>0</v>
      </c>
      <c r="D44" s="449" t="s">
        <v>661</v>
      </c>
      <c r="E44" s="450"/>
      <c r="F44" s="451"/>
      <c r="G44" s="1784"/>
      <c r="H44" s="1784"/>
      <c r="I44" s="1784"/>
      <c r="J44" s="1784"/>
      <c r="K44" s="1804"/>
      <c r="L44" s="1784"/>
      <c r="M44" s="1784"/>
    </row>
    <row r="45" spans="1:18" ht="18" customHeight="1">
      <c r="A45" s="769" t="s">
        <v>1404</v>
      </c>
      <c r="B45" s="1216" t="s">
        <v>662</v>
      </c>
      <c r="C45" s="2506">
        <f ca="1">ROUND(-PV(F45,F46,C44,0),0)</f>
        <v>0</v>
      </c>
      <c r="D45" s="1218" t="s">
        <v>663</v>
      </c>
      <c r="E45" s="772" t="s">
        <v>664</v>
      </c>
      <c r="F45" s="795">
        <f ca="1">INDIRECT("'数据-取费表'!h"&amp;$G$1)</f>
        <v>0</v>
      </c>
      <c r="G45" s="1784"/>
      <c r="H45" s="1784"/>
      <c r="I45" s="1784"/>
      <c r="J45" s="1784"/>
      <c r="K45" s="1804"/>
      <c r="L45" s="1784"/>
      <c r="M45" s="1784"/>
    </row>
    <row r="46" spans="1:18" ht="18" customHeight="1" thickBot="1">
      <c r="A46" s="796"/>
      <c r="B46" s="1219"/>
      <c r="C46" s="1220"/>
      <c r="D46" s="1221"/>
      <c r="E46" s="2549" t="s">
        <v>2219</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1696</v>
      </c>
      <c r="J47" s="2069"/>
      <c r="K47" s="2070"/>
      <c r="L47" s="2563" t="e">
        <f ca="1">IF(M48="住宅",0,IF(L49&gt;J52,L61,J61))</f>
        <v>#DIV/0!</v>
      </c>
      <c r="O47" s="2084" t="s">
        <v>1763</v>
      </c>
      <c r="P47" s="1404"/>
      <c r="Q47" s="1412"/>
      <c r="R47" s="1404"/>
    </row>
    <row r="48" spans="1:18" s="1781" customFormat="1" ht="18" customHeight="1" thickBot="1">
      <c r="A48" s="1805"/>
      <c r="C48" s="1808"/>
      <c r="D48" s="1809"/>
      <c r="E48" s="1809"/>
      <c r="F48" s="1810"/>
      <c r="G48" s="1811"/>
      <c r="I48" s="2554" t="s">
        <v>1697</v>
      </c>
      <c r="J48" s="2071"/>
      <c r="K48" s="2560" t="s">
        <v>1702</v>
      </c>
      <c r="L48" s="2564">
        <f ca="1">INDIRECT("'数据-取费表'!d"&amp;$G$1)</f>
        <v>0</v>
      </c>
      <c r="M48" s="2546" t="str">
        <f>IF(ISNUMBER(FIND("住宅",C1)),"住宅","非住宅")</f>
        <v>非住宅</v>
      </c>
      <c r="O48" s="2085" t="s">
        <v>1728</v>
      </c>
      <c r="P48" s="2086" t="s">
        <v>1729</v>
      </c>
      <c r="Q48" s="2087" t="s">
        <v>1730</v>
      </c>
      <c r="R48" s="2086" t="s">
        <v>1731</v>
      </c>
    </row>
    <row r="49" spans="1:18" s="1781" customFormat="1" ht="18" customHeight="1" thickBot="1">
      <c r="A49" s="1805"/>
      <c r="D49" s="1812"/>
      <c r="E49" s="1813"/>
      <c r="F49" s="1810"/>
      <c r="G49" s="1811"/>
      <c r="H49" s="1814"/>
      <c r="I49" s="2551" t="s">
        <v>1698</v>
      </c>
      <c r="J49" s="2072"/>
      <c r="K49" s="2561" t="s">
        <v>1704</v>
      </c>
      <c r="L49" s="1662">
        <f ca="1">INDIRECT("'数据-取费表'!f"&amp;$G$1)</f>
        <v>0</v>
      </c>
      <c r="O49" s="2088" t="s">
        <v>1732</v>
      </c>
      <c r="P49" s="2089" t="s">
        <v>1758</v>
      </c>
      <c r="Q49" s="2090">
        <f ca="1">C41+J31</f>
        <v>0</v>
      </c>
      <c r="R49" s="2089" t="s">
        <v>1733</v>
      </c>
    </row>
    <row r="50" spans="1:18" s="1781" customFormat="1" ht="18" customHeight="1" thickBot="1">
      <c r="A50" s="1805"/>
      <c r="D50" s="1815"/>
      <c r="E50" s="1815"/>
      <c r="F50" s="1809"/>
      <c r="G50" s="1816"/>
      <c r="H50" s="1814"/>
      <c r="I50" s="2551" t="s">
        <v>1699</v>
      </c>
      <c r="J50" s="2073"/>
      <c r="K50" s="2562" t="s">
        <v>1705</v>
      </c>
      <c r="L50" s="2074"/>
      <c r="O50" s="2088" t="s">
        <v>1734</v>
      </c>
      <c r="P50" s="2089" t="s">
        <v>1759</v>
      </c>
      <c r="Q50" s="2090" t="e">
        <f ca="1">J61</f>
        <v>#DIV/0!</v>
      </c>
      <c r="R50" s="2089" t="s">
        <v>1735</v>
      </c>
    </row>
    <row r="51" spans="1:18" s="1781" customFormat="1" ht="18" customHeight="1" thickBot="1">
      <c r="A51" s="1817"/>
      <c r="D51" s="1815"/>
      <c r="E51" s="1815"/>
      <c r="F51" s="1806"/>
      <c r="H51" s="1814"/>
      <c r="I51" s="2551" t="s">
        <v>1700</v>
      </c>
      <c r="J51" s="2558">
        <f>SUMPRODUCT((I64:I66=J48)*(J63:L63=J49)*(J64:L66))</f>
        <v>0</v>
      </c>
      <c r="K51" s="2562" t="s">
        <v>1706</v>
      </c>
      <c r="L51" s="2074"/>
      <c r="O51" s="2091" t="s">
        <v>1736</v>
      </c>
      <c r="P51" s="2089" t="s">
        <v>1760</v>
      </c>
      <c r="Q51" s="2090">
        <f ca="1">C31</f>
        <v>0</v>
      </c>
      <c r="R51" s="2089" t="s">
        <v>1733</v>
      </c>
    </row>
    <row r="52" spans="1:18" s="1781" customFormat="1" ht="18" customHeight="1" thickBot="1">
      <c r="A52" s="1817"/>
      <c r="F52" s="1806"/>
      <c r="I52" s="2555" t="s">
        <v>1701</v>
      </c>
      <c r="J52" s="2559">
        <f>IF(J50="",J51,J50+J51-YEAR('数据-取费表'!B3))</f>
        <v>0</v>
      </c>
      <c r="K52" s="2551" t="s">
        <v>1707</v>
      </c>
      <c r="L52" s="2565">
        <f ca="1">C45</f>
        <v>0</v>
      </c>
      <c r="O52" s="2091" t="s">
        <v>1737</v>
      </c>
      <c r="P52" s="2089" t="s">
        <v>1738</v>
      </c>
      <c r="Q52" s="2092" t="e">
        <f ca="1">J59</f>
        <v>#DIV/0!</v>
      </c>
      <c r="R52" s="2093"/>
    </row>
    <row r="53" spans="1:18" s="1781" customFormat="1" ht="18" customHeight="1" thickBot="1">
      <c r="A53" s="1817"/>
      <c r="F53" s="1806"/>
      <c r="I53" s="2556" t="s">
        <v>1774</v>
      </c>
      <c r="J53" s="2075"/>
      <c r="K53" s="2556" t="s">
        <v>1773</v>
      </c>
      <c r="L53" s="2075"/>
      <c r="O53" s="2091" t="s">
        <v>1739</v>
      </c>
      <c r="P53" s="2089" t="s">
        <v>1740</v>
      </c>
      <c r="Q53" s="2092">
        <f>J53</f>
        <v>0</v>
      </c>
      <c r="R53" s="2093"/>
    </row>
    <row r="54" spans="1:18" s="1781" customFormat="1" ht="29.25" thickBot="1">
      <c r="A54" s="1817"/>
      <c r="I54" s="2557" t="s">
        <v>2230</v>
      </c>
      <c r="J54" s="2608">
        <f ca="1">IF(M48="住宅",MAX(J52,L49-'数据-取费表'!B20),MIN(J52,L49-'数据-取费表'!B20))</f>
        <v>-2</v>
      </c>
      <c r="K54" s="3997"/>
      <c r="L54" s="3998"/>
      <c r="O54" s="2091" t="s">
        <v>1741</v>
      </c>
      <c r="P54" s="2089" t="s">
        <v>1742</v>
      </c>
      <c r="Q54" s="2090">
        <f ca="1">J54</f>
        <v>-2</v>
      </c>
      <c r="R54" s="2089" t="s">
        <v>1743</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1744</v>
      </c>
      <c r="P55" s="2089" t="s">
        <v>1761</v>
      </c>
      <c r="Q55" s="2090" t="e">
        <f ca="1">Q49+Q50</f>
        <v>#DIV/0!</v>
      </c>
      <c r="R55" s="2093" t="s">
        <v>1745</v>
      </c>
    </row>
    <row r="56" spans="1:18" s="1781" customFormat="1" ht="16.5" thickBot="1">
      <c r="A56" s="1817"/>
      <c r="B56" s="1818"/>
      <c r="C56" s="1818"/>
      <c r="I56" s="2568" t="s">
        <v>1708</v>
      </c>
      <c r="J56" s="2540" t="e">
        <f ca="1">ROUND(IF(J48="钢混",J58/J51,1-(1-2%)*(J51-J58)/J51),3)</f>
        <v>#DIV/0!</v>
      </c>
      <c r="K56" s="2569" t="s">
        <v>1709</v>
      </c>
      <c r="L56" s="2076"/>
      <c r="O56" s="2094" t="s">
        <v>1764</v>
      </c>
      <c r="P56" s="1404"/>
      <c r="Q56" s="1412"/>
      <c r="R56" s="1404"/>
    </row>
    <row r="57" spans="1:18" s="1781" customFormat="1" ht="43.5" thickBot="1">
      <c r="A57" s="1817"/>
      <c r="B57" s="1818"/>
      <c r="C57" s="1818"/>
      <c r="I57" s="2570" t="s">
        <v>1710</v>
      </c>
      <c r="J57" s="2580"/>
      <c r="K57" s="2551" t="s">
        <v>1715</v>
      </c>
      <c r="L57" s="1662">
        <f ca="1">IF(L49&lt;J52,"——",L49-J52)</f>
        <v>0</v>
      </c>
      <c r="O57" s="2085" t="s">
        <v>1728</v>
      </c>
      <c r="P57" s="2086" t="s">
        <v>1729</v>
      </c>
      <c r="Q57" s="2087" t="s">
        <v>1730</v>
      </c>
      <c r="R57" s="2086" t="s">
        <v>1731</v>
      </c>
    </row>
    <row r="58" spans="1:18" s="1781" customFormat="1" ht="29.25" thickBot="1">
      <c r="A58" s="1817"/>
      <c r="B58" s="1818"/>
      <c r="C58" s="1818"/>
      <c r="I58" s="2571" t="s">
        <v>1711</v>
      </c>
      <c r="J58" s="2572">
        <f ca="1">IF(OR(M48="住宅",J52&lt;L49,J57="是"),"——",J52-L49)</f>
        <v>0</v>
      </c>
      <c r="K58" s="2551" t="s">
        <v>1716</v>
      </c>
      <c r="L58" s="1662">
        <f ca="1">IF(L49&lt;J52,"——",IF(L56="比较法",L50,IF(L56="基准地价",L51,L52)))</f>
        <v>0</v>
      </c>
      <c r="O58" s="2088" t="s">
        <v>1732</v>
      </c>
      <c r="P58" s="2089" t="s">
        <v>1758</v>
      </c>
      <c r="Q58" s="2090">
        <f ca="1">C41+J31</f>
        <v>0</v>
      </c>
      <c r="R58" s="2089" t="s">
        <v>1733</v>
      </c>
    </row>
    <row r="59" spans="1:18" s="1781" customFormat="1" ht="29.25" thickBot="1">
      <c r="A59" s="1817"/>
      <c r="B59" s="1818"/>
      <c r="C59" s="1818"/>
      <c r="I59" s="2571" t="s">
        <v>1712</v>
      </c>
      <c r="J59" s="2541" t="e">
        <f ca="1">IF(J56&lt;0.4,0.4,J56)</f>
        <v>#DIV/0!</v>
      </c>
      <c r="K59" s="2551" t="s">
        <v>1717</v>
      </c>
      <c r="L59" s="1662">
        <f ca="1">IF(ISERROR(POWER(1+L53,L48-L49)*(POWER(1+L53,L49)-1)/(POWER(1+L53,L48)-1)),0,POWER(1+L53,L48-L49)*(POWER(1+L53,L49)-1)/(POWER(1+L53,L48)-1))</f>
        <v>0</v>
      </c>
      <c r="O59" s="2088" t="s">
        <v>1734</v>
      </c>
      <c r="P59" s="2089" t="s">
        <v>1765</v>
      </c>
      <c r="Q59" s="2090" t="e">
        <f ca="1">L61</f>
        <v>#DIV/0!</v>
      </c>
      <c r="R59" s="2093" t="s">
        <v>1767</v>
      </c>
    </row>
    <row r="60" spans="1:18" s="1781" customFormat="1" ht="29.25" thickBot="1">
      <c r="A60" s="1817"/>
      <c r="B60" s="1818"/>
      <c r="C60" s="1818"/>
      <c r="I60" s="2571" t="s">
        <v>1713</v>
      </c>
      <c r="J60" s="2572" t="e">
        <f ca="1">IF(OR(M48="住宅",J52&lt;L49,J57="是"),"——",ROUND(C30*J59,0))</f>
        <v>#DIV/0!</v>
      </c>
      <c r="K60" s="2551" t="s">
        <v>1718</v>
      </c>
      <c r="L60" s="1662">
        <f ca="1">IF(ISERROR(POWER(1+L53,L48-J52)*(POWER(1+L53,J52)-1)/(POWER(1+L53,L48)-1)),0,POWER(1+L53,L48-J52)*(POWER(1+L53,J52)-1)/(POWER(1+L53,L48)-1))</f>
        <v>0</v>
      </c>
      <c r="O60" s="2091" t="s">
        <v>1736</v>
      </c>
      <c r="P60" s="2089" t="s">
        <v>1766</v>
      </c>
      <c r="Q60" s="2090">
        <f>IF(L56="比较法",L50,IF(L56="基准地价",L51,0))</f>
        <v>0</v>
      </c>
      <c r="R60" s="2089" t="s">
        <v>1733</v>
      </c>
    </row>
    <row r="61" spans="1:18" s="1781" customFormat="1" ht="15.75" thickBot="1">
      <c r="A61" s="1817"/>
      <c r="B61" s="1818"/>
      <c r="C61" s="1818"/>
      <c r="I61" s="2573" t="s">
        <v>1714</v>
      </c>
      <c r="J61" s="2574" t="e">
        <f ca="1">IF(OR(M48="住宅",J52&lt;L49,J57="是"),"0",ROUND(J60/(1+J53)^J54,0))</f>
        <v>#DIV/0!</v>
      </c>
      <c r="K61" s="2575" t="s">
        <v>1719</v>
      </c>
      <c r="L61" s="2574" t="e">
        <f ca="1">IF(OR(M48="住宅",L49&lt;J52),0,ROUND(L58*(L59/L60-1),0))</f>
        <v>#DIV/0!</v>
      </c>
      <c r="O61" s="2091" t="s">
        <v>1737</v>
      </c>
      <c r="P61" s="2089" t="s">
        <v>1746</v>
      </c>
      <c r="Q61" s="2092">
        <f>L53</f>
        <v>0</v>
      </c>
      <c r="R61" s="2093"/>
    </row>
    <row r="62" spans="1:18" s="1781" customFormat="1" ht="20.25" thickBot="1">
      <c r="A62" s="1817"/>
      <c r="B62" s="1818"/>
      <c r="C62" s="1818"/>
      <c r="K62" s="1807"/>
      <c r="O62" s="2091" t="s">
        <v>1739</v>
      </c>
      <c r="P62" s="2089" t="s">
        <v>1747</v>
      </c>
      <c r="Q62" s="2090">
        <f ca="1">L59</f>
        <v>0</v>
      </c>
      <c r="R62" s="2093" t="s">
        <v>1748</v>
      </c>
    </row>
    <row r="63" spans="1:18" s="1781" customFormat="1" ht="20.25" thickBot="1">
      <c r="A63" s="1817"/>
      <c r="B63" s="1818"/>
      <c r="C63" s="1818"/>
      <c r="I63" s="2576" t="s">
        <v>1720</v>
      </c>
      <c r="J63" s="2577" t="s">
        <v>1721</v>
      </c>
      <c r="K63" s="2577" t="s">
        <v>1722</v>
      </c>
      <c r="L63" s="2577" t="s">
        <v>1703</v>
      </c>
      <c r="M63" s="2578" t="s">
        <v>2199</v>
      </c>
      <c r="O63" s="2091" t="s">
        <v>1741</v>
      </c>
      <c r="P63" s="2089" t="s">
        <v>1749</v>
      </c>
      <c r="Q63" s="2090">
        <f ca="1">L60</f>
        <v>0</v>
      </c>
      <c r="R63" s="2093" t="s">
        <v>1750</v>
      </c>
    </row>
    <row r="64" spans="1:18" s="1781" customFormat="1" ht="15.75" thickBot="1">
      <c r="A64" s="1817"/>
      <c r="B64" s="1818"/>
      <c r="C64" s="1818"/>
      <c r="I64" s="2576" t="s">
        <v>1723</v>
      </c>
      <c r="J64" s="2577">
        <v>70</v>
      </c>
      <c r="K64" s="2577">
        <v>50</v>
      </c>
      <c r="L64" s="2577">
        <v>80</v>
      </c>
      <c r="M64" s="2579">
        <v>0.02</v>
      </c>
      <c r="O64" s="2088" t="s">
        <v>1744</v>
      </c>
      <c r="P64" s="2089" t="s">
        <v>1761</v>
      </c>
      <c r="Q64" s="2090" t="e">
        <f ca="1">Q58+Q59</f>
        <v>#DIV/0!</v>
      </c>
      <c r="R64" s="2093" t="s">
        <v>1745</v>
      </c>
    </row>
    <row r="65" spans="1:18" s="1781" customFormat="1" ht="16.5" thickBot="1">
      <c r="A65" s="1817"/>
      <c r="B65" s="1818"/>
      <c r="C65" s="1818"/>
      <c r="I65" s="2576" t="s">
        <v>1724</v>
      </c>
      <c r="J65" s="2577">
        <v>50</v>
      </c>
      <c r="K65" s="2577">
        <v>35</v>
      </c>
      <c r="L65" s="2577">
        <v>60</v>
      </c>
      <c r="M65" s="811">
        <v>0</v>
      </c>
      <c r="O65" s="2094" t="s">
        <v>1768</v>
      </c>
      <c r="P65" s="1404"/>
      <c r="Q65" s="1412"/>
      <c r="R65" s="1404"/>
    </row>
    <row r="66" spans="1:18" s="1781" customFormat="1" ht="15.75" thickBot="1">
      <c r="A66" s="1817"/>
      <c r="B66" s="1818"/>
      <c r="C66" s="1818"/>
      <c r="I66" s="2576" t="s">
        <v>1725</v>
      </c>
      <c r="J66" s="2577">
        <v>40</v>
      </c>
      <c r="K66" s="2577">
        <v>30</v>
      </c>
      <c r="L66" s="2577">
        <v>50</v>
      </c>
      <c r="M66" s="2579">
        <v>0.02</v>
      </c>
      <c r="O66" s="2085" t="s">
        <v>1728</v>
      </c>
      <c r="P66" s="2086" t="s">
        <v>1729</v>
      </c>
      <c r="Q66" s="2087" t="s">
        <v>1730</v>
      </c>
      <c r="R66" s="2086" t="s">
        <v>1731</v>
      </c>
    </row>
    <row r="67" spans="1:18" s="1781" customFormat="1" ht="15.75" thickBot="1">
      <c r="A67" s="1817"/>
      <c r="B67" s="1818"/>
      <c r="C67" s="1818"/>
      <c r="K67" s="1807"/>
      <c r="O67" s="2088" t="s">
        <v>1732</v>
      </c>
      <c r="P67" s="2089" t="s">
        <v>1758</v>
      </c>
      <c r="Q67" s="2090">
        <f ca="1">C41+J31</f>
        <v>0</v>
      </c>
      <c r="R67" s="2089" t="s">
        <v>1733</v>
      </c>
    </row>
    <row r="68" spans="1:18" s="1781" customFormat="1" ht="20.25" thickBot="1">
      <c r="A68" s="1817"/>
      <c r="B68" s="1818"/>
      <c r="C68" s="1818"/>
      <c r="K68" s="1807"/>
      <c r="O68" s="2088" t="s">
        <v>1734</v>
      </c>
      <c r="P68" s="2089" t="s">
        <v>1765</v>
      </c>
      <c r="Q68" s="2090" t="e">
        <f ca="1">L61</f>
        <v>#DIV/0!</v>
      </c>
      <c r="R68" s="2093" t="s">
        <v>1767</v>
      </c>
    </row>
    <row r="69" spans="1:18" s="1781" customFormat="1" ht="21.75" thickBot="1">
      <c r="A69" s="1817"/>
      <c r="B69" s="1818"/>
      <c r="C69" s="1818"/>
      <c r="K69" s="1807"/>
      <c r="O69" s="2091" t="s">
        <v>1736</v>
      </c>
      <c r="P69" s="2089" t="s">
        <v>1766</v>
      </c>
      <c r="Q69" s="2095">
        <f ca="1">L52</f>
        <v>0</v>
      </c>
      <c r="R69" s="2096" t="s">
        <v>1769</v>
      </c>
    </row>
    <row r="70" spans="1:18" s="1781" customFormat="1" ht="20.25" thickBot="1">
      <c r="A70" s="1817"/>
      <c r="B70" s="1818"/>
      <c r="C70" s="1818"/>
      <c r="K70" s="1807"/>
      <c r="O70" s="2091" t="s">
        <v>1737</v>
      </c>
      <c r="P70" s="2097" t="s">
        <v>1751</v>
      </c>
      <c r="Q70" s="2090">
        <f ca="1">ROUND(Q71-Q72*Q73,0)</f>
        <v>0</v>
      </c>
      <c r="R70" s="2093"/>
    </row>
    <row r="71" spans="1:18" s="1781" customFormat="1" ht="15.75" thickBot="1">
      <c r="A71" s="1817"/>
      <c r="B71" s="1818"/>
      <c r="C71" s="1818"/>
      <c r="K71" s="1807"/>
      <c r="O71" s="2091" t="s">
        <v>1752</v>
      </c>
      <c r="P71" s="2097" t="s">
        <v>1753</v>
      </c>
      <c r="Q71" s="2090">
        <f ca="1">C42</f>
        <v>0</v>
      </c>
      <c r="R71" s="2089" t="s">
        <v>1733</v>
      </c>
    </row>
    <row r="72" spans="1:18" s="1781" customFormat="1" ht="15.75" thickBot="1">
      <c r="A72" s="1817"/>
      <c r="B72" s="1818"/>
      <c r="C72" s="1818"/>
      <c r="K72" s="1807"/>
      <c r="O72" s="2091" t="s">
        <v>1754</v>
      </c>
      <c r="P72" s="2097" t="s">
        <v>1755</v>
      </c>
      <c r="Q72" s="2090">
        <f ca="1">C15</f>
        <v>0</v>
      </c>
      <c r="R72" s="2089" t="s">
        <v>1733</v>
      </c>
    </row>
    <row r="73" spans="1:18" s="1781" customFormat="1" ht="15.75" thickBot="1">
      <c r="A73" s="1817"/>
      <c r="B73" s="1818"/>
      <c r="C73" s="1818"/>
      <c r="K73" s="1807"/>
      <c r="O73" s="2091" t="s">
        <v>1756</v>
      </c>
      <c r="P73" s="2097" t="s">
        <v>1757</v>
      </c>
      <c r="Q73" s="2092">
        <f ca="1">F43</f>
        <v>0</v>
      </c>
      <c r="R73" s="2093"/>
    </row>
    <row r="74" spans="1:18" s="1781" customFormat="1" ht="15.75" thickBot="1">
      <c r="A74" s="1817"/>
      <c r="B74" s="1818"/>
      <c r="C74" s="1818"/>
      <c r="K74" s="1807"/>
      <c r="O74" s="2091" t="s">
        <v>1739</v>
      </c>
      <c r="P74" s="2089" t="s">
        <v>1746</v>
      </c>
      <c r="Q74" s="2092">
        <f>L53</f>
        <v>0</v>
      </c>
      <c r="R74" s="2093"/>
    </row>
    <row r="75" spans="1:18" s="1781" customFormat="1" ht="20.25" thickBot="1">
      <c r="A75" s="1817"/>
      <c r="B75" s="1818"/>
      <c r="C75" s="1818"/>
      <c r="K75" s="1807"/>
      <c r="O75" s="2091" t="s">
        <v>1741</v>
      </c>
      <c r="P75" s="2089" t="s">
        <v>1747</v>
      </c>
      <c r="Q75" s="2090">
        <f ca="1">L59</f>
        <v>0</v>
      </c>
      <c r="R75" s="2093" t="s">
        <v>1748</v>
      </c>
    </row>
    <row r="76" spans="1:18" s="1781" customFormat="1" ht="20.25" thickBot="1">
      <c r="A76" s="1817"/>
      <c r="B76" s="1818"/>
      <c r="C76" s="1818"/>
      <c r="K76" s="1807"/>
      <c r="O76" s="2091" t="s">
        <v>1770</v>
      </c>
      <c r="P76" s="2089" t="s">
        <v>1749</v>
      </c>
      <c r="Q76" s="2090">
        <f ca="1">L60</f>
        <v>0</v>
      </c>
      <c r="R76" s="2093" t="s">
        <v>1750</v>
      </c>
    </row>
    <row r="77" spans="1:18" s="1781" customFormat="1" ht="15.75" thickBot="1">
      <c r="A77" s="1817"/>
      <c r="B77" s="1818"/>
      <c r="C77" s="1818"/>
      <c r="K77" s="1807"/>
      <c r="O77" s="2088" t="s">
        <v>1744</v>
      </c>
      <c r="P77" s="2089" t="s">
        <v>1761</v>
      </c>
      <c r="Q77" s="2090" t="e">
        <f ca="1">Q67+Q68</f>
        <v>#DIV/0!</v>
      </c>
      <c r="R77" s="2093" t="s">
        <v>1745</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G76"/>
  <sheetViews>
    <sheetView view="pageBreakPreview" zoomScale="85" zoomScaleNormal="60" zoomScaleSheetLayoutView="85" workbookViewId="0">
      <selection activeCell="K39" sqref="K39"/>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3597</v>
      </c>
      <c r="D1" s="2550" t="s">
        <v>3296</v>
      </c>
      <c r="E1" s="2077" t="s">
        <v>808</v>
      </c>
      <c r="F1" s="2078">
        <f ca="1">J53</f>
        <v>47.2</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37691</v>
      </c>
      <c r="C2" s="3001"/>
      <c r="D2" s="3002"/>
      <c r="E2" s="3003"/>
      <c r="F2" s="3003"/>
      <c r="G2" s="2997"/>
      <c r="H2" s="1779"/>
      <c r="I2" s="1779"/>
      <c r="J2" s="1779"/>
      <c r="K2" s="1780"/>
      <c r="L2" s="1779"/>
      <c r="M2" s="1779"/>
    </row>
    <row r="3" spans="1:33" ht="18" customHeight="1" thickBot="1">
      <c r="A3" s="798" t="s">
        <v>468</v>
      </c>
      <c r="B3" s="799">
        <f ca="1">IF(ISERROR(B2*10000/F43),0,ROUND(B2*10000/F43,0))</f>
        <v>10903</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3066</v>
      </c>
      <c r="D5" s="2141" t="s">
        <v>1804</v>
      </c>
      <c r="E5" s="2135"/>
      <c r="F5" s="2136"/>
      <c r="G5" s="1784"/>
      <c r="H5" s="747">
        <v>1</v>
      </c>
      <c r="I5" s="748" t="s">
        <v>1801</v>
      </c>
      <c r="J5" s="53">
        <f ca="1">J6+J10+J12</f>
        <v>0</v>
      </c>
      <c r="K5" s="2141" t="s">
        <v>1804</v>
      </c>
      <c r="L5" s="2135"/>
      <c r="M5" s="2136"/>
    </row>
    <row r="6" spans="1:33" ht="18" customHeight="1">
      <c r="A6" s="1615" t="s">
        <v>1353</v>
      </c>
      <c r="B6" s="3993" t="s">
        <v>1806</v>
      </c>
      <c r="C6" s="749">
        <f ca="1">ROUND(F6*F8*F7*(1-F9)/10000,0)</f>
        <v>3066</v>
      </c>
      <c r="D6" s="2142" t="s">
        <v>1805</v>
      </c>
      <c r="E6" s="750" t="s">
        <v>585</v>
      </c>
      <c r="F6" s="751">
        <f ca="1">INDIRECT("'数据-取费表'!u"&amp;$G$1)</f>
        <v>2.7</v>
      </c>
      <c r="G6" s="1784"/>
      <c r="H6" s="2149" t="s">
        <v>1353</v>
      </c>
      <c r="I6" s="3993" t="s">
        <v>1806</v>
      </c>
      <c r="J6" s="749">
        <f ca="1">ROUND(M6*M8*M7*(1-M9)/10000,0)</f>
        <v>0</v>
      </c>
      <c r="K6" s="332" t="s">
        <v>584</v>
      </c>
      <c r="L6" s="750" t="s">
        <v>585</v>
      </c>
      <c r="M6" s="751">
        <f ca="1">INDIRECT("'数据-取费表'!z"&amp;$G$1)</f>
        <v>0</v>
      </c>
    </row>
    <row r="7" spans="1:33" ht="18" customHeight="1">
      <c r="A7" s="2145"/>
      <c r="B7" s="3994"/>
      <c r="C7" s="754"/>
      <c r="D7" s="755"/>
      <c r="E7" s="750" t="s">
        <v>586</v>
      </c>
      <c r="F7" s="751">
        <f ca="1">IF(INDIRECT("'数据-取费表'!ah"&amp;$G$1)="",INDIRECT("'数据-取费表'!k"&amp;$G$1),INDIRECT("'数据-取费表'!ah"&amp;$G$1))</f>
        <v>34569.840000000011</v>
      </c>
      <c r="G7" s="1784"/>
      <c r="H7" s="2134"/>
      <c r="I7" s="3994"/>
      <c r="J7" s="754"/>
      <c r="K7" s="755"/>
      <c r="L7" s="750" t="s">
        <v>586</v>
      </c>
      <c r="M7" s="751">
        <f ca="1">F7</f>
        <v>34569.840000000011</v>
      </c>
    </row>
    <row r="8" spans="1:33" ht="18" customHeight="1">
      <c r="A8" s="2138"/>
      <c r="B8" s="3995"/>
      <c r="C8" s="754"/>
      <c r="D8" s="755"/>
      <c r="E8" s="750" t="s">
        <v>587</v>
      </c>
      <c r="F8" s="751">
        <f ca="1">INDIRECT("'数据-取费表'!ai"&amp;$G$1)</f>
        <v>365</v>
      </c>
      <c r="G8" s="1784"/>
      <c r="H8" s="2134"/>
      <c r="I8" s="3995"/>
      <c r="J8" s="754"/>
      <c r="K8" s="755"/>
      <c r="L8" s="750" t="s">
        <v>587</v>
      </c>
      <c r="M8" s="751">
        <f ca="1">INDIRECT("'数据-取费表'!ai"&amp;$G$1)</f>
        <v>365</v>
      </c>
    </row>
    <row r="9" spans="1:33" ht="18" customHeight="1">
      <c r="A9" s="752"/>
      <c r="B9" s="3996"/>
      <c r="C9" s="754"/>
      <c r="D9" s="755"/>
      <c r="E9" s="750" t="s">
        <v>588</v>
      </c>
      <c r="F9" s="760">
        <f ca="1">INDIRECT("'数据-取费表'!w"&amp;$G$1)</f>
        <v>0.1</v>
      </c>
      <c r="G9" s="1784"/>
      <c r="H9" s="2150"/>
      <c r="I9" s="3995"/>
      <c r="J9" s="754"/>
      <c r="K9" s="755"/>
      <c r="L9" s="761" t="s">
        <v>588</v>
      </c>
      <c r="M9" s="762">
        <f ca="1">INDIRECT("'数据-取费表'!ab"&amp;$G$1)</f>
        <v>0</v>
      </c>
    </row>
    <row r="10" spans="1:33" ht="18" customHeight="1">
      <c r="A10" s="1615" t="s">
        <v>1354</v>
      </c>
      <c r="B10" s="2139" t="s">
        <v>1802</v>
      </c>
      <c r="C10" s="765">
        <f ca="1">ROUND(IF(F10="押一",C6/12*F11,IF(F10="押二",C6/12*2*F11,IF(F10="押三",C6/12*3*F11,C11*F11))),0)</f>
        <v>0</v>
      </c>
      <c r="D10" s="2146" t="s">
        <v>2226</v>
      </c>
      <c r="E10" s="2143" t="s">
        <v>1807</v>
      </c>
      <c r="F10" s="2227" t="s">
        <v>3301</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23378</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17132</v>
      </c>
      <c r="D14" s="3660" t="s">
        <v>594</v>
      </c>
      <c r="E14" s="3659"/>
      <c r="F14" s="771"/>
      <c r="G14" s="1784"/>
      <c r="H14" s="1453" t="s">
        <v>1353</v>
      </c>
      <c r="I14" s="1948" t="s">
        <v>2101</v>
      </c>
      <c r="J14" s="51">
        <f ca="1">C29</f>
        <v>23378</v>
      </c>
      <c r="K14" s="24"/>
      <c r="L14" s="767"/>
      <c r="M14" s="768"/>
    </row>
    <row r="15" spans="1:33" s="1786" customFormat="1" ht="18" customHeight="1" thickBot="1">
      <c r="A15" s="1452" t="s">
        <v>1361</v>
      </c>
      <c r="B15" s="750" t="s">
        <v>595</v>
      </c>
      <c r="C15" s="51">
        <f ca="1">ROUND(C14*F15,0)</f>
        <v>514</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236</v>
      </c>
      <c r="K16" s="1606" t="s">
        <v>600</v>
      </c>
      <c r="L16" s="3663"/>
      <c r="M16" s="2136"/>
    </row>
    <row r="17" spans="1:33" s="1786" customFormat="1" ht="18" customHeight="1">
      <c r="A17" s="1452" t="s">
        <v>1412</v>
      </c>
      <c r="B17" s="750" t="s">
        <v>601</v>
      </c>
      <c r="C17" s="51">
        <f ca="1">ROUND(F17*(F43+INDIRECT("'数据-取费表'!S"&amp;$G$1))/10000,0)</f>
        <v>781</v>
      </c>
      <c r="D17" s="750" t="s">
        <v>602</v>
      </c>
      <c r="E17" s="750" t="s">
        <v>603</v>
      </c>
      <c r="F17" s="54">
        <f>'数据-取费表'!B35</f>
        <v>200</v>
      </c>
      <c r="G17" s="2998"/>
      <c r="H17" s="1453" t="s">
        <v>1353</v>
      </c>
      <c r="I17" s="750" t="s">
        <v>604</v>
      </c>
      <c r="J17" s="2759">
        <f ca="1">ROUND(IF(AND(项目基本情况!B11="自然人",项目基本情况!B10="北京市"),J6*M17/(1+'数据-取费表'!C42),J18+J19+J20),2)</f>
        <v>2.06</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257</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18684</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374</v>
      </c>
      <c r="D20" s="777" t="s">
        <v>614</v>
      </c>
      <c r="E20" s="750" t="s">
        <v>597</v>
      </c>
      <c r="F20" s="775">
        <f>'数据-取费表'!B37</f>
        <v>0.02</v>
      </c>
      <c r="G20" s="2998"/>
      <c r="H20" s="1455" t="s">
        <v>1362</v>
      </c>
      <c r="I20" s="332" t="s">
        <v>615</v>
      </c>
      <c r="J20" s="52">
        <f ca="1">ROUND(M20*M21/10000,2)</f>
        <v>2.06</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0.02</v>
      </c>
      <c r="G21" s="2998"/>
      <c r="H21" s="2151"/>
      <c r="I21" s="759"/>
      <c r="J21" s="67"/>
      <c r="K21" s="781"/>
      <c r="L21" s="750" t="s">
        <v>621</v>
      </c>
      <c r="M21" s="751">
        <f ca="1">INDIRECT("'数据-取费表'!r"&amp;$G$1)</f>
        <v>13752.84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233.78</v>
      </c>
      <c r="K22" s="3661" t="s">
        <v>624</v>
      </c>
      <c r="L22" s="750" t="s">
        <v>597</v>
      </c>
      <c r="M22" s="782">
        <f ca="1">INDIRECT("'数据-取费表'!Ak"&amp;$G$1)</f>
        <v>0.01</v>
      </c>
    </row>
    <row r="23" spans="1:33" s="1786" customFormat="1" ht="18" customHeight="1">
      <c r="A23" s="1452" t="s">
        <v>1360</v>
      </c>
      <c r="B23" s="750" t="s">
        <v>1783</v>
      </c>
      <c r="C23" s="51">
        <f ca="1">ROUND(IF('数据-取费表'!B22&lt;=1,(C19+C20)*F24*F23/2,(C19+C20)*(POWER((1+F24),F23/2)-1)),0)</f>
        <v>658</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6.9999999999999999E-4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-236</v>
      </c>
      <c r="K25" s="2164" t="s">
        <v>647</v>
      </c>
      <c r="L25" s="2165"/>
      <c r="M25" s="2166"/>
    </row>
    <row r="26" spans="1:33" ht="18" customHeight="1">
      <c r="A26" s="1452" t="s">
        <v>1360</v>
      </c>
      <c r="B26" s="750" t="s">
        <v>1784</v>
      </c>
      <c r="C26" s="51">
        <f ca="1">ROUND((C19+C20)*F26,0)</f>
        <v>1906</v>
      </c>
      <c r="D26" s="777" t="s">
        <v>648</v>
      </c>
      <c r="E26" s="761" t="s">
        <v>649</v>
      </c>
      <c r="F26" s="760">
        <f ca="1">INDIRECT("'数据-取费表'!q"&amp;$G$1)</f>
        <v>0.1</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2E-3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23378</v>
      </c>
      <c r="D29" s="2161"/>
      <c r="E29" s="2162"/>
      <c r="F29" s="2163"/>
      <c r="G29" s="2998"/>
      <c r="H29" s="788" t="s">
        <v>1316</v>
      </c>
      <c r="I29" s="789" t="s">
        <v>1317</v>
      </c>
      <c r="J29" s="790">
        <f ca="1">ROUND(J26/(1+F40)^F41,0)</f>
        <v>0</v>
      </c>
      <c r="K29" s="791" t="s">
        <v>635</v>
      </c>
      <c r="L29" s="792"/>
      <c r="M29" s="793">
        <f ca="1">INDIRECT("'数据-取费表'!k"&amp;$G$1)</f>
        <v>34569.840000000011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813</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513.05999999999995</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160.6</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350.4</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2.06</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13752.84</v>
      </c>
      <c r="G35" s="1784"/>
      <c r="H35" s="1787"/>
      <c r="I35" s="802" t="s">
        <v>1343</v>
      </c>
      <c r="J35" s="803">
        <f ca="1">ROUND(C13*J36,0)</f>
        <v>1636</v>
      </c>
      <c r="K35" s="1800"/>
      <c r="L35" s="1799"/>
      <c r="M35" s="1799"/>
    </row>
    <row r="36" spans="1:18" ht="18" customHeight="1">
      <c r="A36" s="1453" t="s">
        <v>1414</v>
      </c>
      <c r="B36" s="750" t="s">
        <v>623</v>
      </c>
      <c r="C36" s="51">
        <f ca="1">ROUND(C29*F36,2)</f>
        <v>233.78</v>
      </c>
      <c r="D36" s="3661" t="s">
        <v>638</v>
      </c>
      <c r="E36" s="750" t="s">
        <v>597</v>
      </c>
      <c r="F36" s="782">
        <f ca="1">INDIRECT("'数据-取费表'!Ak"&amp;$G$1)</f>
        <v>0.01</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35.07</v>
      </c>
      <c r="D37" s="3661" t="s">
        <v>627</v>
      </c>
      <c r="E37" s="750" t="s">
        <v>597</v>
      </c>
      <c r="F37" s="783">
        <f ca="1">INDIRECT("'数据-取费表'!Al"&amp;$G$1)</f>
        <v>1.5E-3</v>
      </c>
      <c r="G37" s="1784"/>
      <c r="H37" s="1799"/>
      <c r="I37" s="806" t="s">
        <v>1345</v>
      </c>
      <c r="J37" s="807"/>
      <c r="K37" s="1803"/>
      <c r="L37" s="1799"/>
      <c r="M37" s="1799"/>
    </row>
    <row r="38" spans="1:18" ht="18" customHeight="1" thickBot="1">
      <c r="A38" s="2167" t="s">
        <v>1416</v>
      </c>
      <c r="B38" s="2162" t="s">
        <v>613</v>
      </c>
      <c r="C38" s="2160">
        <f ca="1">ROUND(C5*F38,2)</f>
        <v>30.66</v>
      </c>
      <c r="D38" s="2161" t="s">
        <v>630</v>
      </c>
      <c r="E38" s="2162" t="s">
        <v>597</v>
      </c>
      <c r="F38" s="2158">
        <f ca="1">INDIRECT("'数据-取费表'!Am"&amp;$G$1)</f>
        <v>0.01</v>
      </c>
      <c r="G38" s="1784"/>
      <c r="H38" s="1799"/>
      <c r="I38" s="808" t="s">
        <v>1346</v>
      </c>
      <c r="J38" s="809"/>
      <c r="K38" s="1804"/>
      <c r="L38" s="1799"/>
      <c r="M38" s="1799"/>
    </row>
    <row r="39" spans="1:18" ht="24.6" customHeight="1" thickTop="1">
      <c r="A39" s="1614" t="s">
        <v>1305</v>
      </c>
      <c r="B39" s="2482" t="s">
        <v>2098</v>
      </c>
      <c r="C39" s="758">
        <f ca="1">C5-C30</f>
        <v>2253</v>
      </c>
      <c r="D39" s="2164" t="s">
        <v>647</v>
      </c>
      <c r="E39" s="2165"/>
      <c r="F39" s="2166"/>
      <c r="G39" s="1784"/>
      <c r="H39" s="1799"/>
      <c r="I39" s="802" t="s">
        <v>1347</v>
      </c>
      <c r="J39" s="810">
        <f ca="1">ROUND(J35/C39,3)</f>
        <v>0.72599999999999998</v>
      </c>
      <c r="K39" s="1804"/>
      <c r="L39" s="1799"/>
      <c r="M39" s="1799"/>
    </row>
    <row r="40" spans="1:18" ht="18" customHeight="1">
      <c r="A40" s="747" t="s">
        <v>1309</v>
      </c>
      <c r="B40" s="1949" t="s">
        <v>1657</v>
      </c>
      <c r="C40" s="749">
        <f ca="1">ROUND(C39*(1-((1+F42)/(1+F40))^F41)/(F40-F42),0)</f>
        <v>37691</v>
      </c>
      <c r="D40" s="779" t="s">
        <v>651</v>
      </c>
      <c r="E40" s="750" t="s">
        <v>1772</v>
      </c>
      <c r="F40" s="760">
        <f ca="1">INDIRECT("'数据-取费表'!I"&amp;$G$1)</f>
        <v>5.5E-2</v>
      </c>
      <c r="G40" s="1784"/>
      <c r="H40" s="1784"/>
      <c r="I40" s="802" t="s">
        <v>1348</v>
      </c>
      <c r="J40" s="810">
        <f ca="1">1-J39</f>
        <v>0.27400000000000002</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0.62</v>
      </c>
      <c r="K42" s="1803"/>
      <c r="L42" s="1739"/>
      <c r="M42" s="1739"/>
    </row>
    <row r="43" spans="1:18" ht="18" customHeight="1" thickBot="1">
      <c r="A43" s="788" t="s">
        <v>1316</v>
      </c>
      <c r="B43" s="789" t="s">
        <v>1339</v>
      </c>
      <c r="C43" s="790">
        <f ca="1">ROUND(C40*10000/F43,0)</f>
        <v>10903</v>
      </c>
      <c r="D43" s="791" t="s">
        <v>1340</v>
      </c>
      <c r="E43" s="792" t="s">
        <v>1341</v>
      </c>
      <c r="F43" s="793">
        <f ca="1">INDIRECT("'数据-取费表'!k"&amp;$G$1)</f>
        <v>34569.840000000011</v>
      </c>
      <c r="G43" s="1784"/>
      <c r="H43" s="1739"/>
      <c r="I43" s="812" t="s">
        <v>1351</v>
      </c>
      <c r="J43" s="813">
        <f ca="1">1-J42</f>
        <v>0.38</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-42225</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3298</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37691</v>
      </c>
      <c r="R48" s="2089" t="s">
        <v>1733</v>
      </c>
    </row>
    <row r="49" spans="1:18" s="1781" customFormat="1" ht="18" customHeight="1" thickBot="1">
      <c r="A49" s="752"/>
      <c r="B49" s="753"/>
      <c r="C49" s="754"/>
      <c r="D49" s="755"/>
      <c r="E49" s="750" t="s">
        <v>586</v>
      </c>
      <c r="F49" s="751">
        <f ca="1">F7</f>
        <v>34569.840000000011</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365</v>
      </c>
      <c r="G50" s="1816"/>
      <c r="H50" s="1814"/>
      <c r="I50" s="2551" t="s">
        <v>1700</v>
      </c>
      <c r="J50" s="2558">
        <f>SUMPRODUCT((I63:I65=J47)*(J62:L62=J48)*(J63:L65))</f>
        <v>60</v>
      </c>
      <c r="K50" s="2562" t="s">
        <v>1706</v>
      </c>
      <c r="L50" s="2074"/>
      <c r="M50" s="3000"/>
      <c r="O50" s="2091" t="s">
        <v>1736</v>
      </c>
      <c r="P50" s="2089" t="s">
        <v>1760</v>
      </c>
      <c r="Q50" s="2090">
        <f ca="1">C29</f>
        <v>23378</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11761</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99" t="s">
        <v>2220</v>
      </c>
      <c r="L53" s="4000"/>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37691</v>
      </c>
      <c r="R54" s="2093" t="s">
        <v>1745</v>
      </c>
    </row>
    <row r="55" spans="1:18" s="1781" customFormat="1" ht="18" customHeight="1" thickTop="1" thickBot="1">
      <c r="A55" s="763">
        <v>2</v>
      </c>
      <c r="B55" s="764" t="s">
        <v>592</v>
      </c>
      <c r="C55" s="765">
        <f ca="1">C13</f>
        <v>23378</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23378</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271</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37691</v>
      </c>
      <c r="R57" s="2089" t="s">
        <v>1733</v>
      </c>
    </row>
    <row r="58" spans="1:18" s="1781" customFormat="1" ht="28.5" customHeight="1" thickBot="1">
      <c r="A58" s="1453" t="s">
        <v>1353</v>
      </c>
      <c r="B58" s="750" t="s">
        <v>604</v>
      </c>
      <c r="C58" s="2759">
        <f ca="1">ROUND(IF(AND(项目基本情况!B11="自然人",项目基本情况!B10="北京市"),C48*F58/(1+'数据-取费表'!C42),C59+C60+C61),2)</f>
        <v>2.06</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2.06</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13752.84</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233.78</v>
      </c>
      <c r="D63" s="3661" t="s">
        <v>638</v>
      </c>
      <c r="E63" s="750" t="s">
        <v>597</v>
      </c>
      <c r="F63" s="782">
        <f t="shared" ca="1" si="0"/>
        <v>0.01</v>
      </c>
      <c r="I63" s="2576" t="s">
        <v>1723</v>
      </c>
      <c r="J63" s="2577">
        <v>70</v>
      </c>
      <c r="K63" s="2577">
        <v>50</v>
      </c>
      <c r="L63" s="2577">
        <v>80</v>
      </c>
      <c r="M63" s="2579">
        <v>0.02</v>
      </c>
      <c r="O63" s="2088" t="s">
        <v>1744</v>
      </c>
      <c r="P63" s="2089" t="s">
        <v>1761</v>
      </c>
      <c r="Q63" s="2090">
        <f ca="1">Q57+Q58</f>
        <v>37691</v>
      </c>
      <c r="R63" s="2093" t="s">
        <v>1745</v>
      </c>
    </row>
    <row r="64" spans="1:18" s="1781" customFormat="1" ht="16.5" thickBot="1">
      <c r="A64" s="1453" t="s">
        <v>1415</v>
      </c>
      <c r="B64" s="750" t="s">
        <v>626</v>
      </c>
      <c r="C64" s="51">
        <f ca="1">ROUND(C55*F64,2)</f>
        <v>35.07</v>
      </c>
      <c r="D64" s="3661" t="s">
        <v>627</v>
      </c>
      <c r="E64" s="750" t="s">
        <v>597</v>
      </c>
      <c r="F64" s="783">
        <f t="shared" ca="1" si="0"/>
        <v>1.5E-3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0.01</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f ca="1">C47-C57</f>
        <v>-271</v>
      </c>
      <c r="D66" s="3660" t="s">
        <v>647</v>
      </c>
      <c r="E66" s="3658"/>
      <c r="F66" s="785"/>
      <c r="K66" s="1807"/>
      <c r="O66" s="2088" t="s">
        <v>1732</v>
      </c>
      <c r="P66" s="2089" t="s">
        <v>1758</v>
      </c>
      <c r="Q66" s="2090">
        <f ca="1">C40+J29</f>
        <v>37691</v>
      </c>
      <c r="R66" s="2089" t="s">
        <v>1733</v>
      </c>
    </row>
    <row r="67" spans="1:18" s="1781" customFormat="1" ht="20.25" thickBot="1">
      <c r="A67" s="747" t="s">
        <v>1309</v>
      </c>
      <c r="B67" s="1949" t="s">
        <v>1657</v>
      </c>
      <c r="C67" s="749">
        <f ca="1">ROUND(C66*(1-((1+F69)/(1+F67))^F68)/(F67-F69),0)</f>
        <v>-4534</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47.2</v>
      </c>
      <c r="O68" s="2091" t="s">
        <v>1736</v>
      </c>
      <c r="P68" s="2089" t="s">
        <v>1766</v>
      </c>
      <c r="Q68" s="2095">
        <f ca="1">L51</f>
        <v>11761</v>
      </c>
      <c r="R68" s="2096" t="s">
        <v>1769</v>
      </c>
    </row>
    <row r="69" spans="1:18" ht="20.25" thickBot="1">
      <c r="A69" s="756"/>
      <c r="B69" s="757"/>
      <c r="C69" s="758"/>
      <c r="D69" s="781"/>
      <c r="E69" s="750" t="s">
        <v>657</v>
      </c>
      <c r="F69" s="2063"/>
      <c r="O69" s="2091" t="s">
        <v>1737</v>
      </c>
      <c r="P69" s="2097" t="s">
        <v>1751</v>
      </c>
      <c r="Q69" s="2090">
        <f ca="1">ROUND(Q70-Q71*Q72,0)</f>
        <v>617</v>
      </c>
      <c r="R69" s="2093"/>
    </row>
    <row r="70" spans="1:18" ht="15.75" thickBot="1">
      <c r="A70" s="788" t="s">
        <v>1316</v>
      </c>
      <c r="B70" s="789" t="s">
        <v>1339</v>
      </c>
      <c r="C70" s="790">
        <f ca="1">ROUND(C67*10000/F70,0)</f>
        <v>-1312</v>
      </c>
      <c r="D70" s="791" t="s">
        <v>1340</v>
      </c>
      <c r="E70" s="792" t="s">
        <v>1341</v>
      </c>
      <c r="F70" s="793">
        <f ca="1">F43</f>
        <v>34569.840000000011</v>
      </c>
      <c r="O70" s="2091" t="s">
        <v>1752</v>
      </c>
      <c r="P70" s="2097" t="s">
        <v>1753</v>
      </c>
      <c r="Q70" s="2090">
        <f ca="1">C39</f>
        <v>2253</v>
      </c>
      <c r="R70" s="2089" t="s">
        <v>1733</v>
      </c>
    </row>
    <row r="71" spans="1:18" ht="15.75" thickBot="1">
      <c r="O71" s="2091" t="s">
        <v>1754</v>
      </c>
      <c r="P71" s="2097" t="s">
        <v>1755</v>
      </c>
      <c r="Q71" s="2090">
        <f ca="1">C13</f>
        <v>23378</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37691</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2737</v>
      </c>
      <c r="D1" s="2550" t="s">
        <v>3296</v>
      </c>
      <c r="E1" s="2077" t="s">
        <v>808</v>
      </c>
      <c r="F1" s="2078">
        <f ca="1">J53</f>
        <v>47.2</v>
      </c>
      <c r="G1" s="2996">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-318</v>
      </c>
      <c r="C2" s="3001"/>
      <c r="D2" s="3002"/>
      <c r="E2" s="3003"/>
      <c r="F2" s="3003"/>
      <c r="G2" s="2997"/>
      <c r="H2" s="1779"/>
      <c r="I2" s="1779"/>
      <c r="J2" s="1779"/>
      <c r="K2" s="1780"/>
      <c r="L2" s="1779"/>
      <c r="M2" s="1779"/>
    </row>
    <row r="3" spans="1:33" ht="18" customHeight="1" thickBot="1">
      <c r="A3" s="798" t="s">
        <v>468</v>
      </c>
      <c r="B3" s="799">
        <f ca="1">IF(ISERROR(B2*10000/F43),0,ROUND(B2*10000/F43,0))</f>
        <v>-533</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0</v>
      </c>
      <c r="D5" s="2141" t="s">
        <v>1804</v>
      </c>
      <c r="E5" s="2135"/>
      <c r="F5" s="2136"/>
      <c r="G5" s="1784"/>
      <c r="H5" s="747">
        <v>1</v>
      </c>
      <c r="I5" s="748" t="s">
        <v>1801</v>
      </c>
      <c r="J5" s="53">
        <f ca="1">J6+J10+J12</f>
        <v>0</v>
      </c>
      <c r="K5" s="2141" t="s">
        <v>1804</v>
      </c>
      <c r="L5" s="2135"/>
      <c r="M5" s="2136"/>
    </row>
    <row r="6" spans="1:33" ht="18" customHeight="1">
      <c r="A6" s="1615" t="s">
        <v>1353</v>
      </c>
      <c r="B6" s="3993" t="s">
        <v>1806</v>
      </c>
      <c r="C6" s="749">
        <f ca="1">ROUND(F6*F8*F7*(1-F9)/10000,0)</f>
        <v>0</v>
      </c>
      <c r="D6" s="2142" t="s">
        <v>1805</v>
      </c>
      <c r="E6" s="750" t="s">
        <v>585</v>
      </c>
      <c r="F6" s="751">
        <f ca="1">INDIRECT("'数据-取费表'!u"&amp;$G$1)</f>
        <v>0</v>
      </c>
      <c r="G6" s="1784"/>
      <c r="H6" s="2149" t="s">
        <v>1353</v>
      </c>
      <c r="I6" s="3993" t="s">
        <v>1806</v>
      </c>
      <c r="J6" s="749">
        <f ca="1">ROUND(M6*M8*M7*(1-M9)/10000,0)</f>
        <v>0</v>
      </c>
      <c r="K6" s="332" t="s">
        <v>584</v>
      </c>
      <c r="L6" s="750" t="s">
        <v>585</v>
      </c>
      <c r="M6" s="751">
        <f ca="1">INDIRECT("'数据-取费表'!z"&amp;$G$1)</f>
        <v>0</v>
      </c>
    </row>
    <row r="7" spans="1:33" ht="18" customHeight="1">
      <c r="A7" s="2145"/>
      <c r="B7" s="3994"/>
      <c r="C7" s="754"/>
      <c r="D7" s="755"/>
      <c r="E7" s="750" t="s">
        <v>586</v>
      </c>
      <c r="F7" s="751">
        <f ca="1">IF(INDIRECT("'数据-取费表'!ah"&amp;$G$1)="",INDIRECT("'数据-取费表'!k"&amp;$G$1),INDIRECT("'数据-取费表'!ah"&amp;$G$1))</f>
        <v>176</v>
      </c>
      <c r="G7" s="1784"/>
      <c r="H7" s="2134"/>
      <c r="I7" s="3994"/>
      <c r="J7" s="754"/>
      <c r="K7" s="755"/>
      <c r="L7" s="750" t="s">
        <v>586</v>
      </c>
      <c r="M7" s="751">
        <f ca="1">F7</f>
        <v>176</v>
      </c>
    </row>
    <row r="8" spans="1:33" ht="18" customHeight="1">
      <c r="A8" s="2138"/>
      <c r="B8" s="3995"/>
      <c r="C8" s="754"/>
      <c r="D8" s="755"/>
      <c r="E8" s="750" t="s">
        <v>587</v>
      </c>
      <c r="F8" s="751">
        <f ca="1">INDIRECT("'数据-取费表'!ai"&amp;$G$1)</f>
        <v>12</v>
      </c>
      <c r="G8" s="1784"/>
      <c r="H8" s="2134"/>
      <c r="I8" s="3995"/>
      <c r="J8" s="754"/>
      <c r="K8" s="755"/>
      <c r="L8" s="750" t="s">
        <v>587</v>
      </c>
      <c r="M8" s="751">
        <f ca="1">INDIRECT("'数据-取费表'!ai"&amp;$G$1)</f>
        <v>12</v>
      </c>
    </row>
    <row r="9" spans="1:33" ht="18" customHeight="1">
      <c r="A9" s="752"/>
      <c r="B9" s="3996"/>
      <c r="C9" s="754"/>
      <c r="D9" s="755"/>
      <c r="E9" s="750" t="s">
        <v>588</v>
      </c>
      <c r="F9" s="760">
        <f ca="1">INDIRECT("'数据-取费表'!w"&amp;$G$1)</f>
        <v>0.1</v>
      </c>
      <c r="G9" s="1784"/>
      <c r="H9" s="2150"/>
      <c r="I9" s="3995"/>
      <c r="J9" s="754"/>
      <c r="K9" s="755"/>
      <c r="L9" s="761" t="s">
        <v>588</v>
      </c>
      <c r="M9" s="762">
        <f ca="1">INDIRECT("'数据-取费表'!ab"&amp;$G$1)</f>
        <v>0</v>
      </c>
    </row>
    <row r="10" spans="1:33" ht="18" customHeight="1">
      <c r="A10" s="1615" t="s">
        <v>1354</v>
      </c>
      <c r="B10" s="2139" t="s">
        <v>1802</v>
      </c>
      <c r="C10" s="765">
        <f ca="1">ROUND(IF(F10="押一",C6/12*F11,IF(F10="押二",C6/12*2*F11,IF(F10="押三",C6/12*3*F11,C11*F11))),0)</f>
        <v>0</v>
      </c>
      <c r="D10" s="2146" t="s">
        <v>2226</v>
      </c>
      <c r="E10" s="2143" t="s">
        <v>1807</v>
      </c>
      <c r="F10" s="2227" t="s">
        <v>3301</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3105</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2358</v>
      </c>
      <c r="D14" s="3660" t="s">
        <v>594</v>
      </c>
      <c r="E14" s="3659"/>
      <c r="F14" s="771"/>
      <c r="G14" s="1784"/>
      <c r="H14" s="1453" t="s">
        <v>1353</v>
      </c>
      <c r="I14" s="1948" t="s">
        <v>2101</v>
      </c>
      <c r="J14" s="51">
        <f ca="1">C29</f>
        <v>3105</v>
      </c>
      <c r="K14" s="24"/>
      <c r="L14" s="767"/>
      <c r="M14" s="768"/>
    </row>
    <row r="15" spans="1:33" s="1786" customFormat="1" ht="18" customHeight="1" thickBot="1">
      <c r="A15" s="1452" t="s">
        <v>1361</v>
      </c>
      <c r="B15" s="750" t="s">
        <v>595</v>
      </c>
      <c r="C15" s="51">
        <f ca="1">ROUND(C14*F15,0)</f>
        <v>71</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16</v>
      </c>
      <c r="K16" s="1606" t="s">
        <v>600</v>
      </c>
      <c r="L16" s="3663"/>
      <c r="M16" s="2136"/>
    </row>
    <row r="17" spans="1:33" s="1786" customFormat="1" ht="18" customHeight="1">
      <c r="A17" s="1452" t="s">
        <v>1412</v>
      </c>
      <c r="B17" s="750" t="s">
        <v>601</v>
      </c>
      <c r="C17" s="51">
        <f ca="1">ROUND(F17*(F43+INDIRECT("'数据-取费表'!S"&amp;$G$1))/10000,0)</f>
        <v>135</v>
      </c>
      <c r="D17" s="750" t="s">
        <v>602</v>
      </c>
      <c r="E17" s="750" t="s">
        <v>603</v>
      </c>
      <c r="F17" s="54">
        <f>'数据-取费表'!B35</f>
        <v>200</v>
      </c>
      <c r="G17" s="2998"/>
      <c r="H17" s="1453" t="s">
        <v>1353</v>
      </c>
      <c r="I17" s="750" t="s">
        <v>604</v>
      </c>
      <c r="J17" s="2759">
        <f ca="1">ROUND(IF(AND(项目基本情况!B11="自然人",项目基本情况!B10="北京市"),J6*M17/(1+'数据-取费表'!C42),J18+J19+J20),2)</f>
        <v>0.36</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35</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2599</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52</v>
      </c>
      <c r="D20" s="777" t="s">
        <v>614</v>
      </c>
      <c r="E20" s="750" t="s">
        <v>597</v>
      </c>
      <c r="F20" s="775">
        <f>'数据-取费表'!B37</f>
        <v>0.02</v>
      </c>
      <c r="G20" s="2998"/>
      <c r="H20" s="1455" t="s">
        <v>1362</v>
      </c>
      <c r="I20" s="332" t="s">
        <v>615</v>
      </c>
      <c r="J20" s="52">
        <f ca="1">ROUND(M20*M21/10000,2)</f>
        <v>0.36</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0.02</v>
      </c>
      <c r="G21" s="2998"/>
      <c r="H21" s="2151"/>
      <c r="I21" s="759"/>
      <c r="J21" s="67"/>
      <c r="K21" s="781"/>
      <c r="L21" s="750" t="s">
        <v>621</v>
      </c>
      <c r="M21" s="751">
        <f ca="1">INDIRECT("'数据-取费表'!r"&amp;$G$1)</f>
        <v>2371.4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15.53</v>
      </c>
      <c r="K22" s="3661" t="s">
        <v>624</v>
      </c>
      <c r="L22" s="750" t="s">
        <v>597</v>
      </c>
      <c r="M22" s="782">
        <f ca="1">INDIRECT("'数据-取费表'!Ak"&amp;$G$1)</f>
        <v>5.0000000000000001E-3</v>
      </c>
    </row>
    <row r="23" spans="1:33" s="1786" customFormat="1" ht="18" customHeight="1">
      <c r="A23" s="1452" t="s">
        <v>1360</v>
      </c>
      <c r="B23" s="750" t="s">
        <v>1783</v>
      </c>
      <c r="C23" s="51">
        <f ca="1">ROUND(IF('数据-取费表'!B22&lt;=1,(C19+C20)*F24*F23/2,(C19+C20)*(POWER((1+F24),F23/2)-1)),0)</f>
        <v>91</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6.9999999999999999E-4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-16</v>
      </c>
      <c r="K25" s="2164" t="s">
        <v>647</v>
      </c>
      <c r="L25" s="2165"/>
      <c r="M25" s="2166"/>
    </row>
    <row r="26" spans="1:33" ht="18" customHeight="1">
      <c r="A26" s="1452" t="s">
        <v>1360</v>
      </c>
      <c r="B26" s="750" t="s">
        <v>1784</v>
      </c>
      <c r="C26" s="51">
        <f ca="1">ROUND((C19+C20)*F26,0)</f>
        <v>133</v>
      </c>
      <c r="D26" s="777" t="s">
        <v>648</v>
      </c>
      <c r="E26" s="761" t="s">
        <v>649</v>
      </c>
      <c r="F26" s="760">
        <f ca="1">INDIRECT("'数据-取费表'!q"&amp;$G$1)</f>
        <v>0.05</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1E-3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3105</v>
      </c>
      <c r="D29" s="2161"/>
      <c r="E29" s="2162"/>
      <c r="F29" s="2163"/>
      <c r="G29" s="2998"/>
      <c r="H29" s="788" t="s">
        <v>1316</v>
      </c>
      <c r="I29" s="789" t="s">
        <v>1317</v>
      </c>
      <c r="J29" s="790">
        <f ca="1">ROUND(J26/(1+F40)^F41,0)</f>
        <v>0</v>
      </c>
      <c r="K29" s="791" t="s">
        <v>635</v>
      </c>
      <c r="L29" s="792"/>
      <c r="M29" s="793">
        <f ca="1">INDIRECT("'数据-取费表'!k"&amp;$G$1)</f>
        <v>5960.87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19</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0.36</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0</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0</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0.36</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2371.4</v>
      </c>
      <c r="G35" s="1784"/>
      <c r="H35" s="1787"/>
      <c r="I35" s="802" t="s">
        <v>1343</v>
      </c>
      <c r="J35" s="803">
        <f ca="1">ROUND(C13*J36,0)</f>
        <v>217</v>
      </c>
      <c r="K35" s="1800"/>
      <c r="L35" s="1799"/>
      <c r="M35" s="1799"/>
    </row>
    <row r="36" spans="1:18" ht="18" customHeight="1">
      <c r="A36" s="1453" t="s">
        <v>1414</v>
      </c>
      <c r="B36" s="750" t="s">
        <v>623</v>
      </c>
      <c r="C36" s="51">
        <f ca="1">ROUND(C29*F36,2)</f>
        <v>15.53</v>
      </c>
      <c r="D36" s="3661" t="s">
        <v>638</v>
      </c>
      <c r="E36" s="750" t="s">
        <v>597</v>
      </c>
      <c r="F36" s="782">
        <f ca="1">INDIRECT("'数据-取费表'!Ak"&amp;$G$1)</f>
        <v>5.0000000000000001E-3</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3.11</v>
      </c>
      <c r="D37" s="3661" t="s">
        <v>627</v>
      </c>
      <c r="E37" s="750" t="s">
        <v>597</v>
      </c>
      <c r="F37" s="783">
        <f ca="1">INDIRECT("'数据-取费表'!Al"&amp;$G$1)</f>
        <v>1E-3</v>
      </c>
      <c r="G37" s="1784"/>
      <c r="H37" s="1799"/>
      <c r="I37" s="806" t="s">
        <v>1345</v>
      </c>
      <c r="J37" s="807"/>
      <c r="K37" s="1803"/>
      <c r="L37" s="1799"/>
      <c r="M37" s="1799"/>
    </row>
    <row r="38" spans="1:18" ht="18" customHeight="1" thickBot="1">
      <c r="A38" s="2167" t="s">
        <v>1416</v>
      </c>
      <c r="B38" s="2162" t="s">
        <v>613</v>
      </c>
      <c r="C38" s="2160">
        <f ca="1">ROUND(C5*F38,2)</f>
        <v>0</v>
      </c>
      <c r="D38" s="2161" t="s">
        <v>630</v>
      </c>
      <c r="E38" s="2162" t="s">
        <v>597</v>
      </c>
      <c r="F38" s="2158">
        <f ca="1">INDIRECT("'数据-取费表'!Am"&amp;$G$1)</f>
        <v>5.0000000000000001E-3</v>
      </c>
      <c r="G38" s="1784"/>
      <c r="H38" s="1799"/>
      <c r="I38" s="808" t="s">
        <v>1346</v>
      </c>
      <c r="J38" s="809"/>
      <c r="K38" s="1804"/>
      <c r="L38" s="1799"/>
      <c r="M38" s="1799"/>
    </row>
    <row r="39" spans="1:18" ht="24.6" customHeight="1" thickTop="1">
      <c r="A39" s="1614" t="s">
        <v>1305</v>
      </c>
      <c r="B39" s="2482" t="s">
        <v>2098</v>
      </c>
      <c r="C39" s="758">
        <f ca="1">C5-C30</f>
        <v>-19</v>
      </c>
      <c r="D39" s="2164" t="s">
        <v>647</v>
      </c>
      <c r="E39" s="2165"/>
      <c r="F39" s="2166"/>
      <c r="G39" s="1784"/>
      <c r="H39" s="1799"/>
      <c r="I39" s="802" t="s">
        <v>1347</v>
      </c>
      <c r="J39" s="810">
        <f ca="1">ROUND(J35/C39,3)</f>
        <v>-11.420999999999999</v>
      </c>
      <c r="K39" s="1804"/>
      <c r="L39" s="1799"/>
      <c r="M39" s="1799"/>
    </row>
    <row r="40" spans="1:18" ht="18" customHeight="1">
      <c r="A40" s="747" t="s">
        <v>1309</v>
      </c>
      <c r="B40" s="1949" t="s">
        <v>1657</v>
      </c>
      <c r="C40" s="749">
        <f ca="1">ROUND(C39*(1-((1+F42)/(1+F40))^F41)/(F40-F42),0)</f>
        <v>-318</v>
      </c>
      <c r="D40" s="779" t="s">
        <v>651</v>
      </c>
      <c r="E40" s="750" t="s">
        <v>1772</v>
      </c>
      <c r="F40" s="760">
        <f ca="1">INDIRECT("'数据-取费表'!I"&amp;$G$1)</f>
        <v>5.5E-2</v>
      </c>
      <c r="G40" s="1784">
        <f ca="1">C40/F7</f>
        <v>-1.8068181818181819</v>
      </c>
      <c r="H40" s="1784"/>
      <c r="I40" s="802" t="s">
        <v>1348</v>
      </c>
      <c r="J40" s="810">
        <f ca="1">1-J39</f>
        <v>12.420999999999999</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-9.7639999999999993</v>
      </c>
      <c r="K42" s="1803"/>
      <c r="L42" s="1739"/>
      <c r="M42" s="1739"/>
    </row>
    <row r="43" spans="1:18" ht="18" customHeight="1" thickBot="1">
      <c r="A43" s="788" t="s">
        <v>1316</v>
      </c>
      <c r="B43" s="789" t="s">
        <v>1339</v>
      </c>
      <c r="C43" s="790">
        <f ca="1">ROUND(C40*10000/F43,0)</f>
        <v>-533</v>
      </c>
      <c r="D43" s="791" t="s">
        <v>1340</v>
      </c>
      <c r="E43" s="792" t="s">
        <v>1341</v>
      </c>
      <c r="F43" s="793">
        <f ca="1">INDIRECT("'数据-取费表'!k"&amp;$G$1)</f>
        <v>5960.87</v>
      </c>
      <c r="G43" s="1784"/>
      <c r="H43" s="1739"/>
      <c r="I43" s="812" t="s">
        <v>1351</v>
      </c>
      <c r="J43" s="813">
        <f ca="1">1-J42</f>
        <v>10.763999999999999</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0</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3298</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-318</v>
      </c>
      <c r="R48" s="2089" t="s">
        <v>1733</v>
      </c>
    </row>
    <row r="49" spans="1:18" s="1781" customFormat="1" ht="18" customHeight="1" thickBot="1">
      <c r="A49" s="752"/>
      <c r="B49" s="753"/>
      <c r="C49" s="754"/>
      <c r="D49" s="755"/>
      <c r="E49" s="750" t="s">
        <v>586</v>
      </c>
      <c r="F49" s="751">
        <f ca="1">F7</f>
        <v>176</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12</v>
      </c>
      <c r="G50" s="1816"/>
      <c r="H50" s="1814"/>
      <c r="I50" s="2551" t="s">
        <v>1700</v>
      </c>
      <c r="J50" s="2558">
        <f>SUMPRODUCT((I63:I65=J47)*(J62:L62=J48)*(J63:L65))</f>
        <v>60</v>
      </c>
      <c r="K50" s="2562" t="s">
        <v>1706</v>
      </c>
      <c r="L50" s="2074"/>
      <c r="M50" s="3000"/>
      <c r="O50" s="2091" t="s">
        <v>1736</v>
      </c>
      <c r="P50" s="2089" t="s">
        <v>1760</v>
      </c>
      <c r="Q50" s="2090">
        <f ca="1">C29</f>
        <v>3105</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-4508</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99" t="s">
        <v>2220</v>
      </c>
      <c r="L53" s="4000"/>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-318</v>
      </c>
      <c r="R54" s="2093" t="s">
        <v>1745</v>
      </c>
    </row>
    <row r="55" spans="1:18" s="1781" customFormat="1" ht="18" customHeight="1" thickTop="1" thickBot="1">
      <c r="A55" s="763">
        <v>2</v>
      </c>
      <c r="B55" s="764" t="s">
        <v>592</v>
      </c>
      <c r="C55" s="765">
        <f ca="1">C13</f>
        <v>3105</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3105</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19</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-318</v>
      </c>
      <c r="R57" s="2089" t="s">
        <v>1733</v>
      </c>
    </row>
    <row r="58" spans="1:18" s="1781" customFormat="1" ht="28.5" customHeight="1" thickBot="1">
      <c r="A58" s="1453" t="s">
        <v>1353</v>
      </c>
      <c r="B58" s="750" t="s">
        <v>604</v>
      </c>
      <c r="C58" s="2759">
        <f ca="1">ROUND(IF(AND(项目基本情况!B11="自然人",项目基本情况!B10="北京市"),C48*F58/(1+'数据-取费表'!C42),C59+C60+C61),2)</f>
        <v>0.36</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0.36</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2371.4</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15.53</v>
      </c>
      <c r="D63" s="3661" t="s">
        <v>638</v>
      </c>
      <c r="E63" s="750" t="s">
        <v>597</v>
      </c>
      <c r="F63" s="782">
        <f t="shared" ca="1" si="0"/>
        <v>5.0000000000000001E-3</v>
      </c>
      <c r="I63" s="2576" t="s">
        <v>1723</v>
      </c>
      <c r="J63" s="2577">
        <v>70</v>
      </c>
      <c r="K63" s="2577">
        <v>50</v>
      </c>
      <c r="L63" s="2577">
        <v>80</v>
      </c>
      <c r="M63" s="2579">
        <v>0.02</v>
      </c>
      <c r="O63" s="2088" t="s">
        <v>1744</v>
      </c>
      <c r="P63" s="2089" t="s">
        <v>1761</v>
      </c>
      <c r="Q63" s="2090">
        <f ca="1">Q57+Q58</f>
        <v>-318</v>
      </c>
      <c r="R63" s="2093" t="s">
        <v>1745</v>
      </c>
    </row>
    <row r="64" spans="1:18" s="1781" customFormat="1" ht="16.5" thickBot="1">
      <c r="A64" s="1453" t="s">
        <v>1415</v>
      </c>
      <c r="B64" s="750" t="s">
        <v>626</v>
      </c>
      <c r="C64" s="51">
        <f ca="1">ROUND(C55*F64,2)</f>
        <v>3.11</v>
      </c>
      <c r="D64" s="3661" t="s">
        <v>627</v>
      </c>
      <c r="E64" s="750" t="s">
        <v>597</v>
      </c>
      <c r="F64" s="783">
        <f t="shared" ca="1" si="0"/>
        <v>1E-3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5.0000000000000001E-3</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f ca="1">C47-C57</f>
        <v>-19</v>
      </c>
      <c r="D66" s="3660" t="s">
        <v>647</v>
      </c>
      <c r="E66" s="3658"/>
      <c r="F66" s="785"/>
      <c r="K66" s="1807"/>
      <c r="O66" s="2088" t="s">
        <v>1732</v>
      </c>
      <c r="P66" s="2089" t="s">
        <v>1758</v>
      </c>
      <c r="Q66" s="2090">
        <f ca="1">C40+J29</f>
        <v>-318</v>
      </c>
      <c r="R66" s="2089" t="s">
        <v>1733</v>
      </c>
    </row>
    <row r="67" spans="1:18" s="1781" customFormat="1" ht="20.25" thickBot="1">
      <c r="A67" s="747" t="s">
        <v>1309</v>
      </c>
      <c r="B67" s="1949" t="s">
        <v>1657</v>
      </c>
      <c r="C67" s="749">
        <f ca="1">ROUND(C66*(1-((1+F69)/(1+F67))^F68)/(F67-F69),0)</f>
        <v>-318</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47.2</v>
      </c>
      <c r="O68" s="2091" t="s">
        <v>1736</v>
      </c>
      <c r="P68" s="2089" t="s">
        <v>1766</v>
      </c>
      <c r="Q68" s="2095">
        <f ca="1">L51</f>
        <v>-4508</v>
      </c>
      <c r="R68" s="2096" t="s">
        <v>1769</v>
      </c>
    </row>
    <row r="69" spans="1:18" ht="20.25" thickBot="1">
      <c r="A69" s="756"/>
      <c r="B69" s="757"/>
      <c r="C69" s="758"/>
      <c r="D69" s="781"/>
      <c r="E69" s="750" t="s">
        <v>657</v>
      </c>
      <c r="F69" s="2063"/>
      <c r="O69" s="2091" t="s">
        <v>1737</v>
      </c>
      <c r="P69" s="2097" t="s">
        <v>1751</v>
      </c>
      <c r="Q69" s="2090">
        <f ca="1">ROUND(Q70-Q71*Q72,0)</f>
        <v>-236</v>
      </c>
      <c r="R69" s="2093"/>
    </row>
    <row r="70" spans="1:18" ht="15.75" thickBot="1">
      <c r="A70" s="788" t="s">
        <v>1316</v>
      </c>
      <c r="B70" s="789" t="s">
        <v>1339</v>
      </c>
      <c r="C70" s="790">
        <f ca="1">ROUND(C67*10000/F70,0)</f>
        <v>-533</v>
      </c>
      <c r="D70" s="791" t="s">
        <v>1340</v>
      </c>
      <c r="E70" s="792" t="s">
        <v>1341</v>
      </c>
      <c r="F70" s="793">
        <f ca="1">F43</f>
        <v>5960.87</v>
      </c>
      <c r="O70" s="2091" t="s">
        <v>1752</v>
      </c>
      <c r="P70" s="2097" t="s">
        <v>1753</v>
      </c>
      <c r="Q70" s="2090">
        <f ca="1">C39</f>
        <v>-19</v>
      </c>
      <c r="R70" s="2089" t="s">
        <v>1733</v>
      </c>
    </row>
    <row r="71" spans="1:18" ht="15.75" thickBot="1">
      <c r="O71" s="2091" t="s">
        <v>1754</v>
      </c>
      <c r="P71" s="2097" t="s">
        <v>1755</v>
      </c>
      <c r="Q71" s="2090">
        <f ca="1">C13</f>
        <v>3105</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-318</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E9" zoomScale="85" zoomScaleNormal="60" zoomScaleSheetLayoutView="85" workbookViewId="0">
      <selection activeCell="K57" sqref="K57"/>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1212</v>
      </c>
      <c r="D1" s="2550" t="s">
        <v>3296</v>
      </c>
      <c r="E1" s="2077" t="s">
        <v>1727</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t="e">
        <f ca="1">C40+J29+L46</f>
        <v>#N/A</v>
      </c>
      <c r="C2" s="3001"/>
      <c r="D2" s="3002"/>
      <c r="E2" s="3003"/>
      <c r="F2" s="3003"/>
      <c r="G2" s="2997"/>
      <c r="H2" s="1779"/>
      <c r="I2" s="1779"/>
      <c r="J2" s="1779"/>
      <c r="K2" s="1780"/>
      <c r="L2" s="1779"/>
      <c r="M2" s="1779"/>
    </row>
    <row r="3" spans="1:33" ht="18" customHeight="1" thickBot="1">
      <c r="A3" s="798" t="s">
        <v>1256</v>
      </c>
      <c r="B3" s="799">
        <f ca="1">IF(ISERROR(B2*10000/F43),0,ROUND(B2*10000/F43,0))</f>
        <v>0</v>
      </c>
      <c r="C3" s="3001"/>
      <c r="D3" s="3002"/>
      <c r="E3" s="3003"/>
      <c r="F3" s="3003"/>
      <c r="G3" s="2997"/>
      <c r="H3" s="742" t="s">
        <v>642</v>
      </c>
      <c r="I3" s="1223"/>
      <c r="J3" s="1223"/>
      <c r="K3" s="1403"/>
      <c r="L3" s="1223"/>
      <c r="M3" s="1223"/>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93" t="s">
        <v>1806</v>
      </c>
      <c r="C6" s="749" t="e">
        <f ca="1">ROUND(F6*F8*F7*(1-F9)/10000,0)</f>
        <v>#N/A</v>
      </c>
      <c r="D6" s="2142" t="s">
        <v>1805</v>
      </c>
      <c r="E6" s="750" t="s">
        <v>1267</v>
      </c>
      <c r="F6" s="751" t="e">
        <f ca="1">INDIRECT("'数据-取费表'!u"&amp;$G$1)</f>
        <v>#N/A</v>
      </c>
      <c r="G6" s="1784"/>
      <c r="H6" s="2149" t="s">
        <v>1811</v>
      </c>
      <c r="I6" s="3993" t="s">
        <v>1806</v>
      </c>
      <c r="J6" s="749" t="e">
        <f ca="1">ROUND(M6*M8*M7*(1-M9)/10000,0)</f>
        <v>#N/A</v>
      </c>
      <c r="K6" s="332" t="s">
        <v>1266</v>
      </c>
      <c r="L6" s="750" t="s">
        <v>1267</v>
      </c>
      <c r="M6" s="751" t="e">
        <f ca="1">INDIRECT("'数据-取费表'!z"&amp;$G$1)</f>
        <v>#N/A</v>
      </c>
    </row>
    <row r="7" spans="1:33" ht="18" customHeight="1">
      <c r="A7" s="2145"/>
      <c r="B7" s="3994"/>
      <c r="C7" s="754"/>
      <c r="D7" s="755"/>
      <c r="E7" s="750" t="s">
        <v>1268</v>
      </c>
      <c r="F7" s="751" t="e">
        <f ca="1">IF(INDIRECT("'数据-取费表'!ah"&amp;$G$1)="",INDIRECT("'数据-取费表'!k"&amp;$G$1),INDIRECT("'数据-取费表'!ah"&amp;$G$1))</f>
        <v>#N/A</v>
      </c>
      <c r="G7" s="1784"/>
      <c r="H7" s="2134"/>
      <c r="I7" s="3994"/>
      <c r="J7" s="754"/>
      <c r="K7" s="755"/>
      <c r="L7" s="750" t="s">
        <v>1268</v>
      </c>
      <c r="M7" s="751" t="e">
        <f ca="1">F7</f>
        <v>#N/A</v>
      </c>
    </row>
    <row r="8" spans="1:33" ht="18" customHeight="1">
      <c r="A8" s="2138"/>
      <c r="B8" s="3995"/>
      <c r="C8" s="754"/>
      <c r="D8" s="755"/>
      <c r="E8" s="750" t="s">
        <v>1269</v>
      </c>
      <c r="F8" s="751" t="e">
        <f ca="1">INDIRECT("'数据-取费表'!ai"&amp;$G$1)</f>
        <v>#N/A</v>
      </c>
      <c r="G8" s="1784"/>
      <c r="H8" s="2134"/>
      <c r="I8" s="3995"/>
      <c r="J8" s="754"/>
      <c r="K8" s="755"/>
      <c r="L8" s="750" t="s">
        <v>1269</v>
      </c>
      <c r="M8" s="751" t="e">
        <f ca="1">INDIRECT("'数据-取费表'!ai"&amp;$G$1)</f>
        <v>#N/A</v>
      </c>
    </row>
    <row r="9" spans="1:33" ht="18" customHeight="1">
      <c r="A9" s="752"/>
      <c r="B9" s="3996"/>
      <c r="C9" s="754"/>
      <c r="D9" s="755"/>
      <c r="E9" s="750" t="s">
        <v>1270</v>
      </c>
      <c r="F9" s="760" t="e">
        <f ca="1">INDIRECT("'数据-取费表'!w"&amp;$G$1)</f>
        <v>#N/A</v>
      </c>
      <c r="G9" s="1784"/>
      <c r="H9" s="2150"/>
      <c r="I9" s="3995"/>
      <c r="J9" s="754"/>
      <c r="K9" s="755"/>
      <c r="L9" s="761" t="s">
        <v>1270</v>
      </c>
      <c r="M9" s="762" t="e">
        <f ca="1">INDIRECT("'数据-取费表'!ab"&amp;$G$1)</f>
        <v>#N/A</v>
      </c>
    </row>
    <row r="10" spans="1:33" ht="18" customHeight="1">
      <c r="A10" s="1615" t="s">
        <v>1809</v>
      </c>
      <c r="B10" s="2139" t="s">
        <v>1802</v>
      </c>
      <c r="C10" s="765" t="e">
        <f ca="1">ROUND(IF(F10="押一",C6/12*F11,IF(F10="押二",C6/12*2*F11,IF(F10="押三",C6/12*3*F11,C11*F11))),0)</f>
        <v>#N/A</v>
      </c>
      <c r="D10" s="2146" t="s">
        <v>2226</v>
      </c>
      <c r="E10" s="2143" t="s">
        <v>1807</v>
      </c>
      <c r="F10" s="2227" t="s">
        <v>3297</v>
      </c>
      <c r="G10" s="1784"/>
      <c r="H10" s="2177" t="s">
        <v>1812</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1808</v>
      </c>
      <c r="F11" s="762">
        <f ca="1">'数据-取费表'!B39</f>
        <v>1.4999999999999999E-2</v>
      </c>
      <c r="G11" s="1784"/>
      <c r="H11" s="2178"/>
      <c r="I11" s="2140" t="s">
        <v>1855</v>
      </c>
      <c r="J11" s="2144"/>
      <c r="K11" s="2179"/>
      <c r="L11" s="2143" t="s">
        <v>1808</v>
      </c>
      <c r="M11" s="2137">
        <f ca="1">'数据-取费表'!B39</f>
        <v>1.4999999999999999E-2</v>
      </c>
    </row>
    <row r="12" spans="1:33" ht="18" customHeight="1" thickBot="1">
      <c r="A12" s="2153" t="s">
        <v>1810</v>
      </c>
      <c r="B12" s="2154" t="s">
        <v>1803</v>
      </c>
      <c r="C12" s="2155"/>
      <c r="D12" s="2156"/>
      <c r="E12" s="2157"/>
      <c r="F12" s="2158"/>
      <c r="G12" s="1784"/>
      <c r="H12" s="2167" t="s">
        <v>1813</v>
      </c>
      <c r="I12" s="2180" t="s">
        <v>1803</v>
      </c>
      <c r="J12" s="2181"/>
      <c r="K12" s="2156"/>
      <c r="L12" s="2157"/>
      <c r="M12" s="2170"/>
    </row>
    <row r="13" spans="1:33" ht="18" customHeight="1" thickTop="1">
      <c r="A13" s="1614">
        <v>2</v>
      </c>
      <c r="B13" s="1612" t="s">
        <v>1271</v>
      </c>
      <c r="C13" s="758" t="e">
        <f ca="1">ROUND(C29*F13,0)</f>
        <v>#N/A</v>
      </c>
      <c r="D13" s="1619" t="s">
        <v>1653</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2" t="s">
        <v>1409</v>
      </c>
      <c r="B14" s="750" t="s">
        <v>593</v>
      </c>
      <c r="C14" s="770" t="e">
        <f ca="1">INDIRECT("'数据-取费表'!m"&amp;$G$1)+INDIRECT("'数据-取费表'!t"&amp;$G$1)</f>
        <v>#N/A</v>
      </c>
      <c r="D14" s="1732" t="s">
        <v>1274</v>
      </c>
      <c r="E14" s="1733"/>
      <c r="F14" s="771"/>
      <c r="G14" s="1784"/>
      <c r="H14" s="1453" t="s">
        <v>1359</v>
      </c>
      <c r="I14" s="1948" t="s">
        <v>2102</v>
      </c>
      <c r="J14" s="51" t="e">
        <f ca="1">C29</f>
        <v>#N/A</v>
      </c>
      <c r="K14" s="24"/>
      <c r="L14" s="767"/>
      <c r="M14" s="768"/>
    </row>
    <row r="15" spans="1:33" s="1786" customFormat="1" ht="18" customHeight="1" thickBot="1">
      <c r="A15" s="1452" t="s">
        <v>1410</v>
      </c>
      <c r="B15" s="750" t="s">
        <v>595</v>
      </c>
      <c r="C15" s="51" t="e">
        <f ca="1">ROUND(C14*F15,0)</f>
        <v>#N/A</v>
      </c>
      <c r="D15" s="772" t="s">
        <v>1275</v>
      </c>
      <c r="E15" s="772" t="s">
        <v>1276</v>
      </c>
      <c r="F15" s="773">
        <f>'数据-取费表'!B33</f>
        <v>0.03</v>
      </c>
      <c r="G15" s="2998"/>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4"/>
      <c r="H16" s="1614" t="s">
        <v>1277</v>
      </c>
      <c r="I16" s="1612" t="s">
        <v>1278</v>
      </c>
      <c r="J16" s="758" t="e">
        <f ca="1">ROUND(J17+J22+J23+J24,0)</f>
        <v>#N/A</v>
      </c>
      <c r="K16" s="1606" t="s">
        <v>1279</v>
      </c>
      <c r="L16" s="2131"/>
      <c r="M16" s="2136"/>
    </row>
    <row r="17" spans="1:33" s="1786" customFormat="1" ht="18" customHeight="1">
      <c r="A17" s="1452" t="s">
        <v>1412</v>
      </c>
      <c r="B17" s="750" t="s">
        <v>601</v>
      </c>
      <c r="C17" s="51" t="e">
        <f ca="1">ROUND(F17*(F43+INDIRECT("'数据-取费表'!S"&amp;$G$1))/10000,0)</f>
        <v>#N/A</v>
      </c>
      <c r="D17" s="750" t="s">
        <v>1280</v>
      </c>
      <c r="E17" s="750" t="s">
        <v>1281</v>
      </c>
      <c r="F17" s="54">
        <f>'数据-取费表'!B35</f>
        <v>200</v>
      </c>
      <c r="G17" s="2998"/>
      <c r="H17" s="1453" t="s">
        <v>1359</v>
      </c>
      <c r="I17" s="750"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1275</v>
      </c>
      <c r="E18" s="750" t="s">
        <v>1276</v>
      </c>
      <c r="F18" s="775">
        <f>'数据-取费表'!B36</f>
        <v>1.4999999999999999E-2</v>
      </c>
      <c r="G18" s="2998"/>
      <c r="H18" s="1452" t="s">
        <v>1409</v>
      </c>
      <c r="I18" s="750" t="s">
        <v>1284</v>
      </c>
      <c r="J18" s="51" t="e">
        <f ca="1">ROUND(J6*M18/(1+'数据-取费表'!C42),2)</f>
        <v>#N/A</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1359</v>
      </c>
      <c r="B19" s="750" t="s">
        <v>610</v>
      </c>
      <c r="C19" s="51" t="e">
        <f ca="1">SUM(C14:C18)</f>
        <v>#N/A</v>
      </c>
      <c r="D19" s="252" t="s">
        <v>1286</v>
      </c>
      <c r="E19" s="1735"/>
      <c r="F19" s="54"/>
      <c r="G19" s="1784"/>
      <c r="H19" s="1452" t="s">
        <v>1410</v>
      </c>
      <c r="I19" s="750" t="s">
        <v>1287</v>
      </c>
      <c r="J19" s="51" t="e">
        <f ca="1">IF(K19="按租金收入计税",ROUND(J6*M19/(1+'数据-取费表'!C42),1),ROUND(C29*F33*0.7,2))</f>
        <v>#N/A</v>
      </c>
      <c r="K19" s="776" t="s">
        <v>3244</v>
      </c>
      <c r="L19" s="750" t="s">
        <v>1276</v>
      </c>
      <c r="M19" s="775">
        <f>IF(K19="按租金收入计税",'数据-取费表'!B51,'数据-取费表'!B50)</f>
        <v>0.12</v>
      </c>
    </row>
    <row r="20" spans="1:33" s="1786" customFormat="1" ht="18" customHeight="1">
      <c r="A20" s="1453" t="s">
        <v>1414</v>
      </c>
      <c r="B20" s="750" t="s">
        <v>613</v>
      </c>
      <c r="C20" s="51" t="e">
        <f ca="1">ROUND(C19*F20,0)</f>
        <v>#N/A</v>
      </c>
      <c r="D20" s="777" t="s">
        <v>1288</v>
      </c>
      <c r="E20" s="750" t="s">
        <v>1276</v>
      </c>
      <c r="F20" s="775">
        <f>'数据-取费表'!B37</f>
        <v>0.02</v>
      </c>
      <c r="G20" s="2998"/>
      <c r="H20" s="1455" t="s">
        <v>1405</v>
      </c>
      <c r="I20" s="332" t="s">
        <v>1289</v>
      </c>
      <c r="J20" s="52" t="e">
        <f ca="1">ROUND(M20*M21/10000,2)</f>
        <v>#N/A</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1292</v>
      </c>
      <c r="C21" s="51" t="s">
        <v>1293</v>
      </c>
      <c r="D21" s="777" t="s">
        <v>1654</v>
      </c>
      <c r="E21" s="750" t="s">
        <v>1294</v>
      </c>
      <c r="F21" s="775">
        <f>'数据-取费表'!B38</f>
        <v>0.02</v>
      </c>
      <c r="G21" s="2998"/>
      <c r="H21" s="2151"/>
      <c r="I21" s="759"/>
      <c r="J21" s="67"/>
      <c r="K21" s="781"/>
      <c r="L21" s="750" t="s">
        <v>1295</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1296</v>
      </c>
      <c r="C22" s="51"/>
      <c r="D22" s="2186" t="str">
        <f>IF(F23&lt;=1,"单利计息。","复利计息。")&amp;"建造成本、管理费用、销售费用产生的利息。"</f>
        <v>复利计息。建造成本、管理费用、销售费用产生的利息。</v>
      </c>
      <c r="E22" s="1735"/>
      <c r="F22" s="54"/>
      <c r="G22" s="1784"/>
      <c r="H22" s="1453" t="s">
        <v>1414</v>
      </c>
      <c r="I22" s="750" t="s">
        <v>1297</v>
      </c>
      <c r="J22" s="51" t="e">
        <f ca="1">ROUND(J14*M22,2)</f>
        <v>#N/A</v>
      </c>
      <c r="K22" s="2129" t="s">
        <v>1298</v>
      </c>
      <c r="L22" s="750" t="s">
        <v>1276</v>
      </c>
      <c r="M22" s="782" t="e">
        <f ca="1">INDIRECT("'数据-取费表'!Ak"&amp;$G$1)</f>
        <v>#N/A</v>
      </c>
    </row>
    <row r="23" spans="1:33" s="1786" customFormat="1" ht="18" customHeight="1">
      <c r="A23" s="1452" t="s">
        <v>1360</v>
      </c>
      <c r="B23" s="750" t="s">
        <v>1817</v>
      </c>
      <c r="C23" s="51" t="e">
        <f ca="1">ROUND(IF('数据-取费表'!B22&lt;=1,(C19+C20)*F24*F23/2,(C19+C20)*(POWER((1+F24),F23/2)-1)),0)</f>
        <v>#N/A</v>
      </c>
      <c r="D23" s="2185" t="str">
        <f>IF(F23&lt;=1,"(建造成本+管理费用)×利率×(建设周期÷2)","(建造成本+管理费用)×((1+利率)^(建设周期÷2)-1)")</f>
        <v>(建造成本+管理费用)×((1+利率)^(建设周期÷2)-1)</v>
      </c>
      <c r="E23" s="750" t="s">
        <v>1299</v>
      </c>
      <c r="F23" s="608">
        <f>'数据-取费表'!B20</f>
        <v>2</v>
      </c>
      <c r="G23" s="2998"/>
      <c r="H23" s="1453" t="s">
        <v>1415</v>
      </c>
      <c r="I23" s="750" t="s">
        <v>626</v>
      </c>
      <c r="J23" s="51" t="e">
        <f ca="1">ROUND(J13*M23,2)</f>
        <v>#N/A</v>
      </c>
      <c r="K23" s="2129" t="s">
        <v>1300</v>
      </c>
      <c r="L23" s="750" t="s">
        <v>1276</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1301</v>
      </c>
      <c r="C24" s="51">
        <f ca="1">ROUND(IF('数据-取费表'!B22&lt;=1,F21*F24*F23/2,F21*(POWER((1+F24),F23/2)-1)),4)</f>
        <v>6.9999999999999999E-4</v>
      </c>
      <c r="D24" s="2185" t="str">
        <f>IF(F23&lt;=1,"销售费用×利率×(建设周期÷2)","销售费用×((1+利率)^(建设周期÷2)-1)")</f>
        <v>销售费用×((1+利率)^(建设周期÷2)-1)</v>
      </c>
      <c r="E24" s="750" t="s">
        <v>1302</v>
      </c>
      <c r="F24" s="784">
        <f ca="1">'数据-取费表'!B40</f>
        <v>3.4500000000000003E-2</v>
      </c>
      <c r="G24" s="2998"/>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1304</v>
      </c>
      <c r="E25" s="1735"/>
      <c r="F25" s="54"/>
      <c r="G25" s="1784"/>
      <c r="H25" s="1614" t="s">
        <v>1305</v>
      </c>
      <c r="I25" s="2482" t="s">
        <v>2098</v>
      </c>
      <c r="J25" s="758" t="e">
        <f ca="1">J5-J16</f>
        <v>#N/A</v>
      </c>
      <c r="K25" s="2164" t="s">
        <v>1306</v>
      </c>
      <c r="L25" s="2165"/>
      <c r="M25" s="2166"/>
    </row>
    <row r="26" spans="1:33" ht="18" customHeight="1">
      <c r="A26" s="1452" t="s">
        <v>1360</v>
      </c>
      <c r="B26" s="750" t="s">
        <v>1784</v>
      </c>
      <c r="C26" s="51" t="e">
        <f ca="1">ROUND((C19+C20)*F26,0)</f>
        <v>#N/A</v>
      </c>
      <c r="D26" s="777" t="s">
        <v>1307</v>
      </c>
      <c r="E26" s="761" t="s">
        <v>1308</v>
      </c>
      <c r="F26" s="760" t="e">
        <f ca="1">INDIRECT("'数据-取费表'!q"&amp;$G$1)</f>
        <v>#N/A</v>
      </c>
      <c r="G26" s="1784"/>
      <c r="H26" s="2147" t="s">
        <v>1309</v>
      </c>
      <c r="I26" s="1949" t="s">
        <v>2103</v>
      </c>
      <c r="J26" s="749" t="e">
        <f ca="1">IF(J5&lt;&gt;0,ROUND(J25*(1-((1+M28)/(1+M26))^M27)/(M26-M28),0),0)</f>
        <v>#N/A</v>
      </c>
      <c r="K26" s="779" t="s">
        <v>1310</v>
      </c>
      <c r="L26" s="750" t="s">
        <v>1772</v>
      </c>
      <c r="M26" s="760" t="e">
        <f ca="1">INDIRECT("'数据-取费表'!I"&amp;$G$1)</f>
        <v>#N/A</v>
      </c>
    </row>
    <row r="27" spans="1:33" ht="18" customHeight="1">
      <c r="A27" s="1452" t="s">
        <v>1361</v>
      </c>
      <c r="B27" s="750" t="s">
        <v>633</v>
      </c>
      <c r="C27" s="51" t="e">
        <f ca="1">ROUND(F21*F26,4)</f>
        <v>#N/A</v>
      </c>
      <c r="D27" s="777" t="s">
        <v>1311</v>
      </c>
      <c r="E27" s="772"/>
      <c r="F27" s="773"/>
      <c r="G27" s="1784"/>
      <c r="H27" s="2148"/>
      <c r="I27" s="753"/>
      <c r="J27" s="754"/>
      <c r="K27" s="786" t="s">
        <v>1312</v>
      </c>
      <c r="L27" s="750" t="s">
        <v>1313</v>
      </c>
      <c r="M27" s="787" t="e">
        <f ca="1">INDIRECT("'数据-取费表'!ag"&amp;$G$1)</f>
        <v>#N/A</v>
      </c>
    </row>
    <row r="28" spans="1:33" s="1786" customFormat="1" ht="18" customHeight="1">
      <c r="A28" s="1454" t="s">
        <v>1370</v>
      </c>
      <c r="B28" s="750" t="s">
        <v>634</v>
      </c>
      <c r="C28" s="51">
        <f>ROUND(F28/(1+'数据-取费表'!C42),4)</f>
        <v>5.2400000000000002E-2</v>
      </c>
      <c r="D28" s="777" t="s">
        <v>1655</v>
      </c>
      <c r="E28" s="750" t="s">
        <v>1314</v>
      </c>
      <c r="F28" s="775">
        <f>'数据-取费表'!B41</f>
        <v>5.5000000000000007E-2</v>
      </c>
      <c r="G28" s="2998"/>
      <c r="H28" s="1614"/>
      <c r="I28" s="757"/>
      <c r="J28" s="758"/>
      <c r="K28" s="781"/>
      <c r="L28" s="750" t="s">
        <v>1315</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1318</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t="e">
        <f ca="1">ROUND(C31+C36+C37+C38,0)</f>
        <v>#N/A</v>
      </c>
      <c r="D30" s="1606" t="s">
        <v>1320</v>
      </c>
      <c r="E30" s="2131"/>
      <c r="F30" s="2136"/>
      <c r="G30" s="1784"/>
      <c r="H30" s="1787"/>
      <c r="I30" s="1788"/>
      <c r="J30" s="1789"/>
      <c r="K30" s="1790"/>
      <c r="L30" s="1791"/>
      <c r="M30" s="1792"/>
    </row>
    <row r="31" spans="1:33" ht="18" customHeight="1">
      <c r="A31" s="1453" t="s">
        <v>1359</v>
      </c>
      <c r="B31" s="750"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5" t="s">
        <v>2278</v>
      </c>
      <c r="I31" s="1788"/>
      <c r="J31" s="1789"/>
      <c r="K31" s="1790"/>
      <c r="L31" s="1791"/>
      <c r="M31" s="1792"/>
    </row>
    <row r="32" spans="1:33" ht="18" customHeight="1">
      <c r="A32" s="1452" t="s">
        <v>1360</v>
      </c>
      <c r="B32" s="750" t="s">
        <v>1323</v>
      </c>
      <c r="C32" s="51" t="e">
        <f ca="1">ROUND(C6*F32/(1+'数据-取费表'!C42),2)</f>
        <v>#N/A</v>
      </c>
      <c r="D32" s="1730" t="s">
        <v>1324</v>
      </c>
      <c r="E32" s="750" t="s">
        <v>1325</v>
      </c>
      <c r="F32" s="775">
        <f>'数据-取费表'!B41</f>
        <v>5.5000000000000007E-2</v>
      </c>
      <c r="G32" s="1784"/>
      <c r="H32" s="1793"/>
      <c r="I32" s="1794"/>
      <c r="J32" s="1795"/>
      <c r="K32" s="1796"/>
      <c r="L32" s="1797"/>
      <c r="M32" s="1798"/>
    </row>
    <row r="33" spans="1:18" ht="18" customHeight="1">
      <c r="A33" s="1452" t="s">
        <v>1361</v>
      </c>
      <c r="B33" s="750" t="s">
        <v>1326</v>
      </c>
      <c r="C33" s="51" t="e">
        <f ca="1">IF(D33="按租金收入计税",ROUND(C6*F33/(1+'数据-取费表'!C42),2),IF(D33="按房产原值计税",ROUND(C29*F33*0.7,2),INDIRECT("'数据-取费表'!Aj"&amp;$G$1)))</f>
        <v>#N/A</v>
      </c>
      <c r="D33" s="776" t="s">
        <v>3244</v>
      </c>
      <c r="E33" s="750" t="s">
        <v>1325</v>
      </c>
      <c r="F33" s="775">
        <f>IF(D33="按租金收入计税",'数据-取费表'!B51,'数据-取费表'!B50)</f>
        <v>0.12</v>
      </c>
      <c r="G33" s="1784"/>
      <c r="H33" s="1799"/>
      <c r="I33" s="1799"/>
      <c r="J33" s="1799"/>
      <c r="K33" s="1800"/>
      <c r="L33" s="1799"/>
      <c r="M33" s="1799"/>
    </row>
    <row r="34" spans="1:18" ht="18" customHeight="1">
      <c r="A34" s="1455" t="s">
        <v>1362</v>
      </c>
      <c r="B34" s="332" t="s">
        <v>1327</v>
      </c>
      <c r="C34" s="52" t="e">
        <f ca="1">ROUND(F34*F35/10000,2)</f>
        <v>#N/A</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t="e">
        <f ca="1">INDIRECT("'数据-取费表'!r"&amp;$G$1)</f>
        <v>#N/A</v>
      </c>
      <c r="G35" s="1784"/>
      <c r="H35" s="1787"/>
      <c r="I35" s="802" t="s">
        <v>1343</v>
      </c>
      <c r="J35" s="803" t="e">
        <f ca="1">ROUND(C13*J36,0)</f>
        <v>#N/A</v>
      </c>
      <c r="K35" s="1800"/>
      <c r="L35" s="1799"/>
      <c r="M35" s="1799"/>
    </row>
    <row r="36" spans="1:18" ht="18" customHeight="1">
      <c r="A36" s="1453" t="s">
        <v>1414</v>
      </c>
      <c r="B36" s="750" t="s">
        <v>1331</v>
      </c>
      <c r="C36" s="51" t="e">
        <f ca="1">ROUND(C29*F36,2)</f>
        <v>#N/A</v>
      </c>
      <c r="D36" s="1730" t="s">
        <v>1332</v>
      </c>
      <c r="E36" s="750" t="s">
        <v>1325</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1730" t="s">
        <v>1333</v>
      </c>
      <c r="E37" s="750" t="s">
        <v>1325</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8" t="s">
        <v>1346</v>
      </c>
      <c r="J38" s="809"/>
      <c r="K38" s="1804"/>
      <c r="L38" s="1799"/>
      <c r="M38" s="1799"/>
    </row>
    <row r="39" spans="1:18" ht="24.6" customHeight="1" thickTop="1">
      <c r="A39" s="1614" t="s">
        <v>1419</v>
      </c>
      <c r="B39" s="2482" t="s">
        <v>2098</v>
      </c>
      <c r="C39" s="758" t="e">
        <f ca="1">C5-C30</f>
        <v>#N/A</v>
      </c>
      <c r="D39" s="2164" t="s">
        <v>1335</v>
      </c>
      <c r="E39" s="2165"/>
      <c r="F39" s="2166"/>
      <c r="G39" s="1784"/>
      <c r="H39" s="1799"/>
      <c r="I39" s="802" t="s">
        <v>1347</v>
      </c>
      <c r="J39" s="810" t="e">
        <f ca="1">ROUND(J35/C39,3)</f>
        <v>#N/A</v>
      </c>
      <c r="K39" s="1804"/>
      <c r="L39" s="1799"/>
      <c r="M39" s="1799"/>
    </row>
    <row r="40" spans="1:18" ht="18" customHeight="1">
      <c r="A40" s="747" t="s">
        <v>1420</v>
      </c>
      <c r="B40" s="1949" t="s">
        <v>1657</v>
      </c>
      <c r="C40" s="749" t="e">
        <f ca="1">ROUND(C39*(1-((1+F42)/(1+F40))^F41)/(F40-F42),0)</f>
        <v>#N/A</v>
      </c>
      <c r="D40" s="779" t="s">
        <v>1336</v>
      </c>
      <c r="E40" s="750" t="s">
        <v>1772</v>
      </c>
      <c r="F40" s="760" t="e">
        <f ca="1">INDIRECT("'数据-取费表'!I"&amp;$G$1)</f>
        <v>#N/A</v>
      </c>
      <c r="G40" s="1784"/>
      <c r="H40" s="1784"/>
      <c r="I40" s="802" t="s">
        <v>1348</v>
      </c>
      <c r="J40" s="810" t="e">
        <f ca="1">1-J39</f>
        <v>#N/A</v>
      </c>
      <c r="K40" s="1804"/>
      <c r="L40" s="1784"/>
      <c r="M40" s="1784"/>
    </row>
    <row r="41" spans="1:18" ht="18" customHeight="1">
      <c r="A41" s="752"/>
      <c r="B41" s="753"/>
      <c r="C41" s="754"/>
      <c r="D41" s="786" t="s">
        <v>1337</v>
      </c>
      <c r="E41" s="750" t="s">
        <v>2218</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1338</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3298</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1819</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1268</v>
      </c>
      <c r="F49" s="751" t="e">
        <f ca="1">F7</f>
        <v>#N/A</v>
      </c>
      <c r="G49" s="1811"/>
      <c r="H49" s="1814"/>
      <c r="I49" s="2551" t="s">
        <v>1699</v>
      </c>
      <c r="J49" s="2073">
        <v>2025</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1269</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62</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2227</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3999" t="s">
        <v>2220</v>
      </c>
      <c r="L53" s="4000"/>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1658</v>
      </c>
      <c r="C56" s="51" t="e">
        <f ca="1">C29</f>
        <v>#N/A</v>
      </c>
      <c r="D56" s="2243"/>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1279</v>
      </c>
      <c r="E57" s="2244"/>
      <c r="F57" s="54"/>
      <c r="I57" s="2571" t="s">
        <v>1711</v>
      </c>
      <c r="J57" s="2572" t="e">
        <f ca="1">IF(OR(M47="住宅",J51&lt;L48,J56="是"),"——",J51-L48)</f>
        <v>#N/A</v>
      </c>
      <c r="K57" s="2551" t="s">
        <v>1716</v>
      </c>
      <c r="L57" s="1662" t="e">
        <f ca="1">IF(L48&lt;J51,"——",IF(L55="比较法",L49,IF(L55="基准地价",L50,L51)))</f>
        <v>#N/A</v>
      </c>
      <c r="M57" s="3000"/>
      <c r="O57" s="2088" t="s">
        <v>1732</v>
      </c>
      <c r="P57" s="2089" t="s">
        <v>1762</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2242" t="s">
        <v>605</v>
      </c>
      <c r="E58" s="2243"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2243" t="s">
        <v>1285</v>
      </c>
      <c r="E59" s="750" t="s">
        <v>1276</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1287</v>
      </c>
      <c r="C60" s="51" t="e">
        <f ca="1">IF(D60="按租金收入计税",ROUND(C48*F60/(1+'数据-取费表'!C42),2),IF(D60="按房产原值计税",ROUND(C56*F60*0.7,2),INDIRECT("'数据-取费表'!Aj"&amp;$G$1)))</f>
        <v>#N/A</v>
      </c>
      <c r="D60" s="2243" t="str">
        <f>D33</f>
        <v>按租金收入计税</v>
      </c>
      <c r="E60" s="750" t="s">
        <v>1276</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5.75"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5.75" thickBot="1">
      <c r="A63" s="1453" t="s">
        <v>1414</v>
      </c>
      <c r="B63" s="750" t="s">
        <v>623</v>
      </c>
      <c r="C63" s="51" t="e">
        <f ca="1">ROUND(C56*F63,2)</f>
        <v>#N/A</v>
      </c>
      <c r="D63" s="2243" t="s">
        <v>1332</v>
      </c>
      <c r="E63" s="750" t="s">
        <v>1276</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5" thickBot="1">
      <c r="A64" s="1453" t="s">
        <v>1415</v>
      </c>
      <c r="B64" s="750" t="s">
        <v>626</v>
      </c>
      <c r="C64" s="51" t="e">
        <f ca="1">ROUND(C55*F64,2)</f>
        <v>#N/A</v>
      </c>
      <c r="D64" s="2243" t="s">
        <v>627</v>
      </c>
      <c r="E64" s="750" t="s">
        <v>1276</v>
      </c>
      <c r="F64" s="783" t="e">
        <f t="shared" ca="1" si="0"/>
        <v>#N/A</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t="e">
        <f ca="1">ROUND(C47*F65,2)</f>
        <v>#N/A</v>
      </c>
      <c r="D65" s="2243" t="s">
        <v>630</v>
      </c>
      <c r="E65" s="750" t="s">
        <v>1276</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t="e">
        <f ca="1">C47-C57</f>
        <v>#N/A</v>
      </c>
      <c r="D66" s="2242" t="s">
        <v>647</v>
      </c>
      <c r="E66" s="2241"/>
      <c r="F66" s="785"/>
      <c r="K66" s="1807"/>
      <c r="O66" s="2088" t="s">
        <v>1732</v>
      </c>
      <c r="P66" s="2089" t="s">
        <v>1762</v>
      </c>
      <c r="Q66" s="2090" t="e">
        <f ca="1">C40+J29</f>
        <v>#N/A</v>
      </c>
      <c r="R66" s="2089" t="s">
        <v>1733</v>
      </c>
    </row>
    <row r="67" spans="1:18" s="1781" customFormat="1" ht="20.25"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1.75" thickBot="1">
      <c r="A68" s="752"/>
      <c r="B68" s="753"/>
      <c r="C68" s="754"/>
      <c r="D68" s="786" t="s">
        <v>1337</v>
      </c>
      <c r="E68" s="750" t="s">
        <v>1313</v>
      </c>
      <c r="F68" s="787" t="e">
        <f ca="1">F41</f>
        <v>#N/A</v>
      </c>
      <c r="O68" s="2091" t="s">
        <v>1736</v>
      </c>
      <c r="P68" s="2089" t="s">
        <v>1766</v>
      </c>
      <c r="Q68" s="2095" t="e">
        <f ca="1">L51</f>
        <v>#N/A</v>
      </c>
      <c r="R68" s="2096" t="s">
        <v>1769</v>
      </c>
    </row>
    <row r="69" spans="1:18" ht="20.25" thickBot="1">
      <c r="A69" s="756"/>
      <c r="B69" s="757"/>
      <c r="C69" s="758"/>
      <c r="D69" s="781"/>
      <c r="E69" s="750" t="s">
        <v>657</v>
      </c>
      <c r="F69" s="2063"/>
      <c r="O69" s="2091" t="s">
        <v>1737</v>
      </c>
      <c r="P69" s="2097" t="s">
        <v>1751</v>
      </c>
      <c r="Q69" s="2090" t="e">
        <f ca="1">ROUND(Q70-Q71*Q72,0)</f>
        <v>#N/A</v>
      </c>
      <c r="R69" s="2093"/>
    </row>
    <row r="70" spans="1:18" ht="15.75"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5.75" thickBot="1">
      <c r="O71" s="2091" t="s">
        <v>1754</v>
      </c>
      <c r="P71" s="2097" t="s">
        <v>1755</v>
      </c>
      <c r="Q71" s="2090" t="e">
        <f ca="1">C13</f>
        <v>#N/A</v>
      </c>
      <c r="R71" s="2089" t="s">
        <v>1733</v>
      </c>
    </row>
    <row r="72" spans="1:18" ht="15.75" thickBot="1">
      <c r="O72" s="2091" t="s">
        <v>1756</v>
      </c>
      <c r="P72" s="2097" t="s">
        <v>1757</v>
      </c>
      <c r="Q72" s="2092" t="e">
        <f ca="1">J36</f>
        <v>#N/A</v>
      </c>
      <c r="R72" s="2093"/>
    </row>
    <row r="73" spans="1:18" ht="15.75" thickBot="1">
      <c r="O73" s="2091" t="s">
        <v>1739</v>
      </c>
      <c r="P73" s="2089" t="s">
        <v>1746</v>
      </c>
      <c r="Q73" s="2092">
        <f>L52</f>
        <v>0</v>
      </c>
      <c r="R73" s="2093"/>
    </row>
    <row r="74" spans="1:18" ht="20.25" thickBot="1">
      <c r="O74" s="2091" t="s">
        <v>1741</v>
      </c>
      <c r="P74" s="2089" t="s">
        <v>1747</v>
      </c>
      <c r="Q74" s="2090" t="e">
        <f ca="1">L58</f>
        <v>#N/A</v>
      </c>
      <c r="R74" s="2093" t="s">
        <v>1748</v>
      </c>
    </row>
    <row r="75" spans="1:18" ht="15.75" thickBot="1">
      <c r="O75" s="2091" t="s">
        <v>1770</v>
      </c>
      <c r="P75" s="2089" t="str">
        <f>K59</f>
        <v>建设期及建筑物耐用年限下的土地年期修正系数Kn</v>
      </c>
      <c r="Q75" s="2090" t="e">
        <f ca="1">L59</f>
        <v>#N/A</v>
      </c>
      <c r="R75" s="2093" t="s">
        <v>1750</v>
      </c>
    </row>
    <row r="76" spans="1:18" ht="15.75" thickBot="1">
      <c r="O76" s="2088" t="s">
        <v>1744</v>
      </c>
      <c r="P76" s="2089" t="s">
        <v>1761</v>
      </c>
      <c r="Q76" s="2090" t="e">
        <f ca="1">Q66+Q67</f>
        <v>#N/A</v>
      </c>
      <c r="R76" s="2093"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Normal="100" workbookViewId="0">
      <selection activeCell="C40" sqref="C40"/>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2438</v>
      </c>
      <c r="B1" s="3054"/>
      <c r="C1" s="3067"/>
      <c r="D1" s="3067"/>
      <c r="E1" s="3055"/>
      <c r="F1" s="3056"/>
      <c r="G1" s="3057"/>
      <c r="J1" s="3060" t="s">
        <v>2295</v>
      </c>
      <c r="K1" s="3061"/>
      <c r="L1" s="3061"/>
      <c r="M1" s="3061"/>
      <c r="N1" s="3061"/>
      <c r="O1" s="3061"/>
      <c r="P1" s="3061"/>
      <c r="Q1" s="3061"/>
      <c r="R1" s="3062"/>
      <c r="S1" s="3063"/>
      <c r="T1" s="3063"/>
      <c r="U1" s="3063"/>
    </row>
    <row r="2" spans="1:22" s="3076" customFormat="1" ht="13.15" customHeight="1">
      <c r="A2" s="3065" t="s">
        <v>2296</v>
      </c>
      <c r="B2" s="3066">
        <f ca="1">C40</f>
        <v>38705</v>
      </c>
      <c r="C2" s="3067" t="s">
        <v>2297</v>
      </c>
      <c r="D2" s="3067"/>
      <c r="E2" s="3068"/>
      <c r="F2" s="3069"/>
      <c r="G2" s="3070"/>
      <c r="H2" s="3071"/>
      <c r="I2" s="3072"/>
      <c r="J2" s="4007" t="s">
        <v>2298</v>
      </c>
      <c r="K2" s="4008"/>
      <c r="L2" s="3073" t="s">
        <v>2299</v>
      </c>
      <c r="M2" s="3073" t="s">
        <v>2300</v>
      </c>
      <c r="N2" s="3073" t="s">
        <v>2301</v>
      </c>
      <c r="O2" s="3073" t="s">
        <v>2302</v>
      </c>
      <c r="P2" s="3073" t="s">
        <v>2303</v>
      </c>
      <c r="Q2" s="3074" t="s">
        <v>2304</v>
      </c>
      <c r="R2" s="3075" t="s">
        <v>2305</v>
      </c>
      <c r="S2" s="3063"/>
      <c r="T2" s="3063"/>
      <c r="U2" s="3063"/>
      <c r="V2" s="3072"/>
    </row>
    <row r="3" spans="1:22" s="3076" customFormat="1" ht="13.15" customHeight="1">
      <c r="A3" s="3077" t="s">
        <v>2306</v>
      </c>
      <c r="B3" s="3078" t="e">
        <f ca="1">ROUND(B2*10000/B4,0)</f>
        <v>#DIV/0!</v>
      </c>
      <c r="C3" s="3067" t="s">
        <v>2307</v>
      </c>
      <c r="D3" s="3067"/>
      <c r="E3" s="3068"/>
      <c r="F3" s="3069"/>
      <c r="G3" s="3070"/>
      <c r="H3" s="3071"/>
      <c r="I3" s="3072"/>
      <c r="J3" s="4009" t="s">
        <v>2308</v>
      </c>
      <c r="K3" s="4010"/>
      <c r="L3" s="3079"/>
      <c r="M3" s="3079"/>
      <c r="N3" s="3079"/>
      <c r="O3" s="3079"/>
      <c r="P3" s="3079"/>
      <c r="Q3" s="3080"/>
      <c r="R3" s="3081">
        <f>SUM(L3:Q3)</f>
        <v>0</v>
      </c>
      <c r="S3" s="3063"/>
      <c r="T3" s="3063"/>
      <c r="U3" s="3063"/>
      <c r="V3" s="3072"/>
    </row>
    <row r="4" spans="1:22" s="3076" customFormat="1" ht="13.15" customHeight="1">
      <c r="A4" s="3082" t="s">
        <v>2309</v>
      </c>
      <c r="B4" s="3083"/>
      <c r="C4" s="3067"/>
      <c r="D4" s="3067"/>
      <c r="E4" s="3068"/>
      <c r="F4" s="3069"/>
      <c r="G4" s="3070"/>
      <c r="H4" s="3071"/>
      <c r="I4" s="3072"/>
      <c r="J4" s="4009" t="s">
        <v>2310</v>
      </c>
      <c r="K4" s="4010"/>
      <c r="L4" s="3084"/>
      <c r="M4" s="3084"/>
      <c r="N4" s="3084"/>
      <c r="O4" s="3084"/>
      <c r="P4" s="3084"/>
      <c r="Q4" s="3085"/>
      <c r="R4" s="3086">
        <f>SUM(L4:Q4)</f>
        <v>0</v>
      </c>
      <c r="S4" s="3063"/>
      <c r="T4" s="3063"/>
      <c r="U4" s="3063"/>
      <c r="V4" s="3072"/>
    </row>
    <row r="5" spans="1:22" s="3076" customFormat="1" ht="13.15" customHeight="1" thickBot="1">
      <c r="A5" s="3087" t="s">
        <v>2311</v>
      </c>
      <c r="B5" s="3088"/>
      <c r="C5" s="3067"/>
      <c r="D5" s="3089"/>
      <c r="E5" s="3069"/>
      <c r="F5" s="3069"/>
      <c r="G5" s="3070"/>
      <c r="H5" s="3071"/>
      <c r="I5" s="3072"/>
      <c r="J5" s="3090" t="s">
        <v>2312</v>
      </c>
      <c r="K5" s="3091"/>
      <c r="L5" s="3091"/>
      <c r="M5" s="3092"/>
      <c r="N5" s="3092"/>
      <c r="O5" s="3092"/>
      <c r="P5" s="3092"/>
      <c r="Q5" s="3092"/>
      <c r="R5" s="3075">
        <f>SUM(R14,R19,R24,R25,R27,R28)</f>
        <v>3281</v>
      </c>
      <c r="S5" s="3063"/>
      <c r="T5" s="3063" t="s">
        <v>2313</v>
      </c>
      <c r="U5" s="3063" t="e">
        <f>ROUND(R5*10000/365/R3,1)</f>
        <v>#DIV/0!</v>
      </c>
      <c r="V5" s="3072"/>
    </row>
    <row r="6" spans="1:22" s="3076" customFormat="1" ht="13.15" customHeight="1" thickBot="1">
      <c r="A6" s="4015" t="s">
        <v>2314</v>
      </c>
      <c r="B6" s="4016"/>
      <c r="C6" s="4017"/>
      <c r="D6" s="3093">
        <f>R27</f>
        <v>3281</v>
      </c>
      <c r="E6" s="3094"/>
      <c r="F6" s="3095"/>
      <c r="G6" s="3096"/>
      <c r="H6" s="3071"/>
      <c r="I6" s="3072"/>
      <c r="J6" s="4001">
        <v>1</v>
      </c>
      <c r="K6" s="4002" t="s">
        <v>2315</v>
      </c>
      <c r="L6" s="3097" t="s">
        <v>2316</v>
      </c>
      <c r="M6" s="3098" t="s">
        <v>2317</v>
      </c>
      <c r="N6" s="3098" t="s">
        <v>2318</v>
      </c>
      <c r="O6" s="3098" t="s">
        <v>2319</v>
      </c>
      <c r="P6" s="3098" t="s">
        <v>2320</v>
      </c>
      <c r="Q6" s="3098" t="s">
        <v>2321</v>
      </c>
      <c r="R6" s="3081" t="s">
        <v>2322</v>
      </c>
      <c r="S6" s="3063"/>
      <c r="T6" s="3063" t="s">
        <v>2323</v>
      </c>
      <c r="U6" s="3063"/>
      <c r="V6" s="3072"/>
    </row>
    <row r="7" spans="1:22" s="3076" customFormat="1" ht="13.15" customHeight="1">
      <c r="A7" s="3099" t="s">
        <v>2324</v>
      </c>
      <c r="B7" s="3100"/>
      <c r="C7" s="3101"/>
      <c r="D7" s="3102">
        <f ca="1">SUM(D9,D10,D11,D17,0)</f>
        <v>1130</v>
      </c>
      <c r="E7" s="3103">
        <f ca="1">E9+E10+E11+E17</f>
        <v>0.34459920755867113</v>
      </c>
      <c r="F7" s="3104"/>
      <c r="G7" s="3105"/>
      <c r="H7" s="3071"/>
      <c r="I7" s="3072"/>
      <c r="J7" s="4001"/>
      <c r="K7" s="4003"/>
      <c r="L7" s="3106" t="s">
        <v>2325</v>
      </c>
      <c r="M7" s="3107"/>
      <c r="N7" s="3083"/>
      <c r="O7" s="3108"/>
      <c r="P7" s="3108"/>
      <c r="Q7" s="3109">
        <v>365</v>
      </c>
      <c r="R7" s="3110">
        <f>ROUND(M7*N7*O7*P7*Q7/10000,0)</f>
        <v>0</v>
      </c>
      <c r="S7" s="3063"/>
      <c r="T7" s="3063" t="s">
        <v>2326</v>
      </c>
      <c r="U7" s="3063"/>
      <c r="V7" s="3072"/>
    </row>
    <row r="8" spans="1:22" s="3076" customFormat="1" ht="13.15" customHeight="1">
      <c r="A8" s="3111" t="s">
        <v>2327</v>
      </c>
      <c r="B8" s="4018" t="s">
        <v>2328</v>
      </c>
      <c r="C8" s="4019"/>
      <c r="D8" s="3112" t="s">
        <v>2329</v>
      </c>
      <c r="E8" s="3113" t="s">
        <v>2330</v>
      </c>
      <c r="F8" s="3114" t="s">
        <v>2331</v>
      </c>
      <c r="G8" s="3115"/>
      <c r="H8" s="3071"/>
      <c r="I8" s="3072"/>
      <c r="J8" s="4001"/>
      <c r="K8" s="4003"/>
      <c r="L8" s="3106" t="s">
        <v>2332</v>
      </c>
      <c r="M8" s="3107"/>
      <c r="N8" s="3083"/>
      <c r="O8" s="3108"/>
      <c r="P8" s="3108"/>
      <c r="Q8" s="3109">
        <v>365</v>
      </c>
      <c r="R8" s="3110">
        <f t="shared" ref="R8:R13" si="0">ROUND(M8*N8*O8*P8*Q8/10000,0)</f>
        <v>0</v>
      </c>
      <c r="S8" s="3063"/>
      <c r="T8" s="3063" t="s">
        <v>2333</v>
      </c>
      <c r="U8" s="3063"/>
      <c r="V8" s="3072"/>
    </row>
    <row r="9" spans="1:22" s="3076" customFormat="1" ht="13.15" customHeight="1">
      <c r="A9" s="3111">
        <v>1</v>
      </c>
      <c r="B9" s="4018" t="s">
        <v>2334</v>
      </c>
      <c r="C9" s="4019"/>
      <c r="D9" s="3112">
        <f>ROUND(D6*E9,0)</f>
        <v>328</v>
      </c>
      <c r="E9" s="3116">
        <v>0.1</v>
      </c>
      <c r="F9" s="3117" t="s">
        <v>2335</v>
      </c>
      <c r="G9" s="3096"/>
      <c r="H9" s="3071"/>
      <c r="I9" s="3072"/>
      <c r="J9" s="4001"/>
      <c r="K9" s="4003"/>
      <c r="L9" s="3106" t="s">
        <v>2336</v>
      </c>
      <c r="M9" s="3107"/>
      <c r="N9" s="3083"/>
      <c r="O9" s="3108"/>
      <c r="P9" s="3108"/>
      <c r="Q9" s="3109">
        <v>365</v>
      </c>
      <c r="R9" s="3110">
        <f t="shared" si="0"/>
        <v>0</v>
      </c>
      <c r="S9" s="3063"/>
      <c r="T9" s="3063"/>
      <c r="U9" s="3063"/>
      <c r="V9" s="3072"/>
    </row>
    <row r="10" spans="1:22" s="3076" customFormat="1" ht="13.15" customHeight="1">
      <c r="A10" s="3111">
        <v>2</v>
      </c>
      <c r="B10" s="4018" t="s">
        <v>2337</v>
      </c>
      <c r="C10" s="4019"/>
      <c r="D10" s="3112">
        <f>ROUND(D6*E10,0)</f>
        <v>328</v>
      </c>
      <c r="E10" s="3116">
        <v>0.1</v>
      </c>
      <c r="F10" s="3117" t="s">
        <v>2338</v>
      </c>
      <c r="G10" s="3096"/>
      <c r="H10" s="3071"/>
      <c r="I10" s="3072"/>
      <c r="J10" s="4001"/>
      <c r="K10" s="4003"/>
      <c r="L10" s="3106" t="s">
        <v>2339</v>
      </c>
      <c r="M10" s="3107"/>
      <c r="N10" s="3083"/>
      <c r="O10" s="3108"/>
      <c r="P10" s="3108"/>
      <c r="Q10" s="3109">
        <v>365</v>
      </c>
      <c r="R10" s="3110">
        <f t="shared" si="0"/>
        <v>0</v>
      </c>
      <c r="S10" s="3063"/>
      <c r="T10" s="3063"/>
      <c r="U10" s="3063"/>
      <c r="V10" s="3072"/>
    </row>
    <row r="11" spans="1:22" s="3076" customFormat="1" ht="13.15" customHeight="1">
      <c r="A11" s="3111">
        <v>3</v>
      </c>
      <c r="B11" s="4018" t="s">
        <v>2340</v>
      </c>
      <c r="C11" s="4019"/>
      <c r="D11" s="3112">
        <f ca="1">D12+D14+D15+D16</f>
        <v>376</v>
      </c>
      <c r="E11" s="3118">
        <f ca="1">D11/D6</f>
        <v>0.11459920755867113</v>
      </c>
      <c r="F11" s="3114"/>
      <c r="G11" s="3115"/>
      <c r="H11" s="3071"/>
      <c r="I11" s="3072"/>
      <c r="J11" s="4001"/>
      <c r="K11" s="4003"/>
      <c r="L11" s="3106" t="s">
        <v>2341</v>
      </c>
      <c r="M11" s="3107"/>
      <c r="N11" s="3083"/>
      <c r="O11" s="3108"/>
      <c r="P11" s="3108"/>
      <c r="Q11" s="3109">
        <v>365</v>
      </c>
      <c r="R11" s="3110">
        <f t="shared" si="0"/>
        <v>0</v>
      </c>
      <c r="S11" s="3063"/>
      <c r="T11" s="3063"/>
      <c r="U11" s="3063"/>
      <c r="V11" s="3072"/>
    </row>
    <row r="12" spans="1:22" s="3076" customFormat="1" ht="13.15" customHeight="1">
      <c r="A12" s="3119" t="s">
        <v>2342</v>
      </c>
      <c r="B12" s="4011" t="s">
        <v>2343</v>
      </c>
      <c r="C12" s="4012"/>
      <c r="D12" s="3120">
        <f ca="1">ROUND(D13*1.2%*(1-30%),0)</f>
        <v>196</v>
      </c>
      <c r="E12" s="3121">
        <v>1.2E-2</v>
      </c>
      <c r="F12" s="3114" t="s">
        <v>2344</v>
      </c>
      <c r="G12" s="3115"/>
      <c r="H12" s="3071"/>
      <c r="I12" s="3072"/>
      <c r="J12" s="4001"/>
      <c r="K12" s="4003"/>
      <c r="L12" s="3106" t="s">
        <v>2345</v>
      </c>
      <c r="M12" s="3107"/>
      <c r="N12" s="3083"/>
      <c r="O12" s="3108"/>
      <c r="P12" s="3108"/>
      <c r="Q12" s="3109">
        <v>365</v>
      </c>
      <c r="R12" s="3110">
        <f t="shared" si="0"/>
        <v>0</v>
      </c>
      <c r="S12" s="3063"/>
      <c r="T12" s="3063"/>
      <c r="U12" s="3063"/>
      <c r="V12" s="3072"/>
    </row>
    <row r="13" spans="1:22" s="3076" customFormat="1" ht="13.15" customHeight="1">
      <c r="A13" s="3119"/>
      <c r="B13" s="3122"/>
      <c r="C13" s="3123" t="s">
        <v>2346</v>
      </c>
      <c r="D13" s="3124">
        <f ca="1">'不动产收益法-商业'!C13</f>
        <v>23378</v>
      </c>
      <c r="E13" s="3125"/>
      <c r="F13" s="3114"/>
      <c r="G13" s="3115"/>
      <c r="H13" s="3071"/>
      <c r="I13" s="3072"/>
      <c r="J13" s="4001"/>
      <c r="K13" s="4003"/>
      <c r="L13" s="3106" t="s">
        <v>2347</v>
      </c>
      <c r="M13" s="3107"/>
      <c r="N13" s="3083"/>
      <c r="O13" s="3108"/>
      <c r="P13" s="3108"/>
      <c r="Q13" s="3109">
        <v>365</v>
      </c>
      <c r="R13" s="3110">
        <f t="shared" si="0"/>
        <v>0</v>
      </c>
      <c r="S13" s="3063"/>
      <c r="T13" s="3063"/>
      <c r="U13" s="3063"/>
      <c r="V13" s="3072"/>
    </row>
    <row r="14" spans="1:22" s="3076" customFormat="1" ht="13.15" customHeight="1">
      <c r="A14" s="3119" t="s">
        <v>2348</v>
      </c>
      <c r="B14" s="4011" t="s">
        <v>2349</v>
      </c>
      <c r="C14" s="4012"/>
      <c r="D14" s="3120">
        <f>ROUND(E14*B5/10000,0)</f>
        <v>0</v>
      </c>
      <c r="E14" s="3109">
        <v>1.5</v>
      </c>
      <c r="F14" s="3114" t="s">
        <v>2350</v>
      </c>
      <c r="G14" s="3115"/>
      <c r="H14" s="3071"/>
      <c r="I14" s="3072"/>
      <c r="J14" s="4001"/>
      <c r="K14" s="4004"/>
      <c r="L14" s="3126" t="s">
        <v>2351</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2352</v>
      </c>
      <c r="B15" s="4011" t="s">
        <v>2353</v>
      </c>
      <c r="C15" s="4012"/>
      <c r="D15" s="3120">
        <f>ROUND(D6*E15,0)</f>
        <v>180</v>
      </c>
      <c r="E15" s="3121">
        <v>5.5E-2</v>
      </c>
      <c r="F15" s="3114" t="s">
        <v>2354</v>
      </c>
      <c r="G15" s="3096"/>
      <c r="H15" s="3071"/>
      <c r="I15" s="3072"/>
      <c r="J15" s="4001">
        <v>2</v>
      </c>
      <c r="K15" s="4002" t="s">
        <v>2355</v>
      </c>
      <c r="L15" s="3106" t="s">
        <v>2356</v>
      </c>
      <c r="M15" s="3107" t="s">
        <v>2357</v>
      </c>
      <c r="N15" s="3107" t="s">
        <v>2358</v>
      </c>
      <c r="O15" s="3108" t="s">
        <v>2359</v>
      </c>
      <c r="P15" s="3108" t="s">
        <v>2360</v>
      </c>
      <c r="Q15" s="3083" t="s">
        <v>2361</v>
      </c>
      <c r="R15" s="3130" t="s">
        <v>2362</v>
      </c>
      <c r="S15" s="3063"/>
      <c r="T15" s="3063"/>
      <c r="U15" s="3063"/>
      <c r="V15" s="3072"/>
    </row>
    <row r="16" spans="1:22" s="3076" customFormat="1" ht="13.15" customHeight="1">
      <c r="A16" s="3119" t="s">
        <v>2363</v>
      </c>
      <c r="B16" s="4011" t="s">
        <v>2364</v>
      </c>
      <c r="C16" s="4012"/>
      <c r="D16" s="3131">
        <f>D6*E16</f>
        <v>0</v>
      </c>
      <c r="E16" s="3132"/>
      <c r="F16" s="3117" t="s">
        <v>2365</v>
      </c>
      <c r="G16" s="3096"/>
      <c r="H16" s="3071"/>
      <c r="I16" s="3072"/>
      <c r="J16" s="4001"/>
      <c r="K16" s="4003"/>
      <c r="L16" s="3106" t="s">
        <v>2366</v>
      </c>
      <c r="M16" s="3107"/>
      <c r="N16" s="3107"/>
      <c r="O16" s="3108"/>
      <c r="P16" s="3109">
        <v>365</v>
      </c>
      <c r="Q16" s="3083"/>
      <c r="R16" s="3130">
        <f>ROUND(M16*N16*O16*P16/10000,0)</f>
        <v>0</v>
      </c>
      <c r="S16" s="3063"/>
      <c r="T16" s="3063"/>
      <c r="U16" s="3063"/>
      <c r="V16" s="3072"/>
    </row>
    <row r="17" spans="1:22" s="3076" customFormat="1" ht="13.15" customHeight="1" thickBot="1">
      <c r="A17" s="3133">
        <v>4</v>
      </c>
      <c r="B17" s="4013" t="s">
        <v>2367</v>
      </c>
      <c r="C17" s="4014"/>
      <c r="D17" s="3134">
        <f>ROUND(D6*E17,0)</f>
        <v>98</v>
      </c>
      <c r="E17" s="3135">
        <v>0.03</v>
      </c>
      <c r="F17" s="3136" t="s">
        <v>2368</v>
      </c>
      <c r="G17" s="3096"/>
      <c r="H17" s="3071"/>
      <c r="I17" s="3072"/>
      <c r="J17" s="4001"/>
      <c r="K17" s="4003"/>
      <c r="L17" s="3106" t="s">
        <v>2369</v>
      </c>
      <c r="M17" s="3107"/>
      <c r="N17" s="3107"/>
      <c r="O17" s="3108"/>
      <c r="P17" s="3109">
        <v>365</v>
      </c>
      <c r="Q17" s="3083"/>
      <c r="R17" s="3130">
        <f>ROUND(M17*N17*O17*P17/10000,0)</f>
        <v>0</v>
      </c>
      <c r="S17" s="3063"/>
      <c r="T17" s="3063"/>
      <c r="U17" s="3063"/>
      <c r="V17" s="3072"/>
    </row>
    <row r="18" spans="1:22" s="3076" customFormat="1" ht="13.15" customHeight="1" thickBot="1">
      <c r="A18" s="3099" t="s">
        <v>2370</v>
      </c>
      <c r="B18" s="3100"/>
      <c r="C18" s="3100"/>
      <c r="D18" s="3137">
        <f>ROUND(D6*E18,0)</f>
        <v>328</v>
      </c>
      <c r="E18" s="3138">
        <v>0.1</v>
      </c>
      <c r="F18" s="3139" t="s">
        <v>2371</v>
      </c>
      <c r="G18" s="3096"/>
      <c r="H18" s="3071"/>
      <c r="I18" s="3072"/>
      <c r="J18" s="4001"/>
      <c r="K18" s="4003"/>
      <c r="L18" s="3106" t="s">
        <v>2372</v>
      </c>
      <c r="M18" s="3107"/>
      <c r="N18" s="3107"/>
      <c r="O18" s="3108"/>
      <c r="P18" s="3109">
        <v>365</v>
      </c>
      <c r="Q18" s="3083"/>
      <c r="R18" s="3130">
        <f>ROUND(M18*N18*O18*P18/10000,0)</f>
        <v>0</v>
      </c>
      <c r="S18" s="3063"/>
      <c r="T18" s="3063"/>
      <c r="U18" s="3063"/>
      <c r="V18" s="3072"/>
    </row>
    <row r="19" spans="1:22" s="3076" customFormat="1" ht="13.15" customHeight="1" thickBot="1">
      <c r="A19" s="3140" t="s">
        <v>2373</v>
      </c>
      <c r="B19" s="3094"/>
      <c r="C19" s="3094"/>
      <c r="D19" s="3094"/>
      <c r="E19" s="3094"/>
      <c r="F19" s="3095"/>
      <c r="G19" s="3115"/>
      <c r="H19" s="3071"/>
      <c r="I19" s="3072"/>
      <c r="J19" s="4001"/>
      <c r="K19" s="4004"/>
      <c r="L19" s="3126" t="s">
        <v>2351</v>
      </c>
      <c r="M19" s="3127"/>
      <c r="N19" s="3127">
        <f>SUM(N16:N18)</f>
        <v>0</v>
      </c>
      <c r="O19" s="3128"/>
      <c r="P19" s="3141" t="s">
        <v>2439</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4001">
        <v>3</v>
      </c>
      <c r="K20" s="4002" t="s">
        <v>2374</v>
      </c>
      <c r="L20" s="3106" t="s">
        <v>2375</v>
      </c>
      <c r="M20" s="3107" t="s">
        <v>2376</v>
      </c>
      <c r="N20" s="3144" t="s">
        <v>2377</v>
      </c>
      <c r="O20" s="3108" t="s">
        <v>2378</v>
      </c>
      <c r="P20" s="3109" t="s">
        <v>2379</v>
      </c>
      <c r="Q20" s="3083" t="s">
        <v>2380</v>
      </c>
      <c r="R20" s="3130" t="s">
        <v>2322</v>
      </c>
      <c r="S20" s="3145"/>
      <c r="T20" s="3145"/>
      <c r="U20" s="3145"/>
      <c r="V20" s="3072"/>
    </row>
    <row r="21" spans="1:22" s="3076" customFormat="1" ht="13.15" customHeight="1">
      <c r="A21" s="3099"/>
      <c r="B21" s="3100"/>
      <c r="C21" s="3146" t="s">
        <v>2381</v>
      </c>
      <c r="D21" s="3147" t="s">
        <v>2382</v>
      </c>
      <c r="E21" s="3148" t="s">
        <v>2383</v>
      </c>
      <c r="F21" s="3143"/>
      <c r="G21" s="3115"/>
      <c r="H21" s="3071"/>
      <c r="I21" s="3072"/>
      <c r="J21" s="4001"/>
      <c r="K21" s="4003"/>
      <c r="L21" s="3106" t="s">
        <v>2384</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2385</v>
      </c>
      <c r="D22" s="3151" t="s">
        <v>2386</v>
      </c>
      <c r="E22" s="3152" t="s">
        <v>2387</v>
      </c>
      <c r="F22" s="3143"/>
      <c r="G22" s="3153"/>
      <c r="H22" s="3071"/>
      <c r="I22" s="3072"/>
      <c r="J22" s="4001"/>
      <c r="K22" s="4003"/>
      <c r="L22" s="3106" t="s">
        <v>2388</v>
      </c>
      <c r="M22" s="3107"/>
      <c r="N22" s="3107"/>
      <c r="O22" s="3108"/>
      <c r="P22" s="3109">
        <v>365</v>
      </c>
      <c r="Q22" s="3083"/>
      <c r="R22" s="3149">
        <f>ROUND(M22*N22*O22*P22/10000,0)</f>
        <v>0</v>
      </c>
      <c r="S22" s="3145"/>
      <c r="T22" s="3145"/>
      <c r="U22" s="3145"/>
      <c r="V22" s="3072"/>
    </row>
    <row r="23" spans="1:22" s="3076" customFormat="1" ht="13.15" customHeight="1">
      <c r="A23" s="3154">
        <v>1</v>
      </c>
      <c r="B23" s="3155" t="s">
        <v>2389</v>
      </c>
      <c r="C23" s="3156">
        <f>D6</f>
        <v>3281</v>
      </c>
      <c r="D23" s="3157">
        <f>C23*(1+D24)</f>
        <v>3281</v>
      </c>
      <c r="E23" s="3158">
        <f>D23*(1+E24)</f>
        <v>3281</v>
      </c>
      <c r="F23" s="3159"/>
      <c r="G23" s="3160"/>
      <c r="H23" s="3071"/>
      <c r="I23" s="3072"/>
      <c r="J23" s="4001"/>
      <c r="K23" s="4003"/>
      <c r="L23" s="3106" t="s">
        <v>2390</v>
      </c>
      <c r="M23" s="3107"/>
      <c r="N23" s="3107"/>
      <c r="O23" s="3108"/>
      <c r="P23" s="3109">
        <v>365</v>
      </c>
      <c r="Q23" s="3083"/>
      <c r="R23" s="3149">
        <f>ROUND(M23*N23*O23*P23/10000,0)</f>
        <v>0</v>
      </c>
      <c r="S23" s="3063"/>
      <c r="T23" s="3063"/>
      <c r="U23" s="3063"/>
      <c r="V23" s="3072"/>
    </row>
    <row r="24" spans="1:22" s="3076" customFormat="1" ht="13.15" customHeight="1">
      <c r="A24" s="3161"/>
      <c r="B24" s="3162" t="s">
        <v>2391</v>
      </c>
      <c r="C24" s="3163"/>
      <c r="D24" s="3164"/>
      <c r="E24" s="3165"/>
      <c r="F24" s="3166"/>
      <c r="G24" s="3160"/>
      <c r="H24" s="3071"/>
      <c r="I24" s="3072"/>
      <c r="J24" s="4001"/>
      <c r="K24" s="4004"/>
      <c r="L24" s="3126" t="s">
        <v>2351</v>
      </c>
      <c r="M24" s="3127">
        <f>SUM(M21:M23)</f>
        <v>0</v>
      </c>
      <c r="N24" s="3127"/>
      <c r="O24" s="3128"/>
      <c r="P24" s="3141" t="s">
        <v>2439</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2392</v>
      </c>
      <c r="L25" s="3169"/>
      <c r="M25" s="3169"/>
      <c r="N25" s="3169"/>
      <c r="O25" s="3169"/>
      <c r="P25" s="3170"/>
      <c r="Q25" s="3171"/>
      <c r="R25" s="3142">
        <f>ROUND(R14*Q25,0)</f>
        <v>0</v>
      </c>
      <c r="S25" s="3063"/>
      <c r="T25" s="3063"/>
      <c r="U25" s="3063"/>
      <c r="V25" s="3172"/>
    </row>
    <row r="26" spans="1:22" s="3173" customFormat="1" ht="13.15" customHeight="1">
      <c r="A26" s="3154">
        <v>2</v>
      </c>
      <c r="B26" s="3155" t="s">
        <v>2393</v>
      </c>
      <c r="C26" s="3156">
        <f ca="1">D7</f>
        <v>1130</v>
      </c>
      <c r="D26" s="3157">
        <f>D23*D27</f>
        <v>0</v>
      </c>
      <c r="E26" s="3158">
        <f>E23*E27</f>
        <v>0</v>
      </c>
      <c r="F26" s="3159"/>
      <c r="G26" s="3160"/>
      <c r="H26" s="3071"/>
      <c r="I26" s="3072"/>
      <c r="J26" s="4005">
        <v>5</v>
      </c>
      <c r="K26" s="3174" t="s">
        <v>2394</v>
      </c>
      <c r="L26" s="3175"/>
      <c r="M26" s="3176"/>
      <c r="N26" s="3177" t="s">
        <v>2395</v>
      </c>
      <c r="O26" s="3177" t="s">
        <v>2396</v>
      </c>
      <c r="P26" s="3178" t="s">
        <v>2397</v>
      </c>
      <c r="Q26" s="3178" t="s">
        <v>2398</v>
      </c>
      <c r="R26" s="3081" t="s">
        <v>2399</v>
      </c>
      <c r="S26" s="3179"/>
      <c r="T26" s="3179"/>
      <c r="U26" s="3179"/>
      <c r="V26" s="3172"/>
    </row>
    <row r="27" spans="1:22" s="3076" customFormat="1" ht="13.15" customHeight="1">
      <c r="A27" s="3161"/>
      <c r="B27" s="3162" t="s">
        <v>2400</v>
      </c>
      <c r="C27" s="3180">
        <f ca="1">E7</f>
        <v>0.34459920755867113</v>
      </c>
      <c r="D27" s="3164"/>
      <c r="E27" s="3165"/>
      <c r="F27" s="3166"/>
      <c r="G27" s="3160"/>
      <c r="H27" s="3181"/>
      <c r="I27" s="3172"/>
      <c r="J27" s="4006"/>
      <c r="K27" s="3182"/>
      <c r="L27" s="3183"/>
      <c r="M27" s="3184"/>
      <c r="N27" s="3185">
        <f>'数据-汇总表'!E19</f>
        <v>34569.840000000011</v>
      </c>
      <c r="O27" s="3185">
        <v>2.6</v>
      </c>
      <c r="P27" s="3185">
        <v>365</v>
      </c>
      <c r="Q27" s="3186"/>
      <c r="R27" s="3142">
        <f>ROUND(O27*N27*P27*(1-Q27)/10000,0)</f>
        <v>3281</v>
      </c>
      <c r="S27" s="3063"/>
      <c r="T27" s="3063"/>
      <c r="U27" s="3063"/>
      <c r="V27" s="3072"/>
    </row>
    <row r="28" spans="1:22" s="3173" customFormat="1" ht="13.15" customHeight="1" thickBot="1">
      <c r="A28" s="3161"/>
      <c r="B28" s="3162"/>
      <c r="C28" s="3180"/>
      <c r="D28" s="3164"/>
      <c r="E28" s="3165" t="s">
        <v>2401</v>
      </c>
      <c r="F28" s="3166"/>
      <c r="G28" s="3153"/>
      <c r="H28" s="3181"/>
      <c r="I28" s="3172"/>
      <c r="J28" s="3187">
        <v>6</v>
      </c>
      <c r="K28" s="3188" t="s">
        <v>2402</v>
      </c>
      <c r="L28" s="3189" t="s">
        <v>2403</v>
      </c>
      <c r="M28" s="3190"/>
      <c r="N28" s="3189" t="s">
        <v>2404</v>
      </c>
      <c r="O28" s="3191"/>
      <c r="P28" s="3189" t="s">
        <v>2405</v>
      </c>
      <c r="Q28" s="3192">
        <v>1.4999999999999999E-2</v>
      </c>
      <c r="R28" s="3193"/>
      <c r="S28" s="3145"/>
      <c r="T28" s="3145"/>
      <c r="U28" s="3145"/>
      <c r="V28" s="3172"/>
    </row>
    <row r="29" spans="1:22" s="3173" customFormat="1" ht="13.15" customHeight="1">
      <c r="A29" s="3154">
        <v>3</v>
      </c>
      <c r="B29" s="3155" t="s">
        <v>2406</v>
      </c>
      <c r="C29" s="3156">
        <f>C23*C30</f>
        <v>328.1</v>
      </c>
      <c r="D29" s="3157">
        <f>D23*C30</f>
        <v>328.1</v>
      </c>
      <c r="E29" s="3158">
        <f>E23*C30</f>
        <v>328.1</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2407</v>
      </c>
      <c r="C30" s="3180">
        <f>E18</f>
        <v>0.1</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2408</v>
      </c>
      <c r="K31" s="3061"/>
      <c r="L31" s="3061"/>
      <c r="M31" s="3061"/>
      <c r="N31" s="3061"/>
      <c r="O31" s="3061"/>
      <c r="P31" s="3061"/>
      <c r="Q31" s="3061"/>
      <c r="R31" s="3062"/>
      <c r="S31" s="3145"/>
      <c r="T31" s="3063"/>
      <c r="U31" s="3063"/>
      <c r="V31" s="3172"/>
    </row>
    <row r="32" spans="1:22" s="3173" customFormat="1" ht="13.15" customHeight="1">
      <c r="A32" s="3154">
        <v>4</v>
      </c>
      <c r="B32" s="3155" t="s">
        <v>2409</v>
      </c>
      <c r="C32" s="3156">
        <f ca="1">C23-C26-C29</f>
        <v>1822.9</v>
      </c>
      <c r="D32" s="3157">
        <f>D23-D26-D29</f>
        <v>2952.9</v>
      </c>
      <c r="E32" s="3158">
        <f>E23-E26-E29</f>
        <v>2952.9</v>
      </c>
      <c r="F32" s="3159"/>
      <c r="G32" s="3153"/>
      <c r="H32" s="3071"/>
      <c r="I32" s="3072"/>
      <c r="J32" s="4007" t="s">
        <v>2410</v>
      </c>
      <c r="K32" s="4008"/>
      <c r="L32" s="3073" t="s">
        <v>2411</v>
      </c>
      <c r="M32" s="3073" t="s">
        <v>2300</v>
      </c>
      <c r="N32" s="3073" t="s">
        <v>2301</v>
      </c>
      <c r="O32" s="3073" t="s">
        <v>2302</v>
      </c>
      <c r="P32" s="3073" t="s">
        <v>2303</v>
      </c>
      <c r="Q32" s="3074" t="s">
        <v>2412</v>
      </c>
      <c r="R32" s="3196" t="s">
        <v>2413</v>
      </c>
      <c r="S32" s="3145"/>
      <c r="T32" s="3063"/>
      <c r="U32" s="3063"/>
      <c r="V32" s="3172"/>
    </row>
    <row r="33" spans="1:23" s="3076" customFormat="1" ht="13.15" customHeight="1">
      <c r="A33" s="3154"/>
      <c r="B33" s="3155"/>
      <c r="C33" s="3156"/>
      <c r="D33" s="3197"/>
      <c r="E33" s="3198"/>
      <c r="F33" s="3159"/>
      <c r="G33" s="3153"/>
      <c r="H33" s="3181"/>
      <c r="I33" s="3172"/>
      <c r="J33" s="4009" t="s">
        <v>2414</v>
      </c>
      <c r="K33" s="4010"/>
      <c r="L33" s="3079"/>
      <c r="M33" s="3079"/>
      <c r="N33" s="3079"/>
      <c r="O33" s="3079"/>
      <c r="P33" s="3079"/>
      <c r="Q33" s="3080"/>
      <c r="R33" s="3199">
        <f>SUM(L33:Q33)</f>
        <v>0</v>
      </c>
      <c r="S33" s="3145"/>
      <c r="T33" s="3063"/>
      <c r="U33" s="3063"/>
      <c r="V33" s="3072"/>
    </row>
    <row r="34" spans="1:23" s="3076" customFormat="1" ht="13.15" customHeight="1">
      <c r="A34" s="3154">
        <v>5</v>
      </c>
      <c r="B34" s="3155" t="s">
        <v>2415</v>
      </c>
      <c r="C34" s="3200">
        <v>0.06</v>
      </c>
      <c r="D34" s="3201">
        <f>C34</f>
        <v>0.06</v>
      </c>
      <c r="E34" s="3202">
        <f>D34</f>
        <v>0.06</v>
      </c>
      <c r="F34" s="3159"/>
      <c r="G34" s="3153"/>
      <c r="H34" s="3181"/>
      <c r="I34" s="3172"/>
      <c r="J34" s="4009" t="s">
        <v>2416</v>
      </c>
      <c r="K34" s="4010"/>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2417</v>
      </c>
      <c r="C35" s="3204">
        <v>0.02</v>
      </c>
      <c r="D35" s="3205">
        <f>C35</f>
        <v>0.02</v>
      </c>
      <c r="E35" s="3206">
        <f>D35</f>
        <v>0.02</v>
      </c>
      <c r="F35" s="3159"/>
      <c r="G35" s="3207"/>
      <c r="H35" s="3071"/>
      <c r="I35" s="3172"/>
      <c r="J35" s="3090" t="s">
        <v>2418</v>
      </c>
      <c r="K35" s="3091"/>
      <c r="L35" s="3091"/>
      <c r="M35" s="3092"/>
      <c r="N35" s="3092"/>
      <c r="O35" s="3092"/>
      <c r="P35" s="3092"/>
      <c r="Q35" s="3092"/>
      <c r="R35" s="3208">
        <f>R40+R41+R43</f>
        <v>0</v>
      </c>
      <c r="S35" s="3145"/>
      <c r="T35" s="3063" t="s">
        <v>2419</v>
      </c>
      <c r="U35" s="3063"/>
      <c r="V35" s="3072"/>
    </row>
    <row r="36" spans="1:23" s="3076" customFormat="1" ht="13.15" customHeight="1" thickBot="1">
      <c r="A36" s="3154">
        <v>7</v>
      </c>
      <c r="B36" s="3209" t="s">
        <v>2420</v>
      </c>
      <c r="C36" s="3210">
        <f>'数据-取费表'!F6</f>
        <v>49.2</v>
      </c>
      <c r="D36" s="3211"/>
      <c r="E36" s="3212"/>
      <c r="F36" s="3213">
        <f>C36+D36+E36</f>
        <v>49.2</v>
      </c>
      <c r="G36" s="3153"/>
      <c r="H36" s="3071"/>
      <c r="I36" s="3072"/>
      <c r="J36" s="4001">
        <v>1</v>
      </c>
      <c r="K36" s="4002" t="s">
        <v>2421</v>
      </c>
      <c r="L36" s="3097"/>
      <c r="M36" s="3098"/>
      <c r="N36" s="3098"/>
      <c r="O36" s="3098"/>
      <c r="P36" s="3098"/>
      <c r="Q36" s="3098"/>
      <c r="R36" s="3081" t="s">
        <v>2322</v>
      </c>
      <c r="S36" s="3145"/>
      <c r="T36" s="3063" t="s">
        <v>2323</v>
      </c>
      <c r="U36" s="3063"/>
      <c r="V36" s="3072"/>
    </row>
    <row r="37" spans="1:23" s="3076" customFormat="1" ht="13.15" customHeight="1">
      <c r="A37" s="3154"/>
      <c r="B37" s="3155"/>
      <c r="C37" s="3155"/>
      <c r="D37" s="3155"/>
      <c r="E37" s="3155"/>
      <c r="F37" s="3159"/>
      <c r="G37" s="3153"/>
      <c r="H37" s="3071"/>
      <c r="I37" s="3072"/>
      <c r="J37" s="4001"/>
      <c r="K37" s="4003"/>
      <c r="L37" s="3106"/>
      <c r="M37" s="3107"/>
      <c r="N37" s="3083"/>
      <c r="O37" s="3108"/>
      <c r="P37" s="3108"/>
      <c r="Q37" s="3109"/>
      <c r="R37" s="3110"/>
      <c r="S37" s="3145"/>
      <c r="T37" s="3063" t="s">
        <v>2326</v>
      </c>
      <c r="U37" s="3063"/>
      <c r="V37" s="3072"/>
    </row>
    <row r="38" spans="1:23" s="3076" customFormat="1" ht="13.15" customHeight="1">
      <c r="A38" s="3154">
        <v>8</v>
      </c>
      <c r="B38" s="3155"/>
      <c r="C38" s="3112">
        <f ca="1">ROUND(C32*(1-((1+C35)/(1+C34))^C36)/(C34-C35),0)</f>
        <v>38705</v>
      </c>
      <c r="D38" s="3112">
        <f>IF(D23=0,0,ROUND(D32*(1-((1+D35)/(1+D34))^D36)/(D34-D35),0))</f>
        <v>0</v>
      </c>
      <c r="E38" s="3112">
        <f>IF(E23=0,0,ROUND(E32*(1-((1+E35)/(1+E34))^E36)/(E34-E35),0))</f>
        <v>0</v>
      </c>
      <c r="F38" s="3159"/>
      <c r="G38" s="3153"/>
      <c r="H38" s="3071"/>
      <c r="I38" s="3072"/>
      <c r="J38" s="4001"/>
      <c r="K38" s="4003"/>
      <c r="L38" s="3106"/>
      <c r="M38" s="3107"/>
      <c r="N38" s="3083"/>
      <c r="O38" s="3108"/>
      <c r="P38" s="3108"/>
      <c r="Q38" s="3109"/>
      <c r="R38" s="3110"/>
      <c r="S38" s="3145"/>
      <c r="T38" s="3063" t="s">
        <v>2333</v>
      </c>
      <c r="U38" s="3063"/>
      <c r="V38" s="3072"/>
    </row>
    <row r="39" spans="1:23" s="3076" customFormat="1" ht="13.15" customHeight="1">
      <c r="A39" s="3154">
        <v>9</v>
      </c>
      <c r="B39" s="3155" t="s">
        <v>2422</v>
      </c>
      <c r="C39" s="3120">
        <f ca="1">C38</f>
        <v>38705</v>
      </c>
      <c r="D39" s="3155">
        <f>D38/(1+D34)^C36</f>
        <v>0</v>
      </c>
      <c r="E39" s="3155">
        <f>E38/(1+E34)^(C36+D36)</f>
        <v>0</v>
      </c>
      <c r="F39" s="3159"/>
      <c r="G39" s="3214"/>
      <c r="H39" s="3071"/>
      <c r="I39" s="3072"/>
      <c r="J39" s="4001"/>
      <c r="K39" s="4003"/>
      <c r="L39" s="3106"/>
      <c r="M39" s="3107"/>
      <c r="N39" s="3083"/>
      <c r="O39" s="3108"/>
      <c r="P39" s="3108"/>
      <c r="Q39" s="3109"/>
      <c r="R39" s="3110"/>
      <c r="S39" s="3145"/>
      <c r="T39" s="3063"/>
      <c r="U39" s="3063"/>
      <c r="V39" s="3072"/>
    </row>
    <row r="40" spans="1:23" s="3076" customFormat="1" ht="13.15" customHeight="1">
      <c r="A40" s="3215">
        <v>10</v>
      </c>
      <c r="B40" s="3155" t="s">
        <v>2423</v>
      </c>
      <c r="C40" s="3216">
        <f ca="1">C39+D39+E39</f>
        <v>38705</v>
      </c>
      <c r="D40" s="3217"/>
      <c r="E40" s="3217"/>
      <c r="F40" s="3218"/>
      <c r="G40" s="3153"/>
      <c r="H40" s="3071"/>
      <c r="I40" s="3072"/>
      <c r="J40" s="4001"/>
      <c r="K40" s="4004"/>
      <c r="L40" s="3126" t="s">
        <v>2424</v>
      </c>
      <c r="M40" s="3127"/>
      <c r="N40" s="3127"/>
      <c r="O40" s="3128"/>
      <c r="P40" s="3128"/>
      <c r="Q40" s="3129"/>
      <c r="R40" s="3075">
        <f>SUM(R37:R39)</f>
        <v>0</v>
      </c>
      <c r="S40" s="3145"/>
      <c r="T40" s="3063"/>
      <c r="U40" s="3063"/>
      <c r="V40" s="3072"/>
    </row>
    <row r="41" spans="1:23" s="3076" customFormat="1" ht="13.15" customHeight="1" thickBot="1">
      <c r="A41" s="3219">
        <v>11</v>
      </c>
      <c r="B41" s="3220" t="s">
        <v>2425</v>
      </c>
      <c r="C41" s="3220" t="e">
        <f ca="1">ROUND(C40*10000/B4,0)</f>
        <v>#DIV/0!</v>
      </c>
      <c r="D41" s="3221"/>
      <c r="E41" s="3221"/>
      <c r="F41" s="3222"/>
      <c r="G41" s="3223"/>
      <c r="H41" s="3071"/>
      <c r="I41" s="3072"/>
      <c r="J41" s="3167">
        <v>2</v>
      </c>
      <c r="K41" s="3168" t="s">
        <v>2426</v>
      </c>
      <c r="L41" s="3169"/>
      <c r="M41" s="3169"/>
      <c r="N41" s="3169"/>
      <c r="O41" s="3169"/>
      <c r="P41" s="3170"/>
      <c r="Q41" s="3171"/>
      <c r="R41" s="3142">
        <f>ROUND(R40*Q41,0)</f>
        <v>0</v>
      </c>
      <c r="S41" s="3145"/>
      <c r="T41" s="3063"/>
      <c r="U41" s="3179"/>
      <c r="V41" s="3072"/>
    </row>
    <row r="42" spans="1:23" s="3076" customFormat="1" ht="13.15" customHeight="1">
      <c r="G42" s="3223"/>
      <c r="H42" s="3071"/>
      <c r="I42" s="3072"/>
      <c r="J42" s="4005">
        <v>3</v>
      </c>
      <c r="K42" s="3174" t="s">
        <v>2427</v>
      </c>
      <c r="L42" s="3175"/>
      <c r="M42" s="3176"/>
      <c r="N42" s="3177" t="s">
        <v>2428</v>
      </c>
      <c r="O42" s="3177" t="s">
        <v>2429</v>
      </c>
      <c r="P42" s="3178" t="s">
        <v>2430</v>
      </c>
      <c r="Q42" s="3178" t="s">
        <v>2431</v>
      </c>
      <c r="R42" s="3081" t="s">
        <v>2432</v>
      </c>
      <c r="S42" s="3179"/>
      <c r="T42" s="3179"/>
      <c r="U42" s="3063"/>
      <c r="V42" s="3072"/>
    </row>
    <row r="43" spans="1:23" ht="13.15" customHeight="1">
      <c r="A43" s="3076"/>
      <c r="B43" s="3076"/>
      <c r="C43" s="3076"/>
      <c r="D43" s="3076"/>
      <c r="E43" s="3076"/>
      <c r="F43" s="3076"/>
      <c r="I43" s="3058"/>
      <c r="J43" s="4006"/>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2433</v>
      </c>
      <c r="L44" s="3227" t="s">
        <v>2434</v>
      </c>
      <c r="M44" s="3190"/>
      <c r="N44" s="3227" t="s">
        <v>2435</v>
      </c>
      <c r="O44" s="3190"/>
      <c r="P44" s="3227" t="s">
        <v>2436</v>
      </c>
      <c r="Q44" s="3192">
        <v>1.4999999999999999E-2</v>
      </c>
      <c r="R44" s="31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5"/>
      <c r="D2" s="3005"/>
      <c r="E2" s="3005"/>
      <c r="F2" s="3005"/>
      <c r="G2" s="3005"/>
    </row>
    <row r="3" spans="1:25" s="1781" customFormat="1" ht="18" customHeight="1">
      <c r="A3" s="1237" t="s">
        <v>1218</v>
      </c>
      <c r="B3" s="412">
        <f ca="1">ROUND(B2*10000/'数据-汇总表'!E3,0)</f>
        <v>0</v>
      </c>
      <c r="C3" s="3005"/>
      <c r="D3" s="3005"/>
      <c r="E3" s="3005"/>
      <c r="F3" s="3005"/>
      <c r="G3" s="3005"/>
    </row>
    <row r="4" spans="1:25" s="1781" customFormat="1" ht="18" customHeight="1">
      <c r="A4" s="413" t="s">
        <v>428</v>
      </c>
      <c r="B4" s="414">
        <f ca="1">ROUND(B2*10000/'数据-汇总表'!D3,0)</f>
        <v>0</v>
      </c>
      <c r="C4" s="2959"/>
      <c r="D4" s="3005"/>
      <c r="E4" s="3005"/>
      <c r="F4" s="3005"/>
      <c r="G4" s="3005"/>
    </row>
    <row r="5" spans="1:25" s="1781" customFormat="1" ht="18" customHeight="1" thickBot="1">
      <c r="A5" s="416"/>
      <c r="B5" s="417">
        <f ca="1">ROUND(B2/('数据-汇总表'!D3/666.67),0)</f>
        <v>0</v>
      </c>
      <c r="C5" s="418" t="s">
        <v>429</v>
      </c>
      <c r="D5" s="3005"/>
      <c r="E5" s="3005"/>
      <c r="F5" s="3005"/>
      <c r="G5" s="3005"/>
    </row>
    <row r="6" spans="1:25" s="1903" customFormat="1" ht="13.5" customHeight="1">
      <c r="A6" s="711"/>
      <c r="B6" s="712" t="s">
        <v>552</v>
      </c>
      <c r="C6" s="713" t="s">
        <v>553</v>
      </c>
      <c r="D6" s="713" t="s">
        <v>554</v>
      </c>
      <c r="E6" s="714" t="s">
        <v>555</v>
      </c>
      <c r="F6" s="714" t="s">
        <v>556</v>
      </c>
      <c r="G6" s="3004" t="s">
        <v>2279</v>
      </c>
    </row>
    <row r="7" spans="1:25" s="1903" customFormat="1" ht="13.5" customHeight="1">
      <c r="A7" s="2117">
        <v>1</v>
      </c>
      <c r="B7" s="715" t="s">
        <v>557</v>
      </c>
      <c r="C7" s="716">
        <f>C8+C9</f>
        <v>0</v>
      </c>
      <c r="D7" s="716"/>
      <c r="E7" s="717"/>
      <c r="F7" s="717"/>
      <c r="G7" s="2126"/>
    </row>
    <row r="8" spans="1:25" s="1903" customFormat="1" ht="13.5" customHeight="1">
      <c r="A8" s="2117" t="s">
        <v>1785</v>
      </c>
      <c r="B8" s="2120" t="s">
        <v>1787</v>
      </c>
      <c r="C8" s="3008">
        <f>ROUND(D8*E8/10000,0)</f>
        <v>0</v>
      </c>
      <c r="D8" s="3008">
        <v>0</v>
      </c>
      <c r="E8" s="3009">
        <v>0</v>
      </c>
      <c r="F8" s="717"/>
      <c r="G8" s="718"/>
    </row>
    <row r="9" spans="1:25" s="1903" customFormat="1" ht="13.5" customHeight="1">
      <c r="A9" s="2117" t="s">
        <v>1786</v>
      </c>
      <c r="B9" s="2120" t="s">
        <v>1788</v>
      </c>
      <c r="C9" s="3008">
        <f>ROUND(D9*E9/10000,0)</f>
        <v>0</v>
      </c>
      <c r="D9" s="3008">
        <v>0</v>
      </c>
      <c r="E9" s="3009">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1785</v>
      </c>
      <c r="B11" s="719" t="s">
        <v>558</v>
      </c>
      <c r="C11" s="720">
        <f>'数据-取费表'!B29</f>
        <v>0</v>
      </c>
      <c r="D11" s="721"/>
      <c r="E11" s="720"/>
      <c r="F11" s="722"/>
      <c r="G11" s="2125" t="s">
        <v>1796</v>
      </c>
    </row>
    <row r="12" spans="1:25" s="1903" customFormat="1" ht="13.5" customHeight="1">
      <c r="A12" s="2123" t="s">
        <v>1793</v>
      </c>
      <c r="B12" s="723" t="s">
        <v>559</v>
      </c>
      <c r="C12" s="724">
        <f>ROUND(D12*E12/10000,0)</f>
        <v>0</v>
      </c>
      <c r="D12" s="3008">
        <f>'数据-汇总表'!E5</f>
        <v>0</v>
      </c>
      <c r="E12" s="3008">
        <f>'数据-取费表'!B27</f>
        <v>160</v>
      </c>
      <c r="F12" s="722"/>
      <c r="G12" s="725"/>
    </row>
    <row r="13" spans="1:25" s="1903" customFormat="1" ht="13.5" customHeight="1">
      <c r="A13" s="2123" t="s">
        <v>1792</v>
      </c>
      <c r="B13" s="723" t="s">
        <v>560</v>
      </c>
      <c r="C13" s="724">
        <f>ROUND(D13*E13/10000,0)</f>
        <v>916</v>
      </c>
      <c r="D13" s="3008">
        <f>'数据-汇总表'!E6</f>
        <v>45811.100000000013</v>
      </c>
      <c r="E13" s="3008">
        <f>'数据-取费表'!B28</f>
        <v>200</v>
      </c>
      <c r="F13" s="722"/>
      <c r="G13" s="725"/>
    </row>
    <row r="14" spans="1:25" s="1903" customFormat="1" ht="13.5" customHeight="1">
      <c r="A14" s="2117" t="s">
        <v>1786</v>
      </c>
      <c r="B14" s="2122" t="s">
        <v>1789</v>
      </c>
      <c r="C14" s="3010">
        <f>ROUND(D14*E14/10000,0)</f>
        <v>0</v>
      </c>
      <c r="D14" s="3008">
        <v>0</v>
      </c>
      <c r="E14" s="3009">
        <v>0</v>
      </c>
      <c r="F14" s="2121"/>
      <c r="G14" s="2124" t="s">
        <v>1794</v>
      </c>
    </row>
    <row r="15" spans="1:25" s="1903" customFormat="1" ht="13.5" customHeight="1">
      <c r="A15" s="2117" t="s">
        <v>1791</v>
      </c>
      <c r="B15" s="2122" t="s">
        <v>1790</v>
      </c>
      <c r="C15" s="3010">
        <f>ROUND(D15*E15/10000,0)</f>
        <v>0</v>
      </c>
      <c r="D15" s="3008">
        <v>0</v>
      </c>
      <c r="E15" s="3009">
        <v>0</v>
      </c>
      <c r="F15" s="2121"/>
      <c r="G15" s="2124" t="s">
        <v>1795</v>
      </c>
    </row>
    <row r="16" spans="1:25" s="1904" customFormat="1" ht="48">
      <c r="A16" s="2117">
        <v>3</v>
      </c>
      <c r="B16" s="715" t="s">
        <v>563</v>
      </c>
      <c r="C16" s="3010">
        <f>ROUND(D16*E16/10000,0)</f>
        <v>0</v>
      </c>
      <c r="D16" s="3008">
        <v>0</v>
      </c>
      <c r="E16" s="3009">
        <v>0</v>
      </c>
      <c r="F16" s="727"/>
      <c r="G16" s="725" t="s">
        <v>1797</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9"/>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c r="A20" s="2117">
        <v>7</v>
      </c>
      <c r="B20" s="715" t="s">
        <v>569</v>
      </c>
      <c r="C20" s="716">
        <f ca="1">ROUND(C19*F20,0)</f>
        <v>0</v>
      </c>
      <c r="D20" s="726"/>
      <c r="E20" s="716"/>
      <c r="F20" s="1209"/>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0.90900000000000003</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9" t="s">
        <v>666</v>
      </c>
      <c r="C1" s="2230" t="s">
        <v>667</v>
      </c>
      <c r="D1" s="2231"/>
      <c r="E1" s="1848"/>
      <c r="F1" s="2285"/>
      <c r="G1" s="1409" t="s">
        <v>668</v>
      </c>
      <c r="H1" s="476"/>
      <c r="I1" s="476"/>
      <c r="J1" s="476"/>
      <c r="K1" s="477"/>
      <c r="L1" s="2948"/>
      <c r="M1" s="2949"/>
      <c r="N1" s="2949"/>
      <c r="O1" s="2949"/>
      <c r="P1" s="1377"/>
      <c r="Q1" s="1377"/>
      <c r="R1" s="1377"/>
      <c r="S1" s="1377"/>
      <c r="T1" s="1377"/>
      <c r="U1" s="1377"/>
      <c r="V1" s="1377"/>
      <c r="W1" s="1377"/>
      <c r="X1" s="1377"/>
      <c r="Y1" s="1377"/>
      <c r="Z1" s="1377"/>
      <c r="AA1" s="1377"/>
      <c r="AB1" s="1377"/>
      <c r="AC1" s="1378"/>
    </row>
    <row r="2" spans="1:29" s="1222" customFormat="1" ht="28.5" customHeight="1">
      <c r="A2" s="410" t="s">
        <v>427</v>
      </c>
      <c r="B2" s="2228" t="e">
        <f>ROUND(B3*D3/10000,0)</f>
        <v>#DIV/0!</v>
      </c>
      <c r="C2" s="1848"/>
      <c r="D2" s="1848"/>
      <c r="E2" s="1848"/>
      <c r="F2" s="1919"/>
      <c r="G2" s="1848"/>
      <c r="H2" s="1848"/>
      <c r="I2" s="1848"/>
      <c r="J2" s="1848"/>
      <c r="K2" s="1920"/>
      <c r="L2" s="1921"/>
      <c r="M2" s="1922"/>
      <c r="N2" s="1922"/>
      <c r="O2" s="1922"/>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8"/>
      <c r="F3" s="1919"/>
      <c r="G3" s="1848"/>
      <c r="H3" s="1848"/>
      <c r="I3" s="1848"/>
      <c r="J3" s="1848"/>
      <c r="K3" s="1920"/>
      <c r="L3" s="1921"/>
      <c r="M3" s="1922"/>
      <c r="N3" s="1922"/>
      <c r="O3" s="1922"/>
      <c r="P3" s="1410"/>
      <c r="Q3" s="1410"/>
      <c r="R3" s="1410"/>
      <c r="S3" s="1410"/>
      <c r="T3" s="1410"/>
      <c r="U3" s="1410"/>
      <c r="V3" s="1410"/>
      <c r="W3" s="1410"/>
      <c r="X3" s="1410"/>
      <c r="Y3" s="1410"/>
      <c r="Z3" s="1410"/>
      <c r="AA3" s="1410"/>
      <c r="AB3" s="1410"/>
      <c r="AC3" s="1412"/>
    </row>
    <row r="4" spans="1:29" ht="15">
      <c r="A4" s="482" t="s">
        <v>470</v>
      </c>
      <c r="B4" s="483"/>
      <c r="C4" s="3913" t="s">
        <v>471</v>
      </c>
      <c r="D4" s="3914"/>
      <c r="E4" s="3939" t="s">
        <v>472</v>
      </c>
      <c r="F4" s="3940"/>
      <c r="G4" s="3913" t="s">
        <v>473</v>
      </c>
      <c r="H4" s="3914"/>
      <c r="I4" s="3913" t="s">
        <v>474</v>
      </c>
      <c r="J4" s="3914"/>
      <c r="K4" s="818" t="s">
        <v>475</v>
      </c>
      <c r="L4" s="1854"/>
      <c r="M4" s="1855"/>
      <c r="N4" s="1855"/>
      <c r="O4" s="1855"/>
      <c r="P4" s="3915" t="s">
        <v>476</v>
      </c>
      <c r="Q4" s="3916"/>
      <c r="R4" s="3899" t="s">
        <v>472</v>
      </c>
      <c r="S4" s="3900"/>
      <c r="T4" s="3899" t="s">
        <v>473</v>
      </c>
      <c r="U4" s="3900"/>
      <c r="V4" s="3921" t="s">
        <v>474</v>
      </c>
      <c r="W4" s="3921"/>
      <c r="X4" s="1379"/>
      <c r="Y4" s="3899" t="s">
        <v>476</v>
      </c>
      <c r="Z4" s="3900"/>
      <c r="AA4" s="3894" t="s">
        <v>472</v>
      </c>
      <c r="AB4" s="3894" t="s">
        <v>473</v>
      </c>
      <c r="AC4" s="3894" t="s">
        <v>474</v>
      </c>
    </row>
    <row r="5" spans="1:29" ht="15">
      <c r="A5" s="485"/>
      <c r="B5" s="486"/>
      <c r="C5" s="3924" t="s">
        <v>2186</v>
      </c>
      <c r="D5" s="3925"/>
      <c r="E5" s="3941" t="s">
        <v>2187</v>
      </c>
      <c r="F5" s="3942"/>
      <c r="G5" s="3924" t="s">
        <v>2188</v>
      </c>
      <c r="H5" s="3925"/>
      <c r="I5" s="3924" t="s">
        <v>2189</v>
      </c>
      <c r="J5" s="3925"/>
      <c r="K5" s="819"/>
      <c r="L5" s="1854"/>
      <c r="M5" s="1855"/>
      <c r="N5" s="1855"/>
      <c r="O5" s="1855"/>
      <c r="P5" s="3917"/>
      <c r="Q5" s="3918"/>
      <c r="R5" s="3901"/>
      <c r="S5" s="3902"/>
      <c r="T5" s="3901"/>
      <c r="U5" s="3902"/>
      <c r="V5" s="3921"/>
      <c r="W5" s="3921"/>
      <c r="X5" s="1379"/>
      <c r="Y5" s="3901"/>
      <c r="Z5" s="3902"/>
      <c r="AA5" s="3895"/>
      <c r="AB5" s="3895"/>
      <c r="AC5" s="3895"/>
    </row>
    <row r="6" spans="1:29" ht="15.75" thickBot="1">
      <c r="A6" s="487"/>
      <c r="B6" s="488"/>
      <c r="C6" s="3922" t="s">
        <v>2190</v>
      </c>
      <c r="D6" s="3923"/>
      <c r="E6" s="3943" t="s">
        <v>2190</v>
      </c>
      <c r="F6" s="3944"/>
      <c r="G6" s="3922" t="s">
        <v>2190</v>
      </c>
      <c r="H6" s="3923"/>
      <c r="I6" s="3922" t="s">
        <v>2190</v>
      </c>
      <c r="J6" s="3923"/>
      <c r="K6" s="819" t="s">
        <v>477</v>
      </c>
      <c r="L6" s="1854"/>
      <c r="M6" s="1855"/>
      <c r="N6" s="1855"/>
      <c r="O6" s="1855"/>
      <c r="P6" s="3919"/>
      <c r="Q6" s="3920"/>
      <c r="R6" s="3901"/>
      <c r="S6" s="3902"/>
      <c r="T6" s="3903"/>
      <c r="U6" s="3904"/>
      <c r="V6" s="3921"/>
      <c r="W6" s="3921"/>
      <c r="X6" s="1379"/>
      <c r="Y6" s="3903"/>
      <c r="Z6" s="3904"/>
      <c r="AA6" s="3896"/>
      <c r="AB6" s="3896"/>
      <c r="AC6" s="3896"/>
    </row>
    <row r="7" spans="1:29" s="1118" customFormat="1" ht="15.75" thickBot="1">
      <c r="A7" s="2390"/>
      <c r="B7" s="2397" t="s">
        <v>478</v>
      </c>
      <c r="C7" s="489">
        <f>'数据-取费表'!B2</f>
        <v>45266</v>
      </c>
      <c r="D7" s="490">
        <v>100</v>
      </c>
      <c r="E7" s="491"/>
      <c r="F7" s="492">
        <f>SUMIF(58:58,YEAR(E7)&amp;"-"&amp;MONTH(E7),59:59)</f>
        <v>0</v>
      </c>
      <c r="G7" s="493"/>
      <c r="H7" s="490">
        <f>SUMIF(58:58,YEAR(G7)&amp;"-"&amp;MONTH(G7),59:59)</f>
        <v>0</v>
      </c>
      <c r="I7" s="493"/>
      <c r="J7" s="490">
        <f>SUMIF(58:58,YEAR(I7)&amp;"-"&amp;MONTH(I7),59:59)</f>
        <v>0</v>
      </c>
      <c r="K7" s="820"/>
      <c r="L7" s="1856"/>
      <c r="M7" s="1857"/>
      <c r="N7" s="1857"/>
      <c r="O7" s="1857"/>
      <c r="P7" s="3897" t="s">
        <v>479</v>
      </c>
      <c r="Q7" s="3906"/>
      <c r="R7" s="1380" t="s">
        <v>10</v>
      </c>
      <c r="S7" s="1381">
        <f t="shared" ref="S7:S15" si="0">F7</f>
        <v>0</v>
      </c>
      <c r="T7" s="1380" t="s">
        <v>10</v>
      </c>
      <c r="U7" s="1381">
        <f t="shared" ref="U7:U15" si="1">H7</f>
        <v>0</v>
      </c>
      <c r="V7" s="1380" t="s">
        <v>10</v>
      </c>
      <c r="W7" s="1381">
        <f t="shared" ref="W7:W15" si="2">J7</f>
        <v>0</v>
      </c>
      <c r="X7" s="1382"/>
      <c r="Y7" s="3897" t="s">
        <v>479</v>
      </c>
      <c r="Z7" s="3898"/>
      <c r="AA7" s="1383" t="e">
        <f>D7/F7</f>
        <v>#DIV/0!</v>
      </c>
      <c r="AB7" s="1383" t="e">
        <f>D7/H7</f>
        <v>#DIV/0!</v>
      </c>
      <c r="AC7" s="1383" t="e">
        <f>D7/J7</f>
        <v>#DIV/0!</v>
      </c>
    </row>
    <row r="8" spans="1:29" s="1118" customFormat="1" ht="15.75" thickBot="1">
      <c r="A8" s="2391"/>
      <c r="B8" s="2398" t="s">
        <v>480</v>
      </c>
      <c r="C8" s="495" t="s">
        <v>524</v>
      </c>
      <c r="D8" s="490">
        <v>100</v>
      </c>
      <c r="E8" s="821"/>
      <c r="F8" s="492">
        <f>SUMIF(61:61,E8,62:62)-SUMIF(61:61,C8,62:62)+100</f>
        <v>0</v>
      </c>
      <c r="G8" s="495"/>
      <c r="H8" s="490">
        <f>SUMIF(61:61,G8,62:62)-SUMIF(61:61,C8,62:62)+100</f>
        <v>0</v>
      </c>
      <c r="I8" s="821"/>
      <c r="J8" s="490">
        <f>SUMIF(61:61,I8,62:62)-SUMIF(61:61,C8,62:62)+100</f>
        <v>0</v>
      </c>
      <c r="K8" s="820"/>
      <c r="L8" s="1856"/>
      <c r="M8" s="1857"/>
      <c r="N8" s="1857"/>
      <c r="O8" s="1857"/>
      <c r="P8" s="3897" t="s">
        <v>482</v>
      </c>
      <c r="Q8" s="3898"/>
      <c r="R8" s="1380" t="s">
        <v>10</v>
      </c>
      <c r="S8" s="1381">
        <f t="shared" si="0"/>
        <v>0</v>
      </c>
      <c r="T8" s="1380" t="s">
        <v>10</v>
      </c>
      <c r="U8" s="1381">
        <f t="shared" si="1"/>
        <v>0</v>
      </c>
      <c r="V8" s="1380" t="s">
        <v>10</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3"/>
      <c r="F9" s="824">
        <f>SUMIF(63:63,E9,64:64)-SUMIF(63:63,C9,64:64)+100</f>
        <v>100</v>
      </c>
      <c r="G9" s="825"/>
      <c r="H9" s="245">
        <f>SUMIF(63:63,G9,64:64)-SUMIF(63:63,C9,64:64)+100</f>
        <v>100</v>
      </c>
      <c r="I9" s="825"/>
      <c r="J9" s="245">
        <f>SUMIF(63:63,I9,64:64)-SUMIF(63:63,C9,64:64)+100</f>
        <v>100</v>
      </c>
      <c r="K9" s="820"/>
      <c r="L9" s="1856"/>
      <c r="M9" s="1857"/>
      <c r="N9" s="1857"/>
      <c r="O9" s="1858"/>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6"/>
      <c r="F10" s="826">
        <f>SUMIF(65:65,E10,66:66)-SUMIF(65:65,C10,66:66)+100</f>
        <v>100</v>
      </c>
      <c r="G10" s="3655"/>
      <c r="H10" s="246">
        <f>SUMIF(65:65,G10,66:66)-SUMIF(65:65,C10,66:66)+100</f>
        <v>100</v>
      </c>
      <c r="I10" s="3655"/>
      <c r="J10" s="246">
        <f>SUMIF(65:65,I10,66:66)-SUMIF(65:65,C10,66:66)+100</f>
        <v>100</v>
      </c>
      <c r="K10" s="820"/>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4"/>
      <c r="B11" s="2398"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1"/>
      <c r="M11" s="1855"/>
      <c r="N11" s="1855"/>
      <c r="O11" s="1862"/>
      <c r="P11" s="3905"/>
      <c r="Q11" s="1050" t="str">
        <f t="shared" si="6"/>
        <v>容积率</v>
      </c>
      <c r="R11" s="1380" t="s">
        <v>8</v>
      </c>
      <c r="S11" s="1381" t="e">
        <f t="shared" si="0"/>
        <v>#N/A</v>
      </c>
      <c r="T11" s="1380" t="s">
        <v>8</v>
      </c>
      <c r="U11" s="1381" t="e">
        <f t="shared" si="1"/>
        <v>#N/A</v>
      </c>
      <c r="V11" s="1380" t="s">
        <v>8</v>
      </c>
      <c r="W11" s="1381" t="e">
        <f t="shared" si="2"/>
        <v>#N/A</v>
      </c>
      <c r="X11" s="1382"/>
      <c r="Y11" s="3857"/>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905"/>
      <c r="Q12" s="1050">
        <f t="shared" si="6"/>
        <v>111</v>
      </c>
      <c r="R12" s="1380" t="s">
        <v>8</v>
      </c>
      <c r="S12" s="1381">
        <f t="shared" si="0"/>
        <v>100</v>
      </c>
      <c r="T12" s="1380" t="s">
        <v>8</v>
      </c>
      <c r="U12" s="1381">
        <f t="shared" si="1"/>
        <v>100</v>
      </c>
      <c r="V12" s="1380" t="s">
        <v>8</v>
      </c>
      <c r="W12" s="1381">
        <f t="shared" si="2"/>
        <v>100</v>
      </c>
      <c r="X12" s="1382"/>
      <c r="Y12" s="3857"/>
      <c r="Z12" s="1049">
        <f t="shared" si="7"/>
        <v>111</v>
      </c>
      <c r="AA12" s="1383">
        <f>D12/F12</f>
        <v>1</v>
      </c>
      <c r="AB12" s="1383">
        <f>D12/H12</f>
        <v>1</v>
      </c>
      <c r="AC12" s="1383">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905"/>
      <c r="Q13" s="1050">
        <f t="shared" si="6"/>
        <v>111</v>
      </c>
      <c r="R13" s="1380" t="s">
        <v>8</v>
      </c>
      <c r="S13" s="1381">
        <f t="shared" si="0"/>
        <v>100</v>
      </c>
      <c r="T13" s="1380" t="s">
        <v>8</v>
      </c>
      <c r="U13" s="1381">
        <f t="shared" si="1"/>
        <v>100</v>
      </c>
      <c r="V13" s="1380" t="s">
        <v>8</v>
      </c>
      <c r="W13" s="1381">
        <f t="shared" si="2"/>
        <v>100</v>
      </c>
      <c r="X13" s="1382"/>
      <c r="Y13" s="3857"/>
      <c r="Z13" s="1049">
        <f t="shared" si="7"/>
        <v>111</v>
      </c>
      <c r="AA13" s="1383">
        <f t="shared" si="3"/>
        <v>1</v>
      </c>
      <c r="AB13" s="1383">
        <f t="shared" si="4"/>
        <v>1</v>
      </c>
      <c r="AC13" s="1383">
        <f t="shared" si="5"/>
        <v>1</v>
      </c>
    </row>
    <row r="14" spans="1:29" ht="15.75"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905"/>
      <c r="Q14" s="1050">
        <f t="shared" si="6"/>
        <v>111</v>
      </c>
      <c r="R14" s="1380" t="s">
        <v>8</v>
      </c>
      <c r="S14" s="1381">
        <f t="shared" si="0"/>
        <v>100</v>
      </c>
      <c r="T14" s="1380" t="s">
        <v>8</v>
      </c>
      <c r="U14" s="1381">
        <f t="shared" si="1"/>
        <v>100</v>
      </c>
      <c r="V14" s="1380" t="s">
        <v>8</v>
      </c>
      <c r="W14" s="1381">
        <f t="shared" si="2"/>
        <v>100</v>
      </c>
      <c r="X14" s="1382"/>
      <c r="Y14" s="3857"/>
      <c r="Z14" s="1049">
        <f t="shared" si="7"/>
        <v>111</v>
      </c>
      <c r="AA14" s="1383">
        <f t="shared" si="3"/>
        <v>1</v>
      </c>
      <c r="AB14" s="1383">
        <f t="shared" si="4"/>
        <v>1</v>
      </c>
      <c r="AC14" s="1383">
        <f t="shared" si="5"/>
        <v>1</v>
      </c>
    </row>
    <row r="15" spans="1:29" ht="15">
      <c r="A15" s="2388" t="s">
        <v>2035</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3"/>
      <c r="M15" s="1855"/>
      <c r="N15" s="1855"/>
      <c r="O15" s="1862"/>
      <c r="P15" s="3907" t="s">
        <v>489</v>
      </c>
      <c r="Q15" s="1384" t="str">
        <f t="shared" si="6"/>
        <v>居住社区成熟度</v>
      </c>
      <c r="R15" s="1385" t="s">
        <v>8</v>
      </c>
      <c r="S15" s="1386">
        <f t="shared" si="0"/>
        <v>100</v>
      </c>
      <c r="T15" s="1385" t="s">
        <v>8</v>
      </c>
      <c r="U15" s="1386">
        <f t="shared" si="1"/>
        <v>100</v>
      </c>
      <c r="V15" s="1385" t="s">
        <v>8</v>
      </c>
      <c r="W15" s="1386">
        <f t="shared" si="2"/>
        <v>100</v>
      </c>
      <c r="X15" s="1379"/>
      <c r="Y15" s="3907"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3"/>
      <c r="M16" s="1855"/>
      <c r="N16" s="1855"/>
      <c r="O16" s="1862"/>
      <c r="P16" s="3908"/>
      <c r="Q16" s="1384"/>
      <c r="R16" s="1385"/>
      <c r="S16" s="1386"/>
      <c r="T16" s="1385"/>
      <c r="U16" s="1386"/>
      <c r="V16" s="1385"/>
      <c r="W16" s="1386"/>
      <c r="X16" s="1379"/>
      <c r="Y16" s="3908"/>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3"/>
      <c r="M17" s="1855"/>
      <c r="N17" s="1855"/>
      <c r="O17" s="1862"/>
      <c r="P17" s="3908"/>
      <c r="Q17" s="1384" t="str">
        <f>B17</f>
        <v>交通便捷度</v>
      </c>
      <c r="R17" s="1385" t="s">
        <v>8</v>
      </c>
      <c r="S17" s="1386">
        <f>F17</f>
        <v>100</v>
      </c>
      <c r="T17" s="1385" t="s">
        <v>8</v>
      </c>
      <c r="U17" s="1386">
        <f>H17</f>
        <v>100</v>
      </c>
      <c r="V17" s="1385" t="s">
        <v>8</v>
      </c>
      <c r="W17" s="1386">
        <f>J17</f>
        <v>100</v>
      </c>
      <c r="X17" s="1379"/>
      <c r="Y17" s="390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3"/>
      <c r="M18" s="1855"/>
      <c r="N18" s="1855"/>
      <c r="O18" s="1862"/>
      <c r="P18" s="3908"/>
      <c r="Q18" s="1384"/>
      <c r="R18" s="1385"/>
      <c r="S18" s="1386"/>
      <c r="T18" s="1385"/>
      <c r="U18" s="1386"/>
      <c r="V18" s="1385"/>
      <c r="W18" s="1386"/>
      <c r="X18" s="1379"/>
      <c r="Y18" s="3908"/>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3"/>
      <c r="M19" s="1855"/>
      <c r="N19" s="1855"/>
      <c r="O19" s="1862"/>
      <c r="P19" s="3908"/>
      <c r="Q19" s="1384" t="str">
        <f>B19</f>
        <v>公共配套设施</v>
      </c>
      <c r="R19" s="1385" t="s">
        <v>8</v>
      </c>
      <c r="S19" s="1386">
        <f>F19</f>
        <v>100</v>
      </c>
      <c r="T19" s="1385" t="s">
        <v>8</v>
      </c>
      <c r="U19" s="1386">
        <f>H19</f>
        <v>100</v>
      </c>
      <c r="V19" s="1385" t="s">
        <v>8</v>
      </c>
      <c r="W19" s="1386">
        <f>J19</f>
        <v>100</v>
      </c>
      <c r="X19" s="1379"/>
      <c r="Y19" s="390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3"/>
      <c r="M20" s="1855"/>
      <c r="N20" s="1855"/>
      <c r="O20" s="1862"/>
      <c r="P20" s="3908"/>
      <c r="Q20" s="1384"/>
      <c r="R20" s="1385"/>
      <c r="S20" s="1386"/>
      <c r="T20" s="1385"/>
      <c r="U20" s="1386"/>
      <c r="V20" s="1385"/>
      <c r="W20" s="1386"/>
      <c r="X20" s="1379"/>
      <c r="Y20" s="3908"/>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3"/>
      <c r="M21" s="1855"/>
      <c r="N21" s="1855"/>
      <c r="O21" s="1862"/>
      <c r="P21" s="3908"/>
      <c r="Q21" s="2191" t="str">
        <f>B21</f>
        <v>基础设施水平</v>
      </c>
      <c r="R21" s="1385" t="s">
        <v>8</v>
      </c>
      <c r="S21" s="1386">
        <f>F21</f>
        <v>100</v>
      </c>
      <c r="T21" s="1385" t="s">
        <v>8</v>
      </c>
      <c r="U21" s="1386">
        <f>H21</f>
        <v>100</v>
      </c>
      <c r="V21" s="1385" t="s">
        <v>8</v>
      </c>
      <c r="W21" s="1386">
        <f>J21</f>
        <v>100</v>
      </c>
      <c r="X21" s="2193"/>
      <c r="Y21" s="3908"/>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5"/>
      <c r="L22" s="1863"/>
      <c r="M22" s="1855"/>
      <c r="N22" s="1855"/>
      <c r="O22" s="1862"/>
      <c r="P22" s="3908"/>
      <c r="Q22" s="2191"/>
      <c r="R22" s="1385"/>
      <c r="S22" s="1386"/>
      <c r="T22" s="1385"/>
      <c r="U22" s="1386"/>
      <c r="V22" s="1385"/>
      <c r="W22" s="1386"/>
      <c r="X22" s="2193"/>
      <c r="Y22" s="3908"/>
      <c r="Z22" s="2192"/>
      <c r="AA22" s="1388">
        <v>1</v>
      </c>
      <c r="AB22" s="1388">
        <v>1</v>
      </c>
      <c r="AC22" s="1388">
        <v>1</v>
      </c>
    </row>
    <row r="23" spans="1:29" ht="15">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3"/>
      <c r="M23" s="1855"/>
      <c r="N23" s="1855"/>
      <c r="O23" s="1862"/>
      <c r="P23" s="3908"/>
      <c r="Q23" s="1384" t="str">
        <f>B23</f>
        <v>自然及人文环境</v>
      </c>
      <c r="R23" s="1385" t="s">
        <v>8</v>
      </c>
      <c r="S23" s="1386">
        <f>F23</f>
        <v>100</v>
      </c>
      <c r="T23" s="1385" t="s">
        <v>8</v>
      </c>
      <c r="U23" s="1386">
        <f>H23</f>
        <v>100</v>
      </c>
      <c r="V23" s="1385" t="s">
        <v>8</v>
      </c>
      <c r="W23" s="1386">
        <f>J23</f>
        <v>100</v>
      </c>
      <c r="X23" s="1379"/>
      <c r="Y23" s="390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3"/>
      <c r="M24" s="1855"/>
      <c r="N24" s="1855"/>
      <c r="O24" s="1862"/>
      <c r="P24" s="3908"/>
      <c r="Q24" s="1384"/>
      <c r="R24" s="1385"/>
      <c r="S24" s="1386"/>
      <c r="T24" s="1385"/>
      <c r="U24" s="1386"/>
      <c r="V24" s="1385"/>
      <c r="W24" s="1386"/>
      <c r="X24" s="1379"/>
      <c r="Y24" s="3908"/>
      <c r="Z24" s="1387"/>
      <c r="AA24" s="1388">
        <v>1</v>
      </c>
      <c r="AB24" s="1388">
        <v>1</v>
      </c>
      <c r="AC24" s="1388">
        <v>1</v>
      </c>
    </row>
    <row r="25" spans="1:29" ht="15">
      <c r="A25" s="502"/>
      <c r="B25" s="1649" t="s">
        <v>1614</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08"/>
      <c r="Q25" s="1384" t="str">
        <f t="shared" ref="Q25:Q46" si="8">B25</f>
        <v>楼层-1</v>
      </c>
      <c r="R25" s="1385" t="s">
        <v>8</v>
      </c>
      <c r="S25" s="1386">
        <f>F25</f>
        <v>100</v>
      </c>
      <c r="T25" s="1385" t="s">
        <v>8</v>
      </c>
      <c r="U25" s="1386">
        <f>H25</f>
        <v>100</v>
      </c>
      <c r="V25" s="1385" t="s">
        <v>8</v>
      </c>
      <c r="W25" s="1386">
        <f>J25</f>
        <v>100</v>
      </c>
      <c r="X25" s="1379"/>
      <c r="Y25" s="3908"/>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08"/>
      <c r="Q26" s="1384" t="str">
        <f t="shared" si="8"/>
        <v>朝向</v>
      </c>
      <c r="R26" s="1385" t="s">
        <v>8</v>
      </c>
      <c r="S26" s="1386">
        <f>F26</f>
        <v>100</v>
      </c>
      <c r="T26" s="1385" t="s">
        <v>8</v>
      </c>
      <c r="U26" s="1386">
        <f>H26</f>
        <v>100</v>
      </c>
      <c r="V26" s="1385" t="s">
        <v>8</v>
      </c>
      <c r="W26" s="1386">
        <f>J26</f>
        <v>100</v>
      </c>
      <c r="X26" s="1379"/>
      <c r="Y26" s="3908"/>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08"/>
      <c r="Q27" s="1050" t="str">
        <f t="shared" si="8"/>
        <v>道路级别</v>
      </c>
      <c r="R27" s="1380" t="s">
        <v>8</v>
      </c>
      <c r="S27" s="1381">
        <f>F27</f>
        <v>100</v>
      </c>
      <c r="T27" s="1380" t="s">
        <v>8</v>
      </c>
      <c r="U27" s="1381">
        <f>H27</f>
        <v>100</v>
      </c>
      <c r="V27" s="1380" t="s">
        <v>8</v>
      </c>
      <c r="W27" s="1381">
        <f>J27</f>
        <v>100</v>
      </c>
      <c r="X27" s="1382"/>
      <c r="Y27" s="3908"/>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08"/>
      <c r="Q28" s="1384">
        <f t="shared" si="8"/>
        <v>111</v>
      </c>
      <c r="R28" s="1385" t="s">
        <v>8</v>
      </c>
      <c r="S28" s="1386">
        <f t="shared" ref="S28:S46" si="9">F28</f>
        <v>100</v>
      </c>
      <c r="T28" s="1385" t="s">
        <v>8</v>
      </c>
      <c r="U28" s="1386">
        <f t="shared" ref="U28:U46" si="10">H28</f>
        <v>100</v>
      </c>
      <c r="V28" s="1385" t="s">
        <v>8</v>
      </c>
      <c r="W28" s="1386">
        <f t="shared" ref="W28:W46" si="11">J28</f>
        <v>100</v>
      </c>
      <c r="X28" s="1379"/>
      <c r="Y28" s="3908"/>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08"/>
      <c r="Q29" s="1384">
        <f t="shared" si="8"/>
        <v>111</v>
      </c>
      <c r="R29" s="1385" t="s">
        <v>8</v>
      </c>
      <c r="S29" s="1386">
        <f t="shared" si="9"/>
        <v>100</v>
      </c>
      <c r="T29" s="1385" t="s">
        <v>8</v>
      </c>
      <c r="U29" s="1386">
        <f t="shared" si="10"/>
        <v>100</v>
      </c>
      <c r="V29" s="1385" t="s">
        <v>8</v>
      </c>
      <c r="W29" s="1386">
        <f t="shared" si="11"/>
        <v>100</v>
      </c>
      <c r="X29" s="1379"/>
      <c r="Y29" s="390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08"/>
      <c r="Q30" s="1384">
        <f t="shared" si="8"/>
        <v>111</v>
      </c>
      <c r="R30" s="1385" t="s">
        <v>8</v>
      </c>
      <c r="S30" s="1386">
        <f t="shared" si="9"/>
        <v>100</v>
      </c>
      <c r="T30" s="1385" t="s">
        <v>8</v>
      </c>
      <c r="U30" s="1386">
        <f t="shared" si="10"/>
        <v>100</v>
      </c>
      <c r="V30" s="1385" t="s">
        <v>8</v>
      </c>
      <c r="W30" s="1386">
        <f t="shared" si="11"/>
        <v>100</v>
      </c>
      <c r="X30" s="1379"/>
      <c r="Y30" s="3908"/>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08"/>
      <c r="Q31" s="1384">
        <f t="shared" si="8"/>
        <v>111</v>
      </c>
      <c r="R31" s="1385" t="s">
        <v>8</v>
      </c>
      <c r="S31" s="1386">
        <f t="shared" si="9"/>
        <v>100</v>
      </c>
      <c r="T31" s="1385" t="s">
        <v>8</v>
      </c>
      <c r="U31" s="1386">
        <f t="shared" si="10"/>
        <v>100</v>
      </c>
      <c r="V31" s="1385" t="s">
        <v>8</v>
      </c>
      <c r="W31" s="1386">
        <f t="shared" si="11"/>
        <v>100</v>
      </c>
      <c r="X31" s="1379"/>
      <c r="Y31" s="3908"/>
      <c r="Z31" s="1387">
        <f t="shared" si="12"/>
        <v>111</v>
      </c>
      <c r="AA31" s="1388">
        <f t="shared" si="3"/>
        <v>1</v>
      </c>
      <c r="AB31" s="1388">
        <f t="shared" si="4"/>
        <v>1</v>
      </c>
      <c r="AC31" s="1388">
        <f t="shared" si="5"/>
        <v>1</v>
      </c>
    </row>
    <row r="32" spans="1:29" ht="15">
      <c r="A32" s="2385"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3"/>
      <c r="M32" s="1855"/>
      <c r="N32" s="1855"/>
      <c r="O32" s="1862"/>
      <c r="P32" s="3909" t="s">
        <v>499</v>
      </c>
      <c r="Q32" s="1384" t="str">
        <f t="shared" si="8"/>
        <v>建筑类型</v>
      </c>
      <c r="R32" s="1385" t="s">
        <v>8</v>
      </c>
      <c r="S32" s="1386">
        <f t="shared" si="9"/>
        <v>100</v>
      </c>
      <c r="T32" s="1385" t="s">
        <v>8</v>
      </c>
      <c r="U32" s="1386">
        <f t="shared" si="10"/>
        <v>100</v>
      </c>
      <c r="V32" s="1385" t="s">
        <v>8</v>
      </c>
      <c r="W32" s="1386">
        <f t="shared" si="11"/>
        <v>100</v>
      </c>
      <c r="X32" s="1379"/>
      <c r="Y32" s="3910"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1"/>
      <c r="M33" s="1891"/>
      <c r="N33" s="1891"/>
      <c r="O33" s="1864"/>
      <c r="P33" s="3910"/>
      <c r="Q33" s="1413" t="str">
        <f t="shared" si="8"/>
        <v>项目建筑规模</v>
      </c>
      <c r="R33" s="1389" t="s">
        <v>8</v>
      </c>
      <c r="S33" s="1390" t="e">
        <f t="shared" si="9"/>
        <v>#N/A</v>
      </c>
      <c r="T33" s="1389" t="s">
        <v>8</v>
      </c>
      <c r="U33" s="1390" t="e">
        <f t="shared" si="10"/>
        <v>#N/A</v>
      </c>
      <c r="V33" s="1389" t="s">
        <v>8</v>
      </c>
      <c r="W33" s="1390" t="e">
        <f t="shared" si="11"/>
        <v>#N/A</v>
      </c>
      <c r="X33" s="1391"/>
      <c r="Y33" s="3910"/>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3"/>
      <c r="M34" s="1855"/>
      <c r="N34" s="1855"/>
      <c r="O34" s="1862"/>
      <c r="P34" s="3910"/>
      <c r="Q34" s="1384" t="str">
        <f t="shared" si="8"/>
        <v>建筑结构</v>
      </c>
      <c r="R34" s="1385" t="s">
        <v>8</v>
      </c>
      <c r="S34" s="1386">
        <f t="shared" si="9"/>
        <v>100</v>
      </c>
      <c r="T34" s="1385" t="s">
        <v>8</v>
      </c>
      <c r="U34" s="1386">
        <f t="shared" si="10"/>
        <v>100</v>
      </c>
      <c r="V34" s="1385" t="s">
        <v>8</v>
      </c>
      <c r="W34" s="1386">
        <f t="shared" si="11"/>
        <v>100</v>
      </c>
      <c r="X34" s="1379"/>
      <c r="Y34" s="3910"/>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3"/>
      <c r="M35" s="1855"/>
      <c r="N35" s="1855"/>
      <c r="O35" s="1862"/>
      <c r="P35" s="3910"/>
      <c r="Q35" s="1384" t="str">
        <f t="shared" si="8"/>
        <v>建筑品质</v>
      </c>
      <c r="R35" s="1385" t="s">
        <v>8</v>
      </c>
      <c r="S35" s="1386">
        <f t="shared" si="9"/>
        <v>100</v>
      </c>
      <c r="T35" s="1385" t="s">
        <v>8</v>
      </c>
      <c r="U35" s="1386">
        <f t="shared" si="10"/>
        <v>100</v>
      </c>
      <c r="V35" s="1385" t="s">
        <v>8</v>
      </c>
      <c r="W35" s="1386">
        <f t="shared" si="11"/>
        <v>100</v>
      </c>
      <c r="X35" s="1379"/>
      <c r="Y35" s="3910"/>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3"/>
      <c r="M36" s="1855"/>
      <c r="N36" s="1855"/>
      <c r="O36" s="1862"/>
      <c r="P36" s="3910"/>
      <c r="Q36" s="1384" t="str">
        <f t="shared" si="8"/>
        <v>公共部分装修</v>
      </c>
      <c r="R36" s="1385" t="s">
        <v>8</v>
      </c>
      <c r="S36" s="1386">
        <f t="shared" si="9"/>
        <v>100</v>
      </c>
      <c r="T36" s="1385" t="s">
        <v>8</v>
      </c>
      <c r="U36" s="1386">
        <f t="shared" si="10"/>
        <v>100</v>
      </c>
      <c r="V36" s="1385" t="s">
        <v>8</v>
      </c>
      <c r="W36" s="1386">
        <f t="shared" si="11"/>
        <v>100</v>
      </c>
      <c r="X36" s="1379"/>
      <c r="Y36" s="3910"/>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6"/>
      <c r="M37" s="1857"/>
      <c r="N37" s="1857"/>
      <c r="O37" s="1858"/>
      <c r="P37" s="3910"/>
      <c r="Q37" s="1050" t="str">
        <f t="shared" si="8"/>
        <v>成新度</v>
      </c>
      <c r="R37" s="1380" t="s">
        <v>8</v>
      </c>
      <c r="S37" s="1381" t="e">
        <f t="shared" si="9"/>
        <v>#N/A</v>
      </c>
      <c r="T37" s="1380" t="s">
        <v>8</v>
      </c>
      <c r="U37" s="1381" t="e">
        <f t="shared" si="10"/>
        <v>#N/A</v>
      </c>
      <c r="V37" s="1380" t="s">
        <v>8</v>
      </c>
      <c r="W37" s="1381" t="e">
        <f t="shared" si="11"/>
        <v>#N/A</v>
      </c>
      <c r="X37" s="1382"/>
      <c r="Y37" s="3910"/>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3"/>
      <c r="M38" s="1855"/>
      <c r="N38" s="1855"/>
      <c r="O38" s="1862"/>
      <c r="P38" s="3910" t="s">
        <v>499</v>
      </c>
      <c r="Q38" s="1384" t="str">
        <f t="shared" si="8"/>
        <v>物业管理</v>
      </c>
      <c r="R38" s="1385" t="s">
        <v>8</v>
      </c>
      <c r="S38" s="1386">
        <f t="shared" si="9"/>
        <v>100</v>
      </c>
      <c r="T38" s="1385" t="s">
        <v>8</v>
      </c>
      <c r="U38" s="1386">
        <f t="shared" si="10"/>
        <v>100</v>
      </c>
      <c r="V38" s="1385" t="s">
        <v>8</v>
      </c>
      <c r="W38" s="1386">
        <f t="shared" si="11"/>
        <v>100</v>
      </c>
      <c r="X38" s="1379"/>
      <c r="Y38" s="3910" t="s">
        <v>499</v>
      </c>
      <c r="Z38" s="1387" t="str">
        <f t="shared" si="12"/>
        <v>物业管理</v>
      </c>
      <c r="AA38" s="1388">
        <f t="shared" si="3"/>
        <v>1</v>
      </c>
      <c r="AB38" s="1388">
        <f t="shared" si="4"/>
        <v>1</v>
      </c>
      <c r="AC38" s="1388">
        <f t="shared" si="5"/>
        <v>1</v>
      </c>
    </row>
    <row r="39" spans="1:29" ht="15">
      <c r="A39" s="564"/>
      <c r="B39" s="1649"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3"/>
      <c r="M39" s="1855"/>
      <c r="N39" s="1855"/>
      <c r="O39" s="1862"/>
      <c r="P39" s="3910"/>
      <c r="Q39" s="1384" t="str">
        <f t="shared" si="8"/>
        <v>市政基础设施</v>
      </c>
      <c r="R39" s="1385" t="s">
        <v>8</v>
      </c>
      <c r="S39" s="1386">
        <f t="shared" si="9"/>
        <v>100</v>
      </c>
      <c r="T39" s="1385" t="s">
        <v>8</v>
      </c>
      <c r="U39" s="1386">
        <f t="shared" si="10"/>
        <v>100</v>
      </c>
      <c r="V39" s="1385" t="s">
        <v>8</v>
      </c>
      <c r="W39" s="1386">
        <f t="shared" si="11"/>
        <v>100</v>
      </c>
      <c r="X39" s="1379"/>
      <c r="Y39" s="3910"/>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910"/>
      <c r="Q40" s="1384" t="str">
        <f t="shared" si="8"/>
        <v>房型</v>
      </c>
      <c r="R40" s="1385" t="s">
        <v>8</v>
      </c>
      <c r="S40" s="1386">
        <f t="shared" si="9"/>
        <v>100</v>
      </c>
      <c r="T40" s="1385" t="s">
        <v>8</v>
      </c>
      <c r="U40" s="1386">
        <f t="shared" si="10"/>
        <v>100</v>
      </c>
      <c r="V40" s="1385" t="s">
        <v>8</v>
      </c>
      <c r="W40" s="1386">
        <f t="shared" si="11"/>
        <v>100</v>
      </c>
      <c r="X40" s="1379"/>
      <c r="Y40" s="3910"/>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910"/>
      <c r="Q41" s="1413" t="str">
        <f t="shared" si="8"/>
        <v>单套/主力户型建筑面积</v>
      </c>
      <c r="R41" s="1389" t="s">
        <v>8</v>
      </c>
      <c r="S41" s="1390">
        <f t="shared" si="9"/>
        <v>100</v>
      </c>
      <c r="T41" s="1389" t="s">
        <v>8</v>
      </c>
      <c r="U41" s="1390">
        <f t="shared" si="10"/>
        <v>100</v>
      </c>
      <c r="V41" s="1389" t="s">
        <v>8</v>
      </c>
      <c r="W41" s="1390">
        <f t="shared" si="11"/>
        <v>100</v>
      </c>
      <c r="X41" s="1391"/>
      <c r="Y41" s="3910"/>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3"/>
      <c r="M42" s="1855"/>
      <c r="N42" s="1855"/>
      <c r="O42" s="1862"/>
      <c r="P42" s="3910"/>
      <c r="Q42" s="1384" t="str">
        <f t="shared" si="8"/>
        <v>内部装修</v>
      </c>
      <c r="R42" s="1385" t="s">
        <v>8</v>
      </c>
      <c r="S42" s="1386">
        <f t="shared" si="9"/>
        <v>100</v>
      </c>
      <c r="T42" s="1385" t="s">
        <v>8</v>
      </c>
      <c r="U42" s="1386">
        <f t="shared" si="10"/>
        <v>100</v>
      </c>
      <c r="V42" s="1385" t="s">
        <v>8</v>
      </c>
      <c r="W42" s="1386">
        <f t="shared" si="11"/>
        <v>100</v>
      </c>
      <c r="X42" s="1379"/>
      <c r="Y42" s="3910"/>
      <c r="Z42" s="1387" t="str">
        <f t="shared" si="12"/>
        <v>内部装修</v>
      </c>
      <c r="AA42" s="1388">
        <f t="shared" si="3"/>
        <v>1</v>
      </c>
      <c r="AB42" s="1388">
        <f t="shared" si="4"/>
        <v>1</v>
      </c>
      <c r="AC42" s="1388">
        <f t="shared" si="5"/>
        <v>1</v>
      </c>
    </row>
    <row r="43" spans="1:29" ht="15">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10"/>
      <c r="Q43" s="1384" t="str">
        <f t="shared" si="8"/>
        <v>内部装修维护情况</v>
      </c>
      <c r="R43" s="1385" t="s">
        <v>8</v>
      </c>
      <c r="S43" s="1386">
        <f t="shared" si="9"/>
        <v>100</v>
      </c>
      <c r="T43" s="1385" t="s">
        <v>8</v>
      </c>
      <c r="U43" s="1386">
        <f t="shared" si="10"/>
        <v>100</v>
      </c>
      <c r="V43" s="1385" t="s">
        <v>8</v>
      </c>
      <c r="W43" s="1386">
        <f t="shared" si="11"/>
        <v>100</v>
      </c>
      <c r="X43" s="1379"/>
      <c r="Y43" s="3910"/>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10"/>
      <c r="Q44" s="1050">
        <f t="shared" si="8"/>
        <v>111</v>
      </c>
      <c r="R44" s="1380" t="s">
        <v>8</v>
      </c>
      <c r="S44" s="1381">
        <f t="shared" si="9"/>
        <v>100</v>
      </c>
      <c r="T44" s="1380" t="s">
        <v>8</v>
      </c>
      <c r="U44" s="1381">
        <f t="shared" si="10"/>
        <v>100</v>
      </c>
      <c r="V44" s="1380" t="s">
        <v>8</v>
      </c>
      <c r="W44" s="1381">
        <f t="shared" si="11"/>
        <v>100</v>
      </c>
      <c r="X44" s="1382"/>
      <c r="Y44" s="3910"/>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10"/>
      <c r="Q45" s="1384">
        <f t="shared" si="8"/>
        <v>111</v>
      </c>
      <c r="R45" s="1385" t="s">
        <v>8</v>
      </c>
      <c r="S45" s="1386">
        <f t="shared" si="9"/>
        <v>100</v>
      </c>
      <c r="T45" s="1385" t="s">
        <v>8</v>
      </c>
      <c r="U45" s="1386">
        <f t="shared" si="10"/>
        <v>100</v>
      </c>
      <c r="V45" s="1385" t="s">
        <v>8</v>
      </c>
      <c r="W45" s="1386">
        <f t="shared" si="11"/>
        <v>100</v>
      </c>
      <c r="X45" s="1379"/>
      <c r="Y45" s="3910"/>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22"/>
      <c r="Q46" s="1384">
        <f t="shared" si="8"/>
        <v>111</v>
      </c>
      <c r="R46" s="1385" t="s">
        <v>7</v>
      </c>
      <c r="S46" s="1386">
        <f t="shared" si="9"/>
        <v>100</v>
      </c>
      <c r="T46" s="1385" t="s">
        <v>7</v>
      </c>
      <c r="U46" s="1386">
        <f t="shared" si="10"/>
        <v>100</v>
      </c>
      <c r="V46" s="1385" t="s">
        <v>7</v>
      </c>
      <c r="W46" s="1386">
        <f t="shared" si="11"/>
        <v>100</v>
      </c>
      <c r="X46" s="1379"/>
      <c r="Y46" s="4022"/>
      <c r="Z46" s="1387">
        <f t="shared" si="12"/>
        <v>111</v>
      </c>
      <c r="AA46" s="1388">
        <f t="shared" si="3"/>
        <v>1</v>
      </c>
      <c r="AB46" s="1388">
        <f t="shared" si="4"/>
        <v>1</v>
      </c>
      <c r="AC46" s="1388">
        <f t="shared" si="5"/>
        <v>1</v>
      </c>
    </row>
    <row r="47" spans="1:29" ht="15">
      <c r="A47" s="577" t="s">
        <v>683</v>
      </c>
      <c r="B47" s="850"/>
      <c r="C47" s="2232" t="s">
        <v>6</v>
      </c>
      <c r="D47" s="2233"/>
      <c r="E47" s="2234"/>
      <c r="F47" s="2235"/>
      <c r="G47" s="2236"/>
      <c r="H47" s="2237"/>
      <c r="I47" s="2234"/>
      <c r="J47" s="2237"/>
      <c r="K47" s="1414"/>
      <c r="L47" s="1865"/>
      <c r="M47" s="1866"/>
      <c r="N47" s="1855"/>
      <c r="O47" s="1866"/>
      <c r="P47" s="3905" t="str">
        <f>A47</f>
        <v>成交单价（元/平方米）</v>
      </c>
      <c r="Q47" s="3905"/>
      <c r="R47" s="4021">
        <f>E47</f>
        <v>0</v>
      </c>
      <c r="S47" s="4021"/>
      <c r="T47" s="4021">
        <f>G47</f>
        <v>0</v>
      </c>
      <c r="U47" s="4021"/>
      <c r="V47" s="4021">
        <f>I47</f>
        <v>0</v>
      </c>
      <c r="W47" s="4021"/>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66"/>
      <c r="O48" s="1866"/>
      <c r="P48" s="3905" t="str">
        <f>A48</f>
        <v>比较价格（元/平方米）</v>
      </c>
      <c r="Q48" s="3905"/>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5"/>
      <c r="L49" s="1865"/>
      <c r="M49" s="1866"/>
      <c r="N49" s="1866"/>
      <c r="O49" s="1866"/>
      <c r="P49" s="3911" t="str">
        <f>A49</f>
        <v>估价对象XX用房的比较价格（楼面单价，元/平方米）</v>
      </c>
      <c r="Q49" s="3912"/>
      <c r="R49" s="4020" t="e">
        <f>IF(F1="售价",ROUND(IF(D48="简单平均",AVERAGE(R48:V48),R48*F48+T48*H48+V48*J48),0),ROUND(IF(D48="简单平均",AVERAGE(R48:V48),R48*F48+T48*H48+V48*J48),1))</f>
        <v>#DIV/0!</v>
      </c>
      <c r="S49" s="4020"/>
      <c r="T49" s="4020"/>
      <c r="U49" s="4020"/>
      <c r="V49" s="4020"/>
      <c r="W49" s="4020"/>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2"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6"/>
      <c r="F64" s="1416"/>
      <c r="G64" s="1416"/>
      <c r="H64" s="1416"/>
      <c r="I64" s="1416"/>
      <c r="J64" s="1416"/>
      <c r="K64" s="1416"/>
      <c r="L64" s="1416"/>
      <c r="M64" s="1417"/>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1650" t="s">
        <v>1615</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
        <v>686</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200" customFormat="1">
      <c r="A112" s="696"/>
      <c r="B112" s="649"/>
      <c r="C112" s="857">
        <v>0.5</v>
      </c>
      <c r="D112" s="857">
        <v>0.6</v>
      </c>
      <c r="E112" s="857">
        <v>0.7</v>
      </c>
      <c r="F112" s="857">
        <v>0.8</v>
      </c>
      <c r="G112" s="857">
        <v>0.9</v>
      </c>
      <c r="H112" s="857">
        <v>1.0001</v>
      </c>
      <c r="I112" s="857"/>
      <c r="J112" s="858"/>
      <c r="K112" s="858"/>
      <c r="L112" s="859"/>
      <c r="M112" s="860"/>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1838</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200" customFormat="1" ht="28.5" thickTop="1">
      <c r="A120" s="696"/>
      <c r="B120" s="641" t="s">
        <v>680</v>
      </c>
      <c r="C120" s="656"/>
      <c r="D120" s="656"/>
      <c r="E120" s="656"/>
      <c r="F120" s="656"/>
      <c r="G120" s="656"/>
      <c r="H120" s="656"/>
      <c r="I120" s="656"/>
      <c r="J120" s="656"/>
      <c r="K120" s="656"/>
      <c r="L120" s="853"/>
      <c r="M120" s="854"/>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1616</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1617</v>
      </c>
      <c r="C137" s="1673"/>
      <c r="D137" s="1673"/>
      <c r="E137" s="1673"/>
      <c r="F137" s="1673"/>
      <c r="G137" s="1674"/>
      <c r="H137" s="1675"/>
      <c r="I137" s="1676" t="s">
        <v>1618</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1619</v>
      </c>
      <c r="D138" s="1679" t="s">
        <v>1620</v>
      </c>
      <c r="E138" s="1680" t="s">
        <v>1621</v>
      </c>
      <c r="F138" s="1681" t="s">
        <v>1622</v>
      </c>
      <c r="G138" s="1679" t="s">
        <v>1623</v>
      </c>
      <c r="H138" s="1682" t="s">
        <v>1624</v>
      </c>
      <c r="I138" s="1683"/>
      <c r="J138" s="1679" t="s">
        <v>1625</v>
      </c>
      <c r="K138" s="1682" t="s">
        <v>1626</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1627</v>
      </c>
      <c r="E139" s="1653">
        <v>100</v>
      </c>
      <c r="F139" s="1654">
        <v>102.5</v>
      </c>
      <c r="G139" s="1684" t="s">
        <v>1628</v>
      </c>
      <c r="H139" s="1655">
        <v>105</v>
      </c>
      <c r="I139" s="1685" t="s">
        <v>1629</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1630</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1631</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1632</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1633</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1634</v>
      </c>
      <c r="E144" s="1659">
        <v>102</v>
      </c>
      <c r="F144" s="1665">
        <v>100</v>
      </c>
      <c r="G144" s="1688" t="s">
        <v>1634</v>
      </c>
      <c r="H144" s="1661">
        <v>105</v>
      </c>
      <c r="I144" s="1687" t="s">
        <v>1633</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1635</v>
      </c>
      <c r="C145" s="1666">
        <f>ROUND(MAX(C139:C144)/MIN(C139:C144)-1,3)</f>
        <v>7.2999999999999995E-2</v>
      </c>
      <c r="D145" s="1690"/>
      <c r="E145" s="1690"/>
      <c r="F145" s="1691" t="s">
        <v>1636</v>
      </c>
      <c r="G145" s="1692"/>
      <c r="H145" s="1693"/>
      <c r="I145" s="1694" t="s">
        <v>1633</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1644</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1645</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93.75">
      <c r="A7" s="2351" t="s">
        <v>2029</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2023年12月6日（评估专业人员勘察现场之日）</v>
      </c>
    </row>
    <row r="12" spans="1:4" ht="18.75">
      <c r="A12" s="1583" t="s">
        <v>1542</v>
      </c>
    </row>
    <row r="13" spans="1:4" ht="18.75">
      <c r="A13" s="1577" t="s">
        <v>1588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1591</v>
      </c>
    </row>
    <row r="23" spans="1:1" ht="18.75">
      <c r="A23" s="2353" t="s">
        <v>2030</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2"/>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913" t="s">
        <v>471</v>
      </c>
      <c r="D4" s="3914"/>
      <c r="E4" s="3939" t="s">
        <v>472</v>
      </c>
      <c r="F4" s="3940"/>
      <c r="G4" s="3913" t="s">
        <v>473</v>
      </c>
      <c r="H4" s="3914"/>
      <c r="I4" s="3913" t="s">
        <v>474</v>
      </c>
      <c r="J4" s="3914"/>
      <c r="K4" s="484" t="s">
        <v>475</v>
      </c>
      <c r="L4" s="1854"/>
      <c r="M4" s="1855"/>
      <c r="N4" s="1855"/>
      <c r="O4" s="1855"/>
      <c r="P4" s="3915" t="s">
        <v>476</v>
      </c>
      <c r="Q4" s="3916"/>
      <c r="R4" s="3899" t="s">
        <v>472</v>
      </c>
      <c r="S4" s="3900"/>
      <c r="T4" s="3899" t="s">
        <v>473</v>
      </c>
      <c r="U4" s="3900"/>
      <c r="V4" s="3921" t="s">
        <v>474</v>
      </c>
      <c r="W4" s="3921"/>
      <c r="X4" s="1379"/>
      <c r="Y4" s="3899" t="s">
        <v>476</v>
      </c>
      <c r="Z4" s="3900"/>
      <c r="AA4" s="3894" t="s">
        <v>472</v>
      </c>
      <c r="AB4" s="3921" t="s">
        <v>473</v>
      </c>
      <c r="AC4" s="3894" t="s">
        <v>474</v>
      </c>
    </row>
    <row r="5" spans="1:29" ht="15">
      <c r="A5" s="485"/>
      <c r="B5" s="486"/>
      <c r="C5" s="3924" t="s">
        <v>2186</v>
      </c>
      <c r="D5" s="3925"/>
      <c r="E5" s="3941" t="s">
        <v>2187</v>
      </c>
      <c r="F5" s="3942"/>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921"/>
      <c r="AC5" s="3895"/>
    </row>
    <row r="6" spans="1:29" ht="15.75" thickBot="1">
      <c r="A6" s="487"/>
      <c r="B6" s="488"/>
      <c r="C6" s="3922" t="s">
        <v>2190</v>
      </c>
      <c r="D6" s="3923"/>
      <c r="E6" s="3943" t="s">
        <v>2190</v>
      </c>
      <c r="F6" s="3944"/>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921"/>
      <c r="AC6" s="3896"/>
    </row>
    <row r="7" spans="1:29" s="1118" customFormat="1" ht="15.75" thickBot="1">
      <c r="A7" s="2390"/>
      <c r="B7" s="2397" t="s">
        <v>478</v>
      </c>
      <c r="C7" s="489">
        <f>'数据-取费表'!B2</f>
        <v>45266</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7"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05"/>
      <c r="Q11" s="1050" t="str">
        <f t="shared" si="6"/>
        <v>容积率</v>
      </c>
      <c r="R11" s="1380" t="s">
        <v>5</v>
      </c>
      <c r="S11" s="1381" t="e">
        <f t="shared" si="0"/>
        <v>#N/A</v>
      </c>
      <c r="T11" s="1380" t="s">
        <v>5</v>
      </c>
      <c r="U11" s="1381" t="e">
        <f t="shared" si="1"/>
        <v>#N/A</v>
      </c>
      <c r="V11" s="1380" t="s">
        <v>5</v>
      </c>
      <c r="W11" s="1381" t="e">
        <f t="shared" si="2"/>
        <v>#N/A</v>
      </c>
      <c r="X11" s="1382"/>
      <c r="Y11" s="3857"/>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SUMIF(70:70,E12,71:71)-SUMIF(70:70,C12,71:71)+100</f>
        <v>100</v>
      </c>
      <c r="G12" s="875"/>
      <c r="H12" s="246">
        <f>SUMIF(70:70,G12,71:71)-SUMIF(70:70,C12,71:71)+100</f>
        <v>100</v>
      </c>
      <c r="I12" s="509"/>
      <c r="J12" s="246">
        <f>SUMIF(70:70,I12,71:71)-SUMIF(70:70,C12,71:71)+100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
      <c r="A13" s="2395"/>
      <c r="B13" s="2401">
        <v>111</v>
      </c>
      <c r="C13" s="509"/>
      <c r="D13" s="510">
        <v>100</v>
      </c>
      <c r="E13" s="509"/>
      <c r="F13" s="246">
        <f>SUMIF(72:72,E13,73:73)-SUMIF(72:72,C13,73:73)+100</f>
        <v>100</v>
      </c>
      <c r="G13" s="875"/>
      <c r="H13" s="510">
        <f>SUMIF(72:72,G13,73:73)-SUMIF(72:72,C13,73:73)+100</f>
        <v>100</v>
      </c>
      <c r="I13" s="509"/>
      <c r="J13" s="510">
        <f>SUMIF(72:72,I13,73:73)-SUMIF(72:72,C13,73:73)+100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75" thickBot="1">
      <c r="A14" s="2396"/>
      <c r="B14" s="2402">
        <v>111</v>
      </c>
      <c r="C14" s="515"/>
      <c r="D14" s="516">
        <v>100</v>
      </c>
      <c r="E14" s="515"/>
      <c r="F14" s="516">
        <f>SUMIF(74:74,E14,75:75)-SUMIF(74:74,C14,75:75)+100</f>
        <v>100</v>
      </c>
      <c r="G14" s="875"/>
      <c r="H14" s="516">
        <f>SUMIF(74:74,G14,75:75)-SUMIF(74:74,C14,75:75)+100</f>
        <v>100</v>
      </c>
      <c r="I14" s="509"/>
      <c r="J14" s="516">
        <f>SUMIF(74:74,I14,75:75)-SUMIF(74:74,C14,75:75)+100</f>
        <v>100</v>
      </c>
      <c r="K14" s="551"/>
      <c r="L14" s="1863"/>
      <c r="M14" s="1855"/>
      <c r="N14" s="1855"/>
      <c r="O14" s="1862"/>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 t="shared" si="3"/>
        <v>1</v>
      </c>
      <c r="AB14" s="1383">
        <f t="shared" si="4"/>
        <v>1</v>
      </c>
      <c r="AC14" s="1383">
        <f t="shared" si="5"/>
        <v>1</v>
      </c>
    </row>
    <row r="15" spans="1:29" ht="15">
      <c r="A15" s="2388" t="s">
        <v>2035</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3"/>
      <c r="M15" s="1855"/>
      <c r="N15" s="1855"/>
      <c r="O15" s="1862"/>
      <c r="P15" s="3907" t="s">
        <v>489</v>
      </c>
      <c r="Q15" s="1384" t="str">
        <f t="shared" si="6"/>
        <v>商业繁华度</v>
      </c>
      <c r="R15" s="1385" t="s">
        <v>5</v>
      </c>
      <c r="S15" s="1386">
        <f t="shared" si="0"/>
        <v>100</v>
      </c>
      <c r="T15" s="1385" t="s">
        <v>5</v>
      </c>
      <c r="U15" s="1386">
        <f t="shared" si="1"/>
        <v>100</v>
      </c>
      <c r="V15" s="1385" t="s">
        <v>5</v>
      </c>
      <c r="W15" s="1386">
        <f t="shared" si="2"/>
        <v>100</v>
      </c>
      <c r="X15" s="1379"/>
      <c r="Y15" s="3907"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08"/>
      <c r="Q16" s="1384"/>
      <c r="R16" s="1385"/>
      <c r="S16" s="1386"/>
      <c r="T16" s="1385"/>
      <c r="U16" s="1386"/>
      <c r="V16" s="1385"/>
      <c r="W16" s="1386"/>
      <c r="X16" s="1379"/>
      <c r="Y16" s="3908"/>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3"/>
      <c r="M17" s="1855"/>
      <c r="N17" s="1855"/>
      <c r="O17" s="1862"/>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08"/>
      <c r="Q18" s="1384"/>
      <c r="R18" s="1385"/>
      <c r="S18" s="1386"/>
      <c r="T18" s="1385"/>
      <c r="U18" s="1386"/>
      <c r="V18" s="1385"/>
      <c r="W18" s="1386"/>
      <c r="X18" s="1379"/>
      <c r="Y18" s="3908"/>
      <c r="Z18" s="1387"/>
      <c r="AA18" s="1388">
        <v>1</v>
      </c>
      <c r="AB18" s="1388">
        <v>1</v>
      </c>
      <c r="AC18" s="1388">
        <v>1</v>
      </c>
    </row>
    <row r="19" spans="1:29" ht="1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3"/>
      <c r="M19" s="1855"/>
      <c r="N19" s="1855"/>
      <c r="O19" s="1862"/>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3"/>
      <c r="M20" s="1855"/>
      <c r="N20" s="1855"/>
      <c r="O20" s="1862"/>
      <c r="P20" s="3908"/>
      <c r="Q20" s="1384"/>
      <c r="R20" s="1385"/>
      <c r="S20" s="1386"/>
      <c r="T20" s="1385"/>
      <c r="U20" s="1386"/>
      <c r="V20" s="1385"/>
      <c r="W20" s="1386"/>
      <c r="X20" s="1379"/>
      <c r="Y20" s="3908"/>
      <c r="Z20" s="1387"/>
      <c r="AA20" s="1388">
        <v>1</v>
      </c>
      <c r="AB20" s="1388">
        <v>1</v>
      </c>
      <c r="AC20" s="1388">
        <v>1</v>
      </c>
    </row>
    <row r="21" spans="1:29" ht="1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3"/>
      <c r="M21" s="1855"/>
      <c r="N21" s="1855"/>
      <c r="O21" s="1862"/>
      <c r="P21" s="3908"/>
      <c r="Q21" s="2191" t="str">
        <f>B21</f>
        <v>基础设施水平</v>
      </c>
      <c r="R21" s="1385" t="s">
        <v>5</v>
      </c>
      <c r="S21" s="1386">
        <f>F21</f>
        <v>100</v>
      </c>
      <c r="T21" s="1385" t="s">
        <v>5</v>
      </c>
      <c r="U21" s="1386">
        <f>H21</f>
        <v>100</v>
      </c>
      <c r="V21" s="1385" t="s">
        <v>5</v>
      </c>
      <c r="W21" s="1386">
        <f>J21</f>
        <v>100</v>
      </c>
      <c r="X21" s="2193"/>
      <c r="Y21" s="3908"/>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8"/>
      <c r="L22" s="1863"/>
      <c r="M22" s="1855"/>
      <c r="N22" s="1855"/>
      <c r="O22" s="1862"/>
      <c r="P22" s="3908"/>
      <c r="Q22" s="2191"/>
      <c r="R22" s="1385"/>
      <c r="S22" s="1386"/>
      <c r="T22" s="1385"/>
      <c r="U22" s="1386"/>
      <c r="V22" s="1385"/>
      <c r="W22" s="1386"/>
      <c r="X22" s="2193"/>
      <c r="Y22" s="3908"/>
      <c r="Z22" s="2192"/>
      <c r="AA22" s="1388">
        <v>1</v>
      </c>
      <c r="AB22" s="1388">
        <v>1</v>
      </c>
      <c r="AC22" s="1388">
        <v>1</v>
      </c>
    </row>
    <row r="23" spans="1:29" ht="15">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3"/>
      <c r="M23" s="1855"/>
      <c r="N23" s="1855"/>
      <c r="O23" s="1862"/>
      <c r="P23" s="3908"/>
      <c r="Q23" s="1384" t="str">
        <f>B23</f>
        <v>自然及人文环境</v>
      </c>
      <c r="R23" s="1385" t="s">
        <v>5</v>
      </c>
      <c r="S23" s="1386">
        <f>F23</f>
        <v>100</v>
      </c>
      <c r="T23" s="1385" t="s">
        <v>5</v>
      </c>
      <c r="U23" s="1386">
        <f>H23</f>
        <v>100</v>
      </c>
      <c r="V23" s="1385" t="s">
        <v>5</v>
      </c>
      <c r="W23" s="1386">
        <f>J23</f>
        <v>100</v>
      </c>
      <c r="X23" s="1379"/>
      <c r="Y23" s="390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3"/>
      <c r="M24" s="1855"/>
      <c r="N24" s="1855"/>
      <c r="O24" s="1862"/>
      <c r="P24" s="3908"/>
      <c r="Q24" s="1384"/>
      <c r="R24" s="1385"/>
      <c r="S24" s="1386"/>
      <c r="T24" s="1385"/>
      <c r="U24" s="1386"/>
      <c r="V24" s="1385"/>
      <c r="W24" s="1386"/>
      <c r="X24" s="1379"/>
      <c r="Y24" s="3908"/>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08"/>
      <c r="Q25" s="1384" t="str">
        <f t="shared" ref="Q25:Q46" si="8">B25</f>
        <v>临街状况</v>
      </c>
      <c r="R25" s="1385" t="s">
        <v>5</v>
      </c>
      <c r="S25" s="1386">
        <f>F25</f>
        <v>100</v>
      </c>
      <c r="T25" s="1385" t="s">
        <v>5</v>
      </c>
      <c r="U25" s="1386">
        <f>H25</f>
        <v>100</v>
      </c>
      <c r="V25" s="1385" t="s">
        <v>5</v>
      </c>
      <c r="W25" s="1386">
        <f>J25</f>
        <v>100</v>
      </c>
      <c r="X25" s="1379"/>
      <c r="Y25" s="3908"/>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08"/>
      <c r="Q26" s="1384" t="str">
        <f t="shared" si="8"/>
        <v>平面位置/可视性</v>
      </c>
      <c r="R26" s="1385" t="s">
        <v>5</v>
      </c>
      <c r="S26" s="1386">
        <f>F26</f>
        <v>100</v>
      </c>
      <c r="T26" s="1385" t="s">
        <v>5</v>
      </c>
      <c r="U26" s="1386">
        <f>H26</f>
        <v>100</v>
      </c>
      <c r="V26" s="1385" t="s">
        <v>5</v>
      </c>
      <c r="W26" s="1386">
        <f>J26</f>
        <v>100</v>
      </c>
      <c r="X26" s="1379"/>
      <c r="Y26" s="3908"/>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6"/>
      <c r="M27" s="1857"/>
      <c r="N27" s="1857"/>
      <c r="O27" s="1858"/>
      <c r="P27" s="3908"/>
      <c r="Q27" s="1050" t="str">
        <f t="shared" si="8"/>
        <v>人流量</v>
      </c>
      <c r="R27" s="1380" t="s">
        <v>5</v>
      </c>
      <c r="S27" s="1381">
        <f>F27</f>
        <v>100</v>
      </c>
      <c r="T27" s="1380" t="s">
        <v>5</v>
      </c>
      <c r="U27" s="1381">
        <f>H27</f>
        <v>100</v>
      </c>
      <c r="V27" s="1380" t="s">
        <v>5</v>
      </c>
      <c r="W27" s="1381">
        <f>J27</f>
        <v>100</v>
      </c>
      <c r="X27" s="1382"/>
      <c r="Y27" s="3908"/>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0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08"/>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08"/>
      <c r="Q29" s="1384">
        <f t="shared" si="8"/>
        <v>111</v>
      </c>
      <c r="R29" s="1385" t="s">
        <v>5</v>
      </c>
      <c r="S29" s="1386">
        <f t="shared" si="9"/>
        <v>100</v>
      </c>
      <c r="T29" s="1385" t="s">
        <v>5</v>
      </c>
      <c r="U29" s="1386">
        <f t="shared" si="10"/>
        <v>100</v>
      </c>
      <c r="V29" s="1385" t="s">
        <v>5</v>
      </c>
      <c r="W29" s="1386">
        <f t="shared" si="11"/>
        <v>100</v>
      </c>
      <c r="X29" s="1379"/>
      <c r="Y29" s="3908"/>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08"/>
      <c r="Q30" s="1384">
        <f t="shared" si="8"/>
        <v>111</v>
      </c>
      <c r="R30" s="1385" t="s">
        <v>5</v>
      </c>
      <c r="S30" s="1386">
        <f t="shared" si="9"/>
        <v>100</v>
      </c>
      <c r="T30" s="1385" t="s">
        <v>5</v>
      </c>
      <c r="U30" s="1386">
        <f t="shared" si="10"/>
        <v>100</v>
      </c>
      <c r="V30" s="1385" t="s">
        <v>5</v>
      </c>
      <c r="W30" s="1386">
        <f t="shared" si="11"/>
        <v>100</v>
      </c>
      <c r="X30" s="1379"/>
      <c r="Y30" s="3908"/>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08"/>
      <c r="Q31" s="1384">
        <f t="shared" si="8"/>
        <v>111</v>
      </c>
      <c r="R31" s="1385" t="s">
        <v>5</v>
      </c>
      <c r="S31" s="1386">
        <f t="shared" si="9"/>
        <v>100</v>
      </c>
      <c r="T31" s="1385" t="s">
        <v>5</v>
      </c>
      <c r="U31" s="1386">
        <f t="shared" si="10"/>
        <v>100</v>
      </c>
      <c r="V31" s="1385" t="s">
        <v>5</v>
      </c>
      <c r="W31" s="1386">
        <f t="shared" si="11"/>
        <v>100</v>
      </c>
      <c r="X31" s="1379"/>
      <c r="Y31" s="3908"/>
      <c r="Z31" s="1387">
        <f t="shared" si="12"/>
        <v>111</v>
      </c>
      <c r="AA31" s="1388">
        <f t="shared" si="3"/>
        <v>1</v>
      </c>
      <c r="AB31" s="1388">
        <f t="shared" si="4"/>
        <v>1</v>
      </c>
      <c r="AC31" s="1388">
        <f t="shared" si="5"/>
        <v>1</v>
      </c>
    </row>
    <row r="32" spans="1:29" ht="15">
      <c r="A32" s="2385"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09" t="s">
        <v>499</v>
      </c>
      <c r="Q32" s="1384" t="str">
        <f t="shared" si="8"/>
        <v>商业类型</v>
      </c>
      <c r="R32" s="1385" t="s">
        <v>5</v>
      </c>
      <c r="S32" s="1386">
        <f t="shared" si="9"/>
        <v>100</v>
      </c>
      <c r="T32" s="1385" t="s">
        <v>5</v>
      </c>
      <c r="U32" s="1386">
        <f t="shared" si="10"/>
        <v>100</v>
      </c>
      <c r="V32" s="1385" t="s">
        <v>5</v>
      </c>
      <c r="W32" s="1386">
        <f t="shared" si="11"/>
        <v>100</v>
      </c>
      <c r="X32" s="1379"/>
      <c r="Y32" s="3910"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10"/>
      <c r="Q33" s="1413" t="str">
        <f t="shared" si="8"/>
        <v>项目建筑规模</v>
      </c>
      <c r="R33" s="1389" t="s">
        <v>5</v>
      </c>
      <c r="S33" s="1390" t="e">
        <f t="shared" si="9"/>
        <v>#N/A</v>
      </c>
      <c r="T33" s="1389" t="s">
        <v>5</v>
      </c>
      <c r="U33" s="1390" t="e">
        <f t="shared" si="10"/>
        <v>#N/A</v>
      </c>
      <c r="V33" s="1389" t="s">
        <v>5</v>
      </c>
      <c r="W33" s="1390" t="e">
        <f t="shared" si="11"/>
        <v>#N/A</v>
      </c>
      <c r="X33" s="1391"/>
      <c r="Y33" s="3910"/>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10"/>
      <c r="Q34" s="1384" t="str">
        <f t="shared" si="8"/>
        <v>建筑结构</v>
      </c>
      <c r="R34" s="1385" t="s">
        <v>5</v>
      </c>
      <c r="S34" s="1386">
        <f t="shared" si="9"/>
        <v>100</v>
      </c>
      <c r="T34" s="1385" t="s">
        <v>5</v>
      </c>
      <c r="U34" s="1386">
        <f t="shared" si="10"/>
        <v>100</v>
      </c>
      <c r="V34" s="1385" t="s">
        <v>5</v>
      </c>
      <c r="W34" s="1386">
        <f t="shared" si="11"/>
        <v>100</v>
      </c>
      <c r="X34" s="1379"/>
      <c r="Y34" s="3910"/>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10"/>
      <c r="Q35" s="1384" t="str">
        <f t="shared" si="8"/>
        <v>公共部分装修</v>
      </c>
      <c r="R35" s="1385" t="s">
        <v>5</v>
      </c>
      <c r="S35" s="1386">
        <f t="shared" si="9"/>
        <v>100</v>
      </c>
      <c r="T35" s="1385" t="s">
        <v>5</v>
      </c>
      <c r="U35" s="1386">
        <f t="shared" si="10"/>
        <v>100</v>
      </c>
      <c r="V35" s="1385" t="s">
        <v>5</v>
      </c>
      <c r="W35" s="1386">
        <f t="shared" si="11"/>
        <v>100</v>
      </c>
      <c r="X35" s="1379"/>
      <c r="Y35" s="3910"/>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10"/>
      <c r="Q36" s="1384" t="str">
        <f t="shared" si="8"/>
        <v>成新度</v>
      </c>
      <c r="R36" s="1385" t="s">
        <v>5</v>
      </c>
      <c r="S36" s="1386" t="e">
        <f t="shared" si="9"/>
        <v>#N/A</v>
      </c>
      <c r="T36" s="1385" t="s">
        <v>5</v>
      </c>
      <c r="U36" s="1386" t="e">
        <f t="shared" si="10"/>
        <v>#N/A</v>
      </c>
      <c r="V36" s="1385" t="s">
        <v>5</v>
      </c>
      <c r="W36" s="1386" t="e">
        <f t="shared" si="11"/>
        <v>#N/A</v>
      </c>
      <c r="X36" s="1379"/>
      <c r="Y36" s="3910"/>
      <c r="Z36" s="1387" t="str">
        <f t="shared" si="12"/>
        <v>成新度</v>
      </c>
      <c r="AA36" s="1388" t="e">
        <f t="shared" si="3"/>
        <v>#N/A</v>
      </c>
      <c r="AB36" s="1388" t="e">
        <f t="shared" si="4"/>
        <v>#N/A</v>
      </c>
      <c r="AC36" s="1388" t="e">
        <f t="shared" si="5"/>
        <v>#N/A</v>
      </c>
    </row>
    <row r="37" spans="1:29" s="1118" customFormat="1" ht="15">
      <c r="A37" s="570"/>
      <c r="B37" s="1649"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10"/>
      <c r="Q37" s="1050" t="str">
        <f t="shared" si="8"/>
        <v>市政基础设施</v>
      </c>
      <c r="R37" s="1380" t="s">
        <v>5</v>
      </c>
      <c r="S37" s="1381">
        <f t="shared" si="9"/>
        <v>100</v>
      </c>
      <c r="T37" s="1380" t="s">
        <v>5</v>
      </c>
      <c r="U37" s="1381">
        <f t="shared" si="10"/>
        <v>100</v>
      </c>
      <c r="V37" s="1380" t="s">
        <v>5</v>
      </c>
      <c r="W37" s="1381">
        <f t="shared" si="11"/>
        <v>100</v>
      </c>
      <c r="X37" s="1382"/>
      <c r="Y37" s="3910"/>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10" t="s">
        <v>706</v>
      </c>
      <c r="Q38" s="1384" t="str">
        <f t="shared" si="8"/>
        <v>业态</v>
      </c>
      <c r="R38" s="1385" t="s">
        <v>5</v>
      </c>
      <c r="S38" s="1386">
        <f t="shared" si="9"/>
        <v>100</v>
      </c>
      <c r="T38" s="1385" t="s">
        <v>5</v>
      </c>
      <c r="U38" s="1386">
        <f t="shared" si="10"/>
        <v>100</v>
      </c>
      <c r="V38" s="1385" t="s">
        <v>5</v>
      </c>
      <c r="W38" s="1386">
        <f t="shared" si="11"/>
        <v>100</v>
      </c>
      <c r="X38" s="1379"/>
      <c r="Y38" s="3910"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10"/>
      <c r="Q39" s="1384" t="str">
        <f t="shared" si="8"/>
        <v>层高</v>
      </c>
      <c r="R39" s="1385" t="s">
        <v>5</v>
      </c>
      <c r="S39" s="1386">
        <f t="shared" si="9"/>
        <v>100</v>
      </c>
      <c r="T39" s="1385" t="s">
        <v>5</v>
      </c>
      <c r="U39" s="1386">
        <f t="shared" si="10"/>
        <v>100</v>
      </c>
      <c r="V39" s="1385" t="s">
        <v>5</v>
      </c>
      <c r="W39" s="1386">
        <f t="shared" si="11"/>
        <v>100</v>
      </c>
      <c r="X39" s="1379"/>
      <c r="Y39" s="3910"/>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3"/>
      <c r="M40" s="1855"/>
      <c r="N40" s="1855"/>
      <c r="O40" s="1862"/>
      <c r="P40" s="3910"/>
      <c r="Q40" s="1384" t="str">
        <f t="shared" si="8"/>
        <v>单套建筑面积</v>
      </c>
      <c r="R40" s="1385" t="s">
        <v>5</v>
      </c>
      <c r="S40" s="1386">
        <f t="shared" si="9"/>
        <v>100</v>
      </c>
      <c r="T40" s="1385" t="s">
        <v>5</v>
      </c>
      <c r="U40" s="1386">
        <f t="shared" si="10"/>
        <v>100</v>
      </c>
      <c r="V40" s="1385" t="s">
        <v>5</v>
      </c>
      <c r="W40" s="1386">
        <f t="shared" si="11"/>
        <v>100</v>
      </c>
      <c r="X40" s="1379"/>
      <c r="Y40" s="3910"/>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10"/>
      <c r="Q41" s="1413" t="str">
        <f t="shared" si="8"/>
        <v>进深比</v>
      </c>
      <c r="R41" s="1389" t="s">
        <v>5</v>
      </c>
      <c r="S41" s="1390">
        <f t="shared" si="9"/>
        <v>100</v>
      </c>
      <c r="T41" s="1389" t="s">
        <v>5</v>
      </c>
      <c r="U41" s="1390">
        <f t="shared" si="10"/>
        <v>100</v>
      </c>
      <c r="V41" s="1389" t="s">
        <v>5</v>
      </c>
      <c r="W41" s="1390">
        <f t="shared" si="11"/>
        <v>100</v>
      </c>
      <c r="X41" s="1391"/>
      <c r="Y41" s="3910"/>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10"/>
      <c r="Q42" s="1384" t="str">
        <f t="shared" si="8"/>
        <v>内部装修</v>
      </c>
      <c r="R42" s="1385" t="s">
        <v>5</v>
      </c>
      <c r="S42" s="1386">
        <f t="shared" si="9"/>
        <v>100</v>
      </c>
      <c r="T42" s="1385" t="s">
        <v>5</v>
      </c>
      <c r="U42" s="1386">
        <f t="shared" si="10"/>
        <v>100</v>
      </c>
      <c r="V42" s="1385" t="s">
        <v>5</v>
      </c>
      <c r="W42" s="1386">
        <f t="shared" si="11"/>
        <v>100</v>
      </c>
      <c r="X42" s="1379"/>
      <c r="Y42" s="3910"/>
      <c r="Z42" s="1387" t="str">
        <f t="shared" si="12"/>
        <v>内部装修</v>
      </c>
      <c r="AA42" s="1388">
        <f t="shared" si="3"/>
        <v>1</v>
      </c>
      <c r="AB42" s="1388">
        <f t="shared" si="4"/>
        <v>1</v>
      </c>
      <c r="AC42" s="1388">
        <f t="shared" si="5"/>
        <v>1</v>
      </c>
    </row>
    <row r="43" spans="1:29" ht="15">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10"/>
      <c r="Q43" s="1384" t="str">
        <f t="shared" si="8"/>
        <v>内部装修维护情况</v>
      </c>
      <c r="R43" s="1385" t="s">
        <v>5</v>
      </c>
      <c r="S43" s="1386">
        <f t="shared" si="9"/>
        <v>100</v>
      </c>
      <c r="T43" s="1385" t="s">
        <v>5</v>
      </c>
      <c r="U43" s="1386">
        <f t="shared" si="10"/>
        <v>100</v>
      </c>
      <c r="V43" s="1385" t="s">
        <v>5</v>
      </c>
      <c r="W43" s="1386">
        <f t="shared" si="11"/>
        <v>100</v>
      </c>
      <c r="X43" s="1379"/>
      <c r="Y43" s="3910"/>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10"/>
      <c r="Q44" s="1050">
        <f t="shared" si="8"/>
        <v>111</v>
      </c>
      <c r="R44" s="1380" t="s">
        <v>5</v>
      </c>
      <c r="S44" s="1381">
        <f t="shared" si="9"/>
        <v>100</v>
      </c>
      <c r="T44" s="1380" t="s">
        <v>5</v>
      </c>
      <c r="U44" s="1381">
        <f t="shared" si="10"/>
        <v>100</v>
      </c>
      <c r="V44" s="1380" t="s">
        <v>5</v>
      </c>
      <c r="W44" s="1381">
        <f t="shared" si="11"/>
        <v>100</v>
      </c>
      <c r="X44" s="1382"/>
      <c r="Y44" s="3910"/>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10"/>
      <c r="Q45" s="1384">
        <f t="shared" si="8"/>
        <v>111</v>
      </c>
      <c r="R45" s="1385" t="s">
        <v>5</v>
      </c>
      <c r="S45" s="1386">
        <f t="shared" si="9"/>
        <v>100</v>
      </c>
      <c r="T45" s="1385" t="s">
        <v>5</v>
      </c>
      <c r="U45" s="1386">
        <f t="shared" si="10"/>
        <v>100</v>
      </c>
      <c r="V45" s="1385" t="s">
        <v>5</v>
      </c>
      <c r="W45" s="1386">
        <f t="shared" si="11"/>
        <v>100</v>
      </c>
      <c r="X45" s="1379"/>
      <c r="Y45" s="3910"/>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22"/>
      <c r="Q46" s="1384">
        <f t="shared" si="8"/>
        <v>111</v>
      </c>
      <c r="R46" s="1385" t="s">
        <v>5</v>
      </c>
      <c r="S46" s="1386">
        <f t="shared" si="9"/>
        <v>100</v>
      </c>
      <c r="T46" s="1385" t="s">
        <v>5</v>
      </c>
      <c r="U46" s="1386">
        <f t="shared" si="10"/>
        <v>100</v>
      </c>
      <c r="V46" s="1385" t="s">
        <v>5</v>
      </c>
      <c r="W46" s="1386">
        <f t="shared" si="11"/>
        <v>100</v>
      </c>
      <c r="X46" s="1379"/>
      <c r="Y46" s="4022"/>
      <c r="Z46" s="1387">
        <f t="shared" si="12"/>
        <v>111</v>
      </c>
      <c r="AA46" s="1388">
        <f t="shared" si="3"/>
        <v>1</v>
      </c>
      <c r="AB46" s="1388">
        <f t="shared" si="4"/>
        <v>1</v>
      </c>
      <c r="AC46" s="1388">
        <f t="shared" si="5"/>
        <v>1</v>
      </c>
    </row>
    <row r="47" spans="1:29" ht="15">
      <c r="A47" s="577" t="s">
        <v>683</v>
      </c>
      <c r="B47" s="850"/>
      <c r="C47" s="2232" t="s">
        <v>0</v>
      </c>
      <c r="D47" s="2233"/>
      <c r="E47" s="2234"/>
      <c r="F47" s="2235"/>
      <c r="G47" s="2236"/>
      <c r="H47" s="2237"/>
      <c r="I47" s="2234"/>
      <c r="J47" s="2237"/>
      <c r="K47" s="1418"/>
      <c r="L47" s="1865"/>
      <c r="M47" s="1866"/>
      <c r="N47" s="1855"/>
      <c r="O47" s="1866"/>
      <c r="P47" s="3905" t="str">
        <f>A47</f>
        <v>成交单价（元/平方米）</v>
      </c>
      <c r="Q47" s="3905"/>
      <c r="R47" s="4021">
        <f>E47</f>
        <v>0</v>
      </c>
      <c r="S47" s="4021"/>
      <c r="T47" s="4021">
        <f>G47</f>
        <v>0</v>
      </c>
      <c r="U47" s="4021"/>
      <c r="V47" s="4021">
        <f>I47</f>
        <v>0</v>
      </c>
      <c r="W47" s="4021"/>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55"/>
      <c r="O48" s="1866"/>
      <c r="P48" s="3905" t="str">
        <f>A48</f>
        <v>比较价格（元/平方米）</v>
      </c>
      <c r="Q48" s="3905"/>
      <c r="R48" s="4021" t="e">
        <f>IF(F1="售价",ROUND(PRODUCT(R47,AA7:AA46),0),ROUND(PRODUCT(R47,AA7:AA46),1))</f>
        <v>#DIV/0!</v>
      </c>
      <c r="S48" s="4021"/>
      <c r="T48" s="4021" t="e">
        <f>IF(F1="售价",ROUND(PRODUCT(T47,AB7:AB46),0),ROUND(PRODUCT(T47,AB7:AB46),1))</f>
        <v>#DIV/0!</v>
      </c>
      <c r="U48" s="4021"/>
      <c r="V48" s="4021" t="e">
        <f>IF(F1="售价",ROUND(PRODUCT(V47,AC7:AC46),0),ROUND(PRODUCT(V47,AC7:AC46),1))</f>
        <v>#DIV/0!</v>
      </c>
      <c r="W48" s="4021"/>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9"/>
      <c r="L49" s="1865"/>
      <c r="M49" s="1866"/>
      <c r="N49" s="1855"/>
      <c r="O49" s="1866"/>
      <c r="P49" s="3911" t="str">
        <f>A49</f>
        <v>估价对象XX用房的比较价格（楼面单价，元/平方米）</v>
      </c>
      <c r="Q49" s="3912"/>
      <c r="R49" s="4020" t="e">
        <f>IF(F1="售价",ROUND(IF(D48="简单平均",AVERAGE(R48:V48),R48*F48+T48*H48+V48*J48),0),ROUND(IF(D48="简单平均",AVERAGE(R48:V48),R48*F48+T48*H48+V48*J48),1))</f>
        <v>#DIV/0!</v>
      </c>
      <c r="S49" s="4020"/>
      <c r="T49" s="4020"/>
      <c r="U49" s="4020"/>
      <c r="V49" s="4020"/>
      <c r="W49" s="4020"/>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0"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3"/>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641" t="s">
        <v>711</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tr">
        <f>B26</f>
        <v>平面位置/可视性</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3"/>
      <c r="M92" s="854"/>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7">
        <v>0.5</v>
      </c>
      <c r="D110" s="857">
        <v>0.6</v>
      </c>
      <c r="E110" s="857">
        <v>0.7</v>
      </c>
      <c r="F110" s="857">
        <v>0.8</v>
      </c>
      <c r="G110" s="857">
        <v>0.9</v>
      </c>
      <c r="H110" s="857">
        <v>1.0001</v>
      </c>
      <c r="I110" s="868"/>
      <c r="J110" s="868"/>
      <c r="K110" s="869"/>
      <c r="L110" s="870"/>
      <c r="M110" s="871"/>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200" customFormat="1" ht="15" thickTop="1">
      <c r="A112" s="696"/>
      <c r="B112" s="1650" t="s">
        <v>1838</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2"/>
      <c r="D118" s="872"/>
      <c r="E118" s="872"/>
      <c r="F118" s="872"/>
      <c r="G118" s="872"/>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200"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7" zoomScale="85" zoomScaleNormal="60" zoomScaleSheetLayoutView="85" workbookViewId="0">
      <selection activeCell="H51" sqref="H51"/>
    </sheetView>
  </sheetViews>
  <sheetFormatPr defaultColWidth="9" defaultRowHeight="14.25"/>
  <cols>
    <col min="1" max="1" width="10.5" style="1198" customWidth="1"/>
    <col min="2" max="3" width="15.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t="s">
        <v>1212</v>
      </c>
      <c r="E1" s="476"/>
      <c r="F1" s="2285" t="s">
        <v>3311</v>
      </c>
      <c r="G1" s="1409" t="s">
        <v>668</v>
      </c>
      <c r="H1" s="476"/>
      <c r="I1" s="476"/>
      <c r="J1" s="476"/>
      <c r="K1" s="477"/>
      <c r="L1" s="2948"/>
      <c r="M1" s="2949"/>
      <c r="N1" s="2949"/>
      <c r="O1" s="2949"/>
      <c r="P1" s="3011"/>
      <c r="Q1" s="1853"/>
      <c r="R1" s="1853"/>
      <c r="S1" s="1853"/>
      <c r="T1" s="1853"/>
      <c r="U1" s="1853"/>
      <c r="V1" s="1853"/>
      <c r="W1" s="1853"/>
      <c r="X1" s="1853"/>
      <c r="Y1" s="1853"/>
      <c r="Z1" s="1853"/>
      <c r="AA1" s="1853"/>
      <c r="AB1" s="1853"/>
      <c r="AC1" s="2950"/>
    </row>
    <row r="2" spans="1:29" s="1197" customFormat="1" ht="28.5" customHeight="1">
      <c r="A2" s="410" t="s">
        <v>427</v>
      </c>
      <c r="B2" s="815">
        <f>ROUND(B3*D3/10000,0)</f>
        <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7" customFormat="1" ht="28.5" customHeight="1" thickBot="1">
      <c r="A3" s="479" t="s">
        <v>468</v>
      </c>
      <c r="B3" s="480">
        <f>C50</f>
        <v>26270</v>
      </c>
      <c r="C3" s="817" t="s">
        <v>669</v>
      </c>
      <c r="D3" s="816">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2" t="s">
        <v>470</v>
      </c>
      <c r="B4" s="483"/>
      <c r="C4" s="3913" t="s">
        <v>471</v>
      </c>
      <c r="D4" s="3914"/>
      <c r="E4" s="3939" t="s">
        <v>472</v>
      </c>
      <c r="F4" s="3940"/>
      <c r="G4" s="3913" t="s">
        <v>473</v>
      </c>
      <c r="H4" s="3914"/>
      <c r="I4" s="3913" t="s">
        <v>474</v>
      </c>
      <c r="J4" s="3914"/>
      <c r="K4" s="484" t="s">
        <v>475</v>
      </c>
      <c r="L4" s="1854"/>
      <c r="M4" s="1855"/>
      <c r="N4" s="1855"/>
      <c r="O4" s="1855"/>
      <c r="P4" s="4026" t="s">
        <v>476</v>
      </c>
      <c r="Q4" s="3916"/>
      <c r="R4" s="3899" t="s">
        <v>472</v>
      </c>
      <c r="S4" s="3900"/>
      <c r="T4" s="3899" t="s">
        <v>473</v>
      </c>
      <c r="U4" s="3900"/>
      <c r="V4" s="3921" t="s">
        <v>474</v>
      </c>
      <c r="W4" s="3921"/>
      <c r="X4" s="1379"/>
      <c r="Y4" s="3899" t="s">
        <v>476</v>
      </c>
      <c r="Z4" s="3900"/>
      <c r="AA4" s="3894" t="s">
        <v>472</v>
      </c>
      <c r="AB4" s="3894" t="s">
        <v>473</v>
      </c>
      <c r="AC4" s="3894" t="s">
        <v>474</v>
      </c>
    </row>
    <row r="5" spans="1:29" ht="15">
      <c r="A5" s="485"/>
      <c r="B5" s="486"/>
      <c r="C5" s="4024" t="s">
        <v>3528</v>
      </c>
      <c r="D5" s="3925"/>
      <c r="E5" s="4023" t="s">
        <v>3535</v>
      </c>
      <c r="F5" s="3942"/>
      <c r="G5" s="4024" t="s">
        <v>3529</v>
      </c>
      <c r="H5" s="3925"/>
      <c r="I5" s="4024" t="s">
        <v>3530</v>
      </c>
      <c r="J5" s="3925"/>
      <c r="K5" s="484"/>
      <c r="L5" s="1854"/>
      <c r="M5" s="1855"/>
      <c r="N5" s="1855"/>
      <c r="O5" s="1855"/>
      <c r="P5" s="4027"/>
      <c r="Q5" s="3918"/>
      <c r="R5" s="3901"/>
      <c r="S5" s="3902"/>
      <c r="T5" s="3901"/>
      <c r="U5" s="3902"/>
      <c r="V5" s="3921"/>
      <c r="W5" s="3921"/>
      <c r="X5" s="1379"/>
      <c r="Y5" s="3901"/>
      <c r="Z5" s="3902"/>
      <c r="AA5" s="3895"/>
      <c r="AB5" s="3895"/>
      <c r="AC5" s="3895"/>
    </row>
    <row r="6" spans="1:29" ht="15.75" thickBot="1">
      <c r="A6" s="487"/>
      <c r="B6" s="488"/>
      <c r="C6" s="4025" t="s">
        <v>3302</v>
      </c>
      <c r="D6" s="3923"/>
      <c r="E6" s="4025" t="s">
        <v>3531</v>
      </c>
      <c r="F6" s="3923"/>
      <c r="G6" s="4025" t="s">
        <v>3531</v>
      </c>
      <c r="H6" s="3923"/>
      <c r="I6" s="4025" t="s">
        <v>3531</v>
      </c>
      <c r="J6" s="3923"/>
      <c r="K6" s="484" t="s">
        <v>477</v>
      </c>
      <c r="L6" s="1854"/>
      <c r="M6" s="1855"/>
      <c r="N6" s="1855"/>
      <c r="O6" s="1855"/>
      <c r="P6" s="4028"/>
      <c r="Q6" s="3920"/>
      <c r="R6" s="3901"/>
      <c r="S6" s="3902"/>
      <c r="T6" s="3903"/>
      <c r="U6" s="3904"/>
      <c r="V6" s="3921"/>
      <c r="W6" s="3921"/>
      <c r="X6" s="1379"/>
      <c r="Y6" s="3903"/>
      <c r="Z6" s="3904"/>
      <c r="AA6" s="3896"/>
      <c r="AB6" s="3896"/>
      <c r="AC6" s="3896"/>
    </row>
    <row r="7" spans="1:29" s="1118" customFormat="1" ht="15.75" thickBot="1">
      <c r="A7" s="2390"/>
      <c r="B7" s="2397" t="s">
        <v>478</v>
      </c>
      <c r="C7" s="489">
        <f>'数据-取费表'!B2</f>
        <v>45266</v>
      </c>
      <c r="D7" s="490">
        <v>100</v>
      </c>
      <c r="E7" s="491">
        <v>45200</v>
      </c>
      <c r="F7" s="492">
        <f>SUMIF(59:59,YEAR(E7)&amp;"-"&amp;MONTH(E7),60:60)</f>
        <v>100</v>
      </c>
      <c r="G7" s="491">
        <v>45200</v>
      </c>
      <c r="H7" s="490">
        <f>SUMIF(59:59,YEAR(G7)&amp;"-"&amp;MONTH(G7),60:60)</f>
        <v>100</v>
      </c>
      <c r="I7" s="491">
        <v>45200</v>
      </c>
      <c r="J7" s="490">
        <f>SUMIF(59:59,YEAR(I7)&amp;"-"&amp;MONTH(I7),60:60)</f>
        <v>100</v>
      </c>
      <c r="K7" s="494"/>
      <c r="L7" s="1856"/>
      <c r="M7" s="1857"/>
      <c r="N7" s="1857"/>
      <c r="O7" s="1857"/>
      <c r="P7" s="3906" t="s">
        <v>479</v>
      </c>
      <c r="Q7" s="3906"/>
      <c r="R7" s="1380" t="s">
        <v>5</v>
      </c>
      <c r="S7" s="1381">
        <f t="shared" ref="S7:S15" si="0">F7</f>
        <v>100</v>
      </c>
      <c r="T7" s="1380" t="s">
        <v>5</v>
      </c>
      <c r="U7" s="1381">
        <f t="shared" ref="U7:U15" si="1">H7</f>
        <v>100</v>
      </c>
      <c r="V7" s="1380" t="s">
        <v>5</v>
      </c>
      <c r="W7" s="1381">
        <f t="shared" ref="W7:W15" si="2">J7</f>
        <v>100</v>
      </c>
      <c r="X7" s="1382"/>
      <c r="Y7" s="3897" t="s">
        <v>479</v>
      </c>
      <c r="Z7" s="3898"/>
      <c r="AA7" s="1383">
        <f>D7/F7</f>
        <v>1</v>
      </c>
      <c r="AB7" s="1383">
        <f>D7/H7</f>
        <v>1</v>
      </c>
      <c r="AC7" s="1383">
        <f>D7/J7</f>
        <v>1</v>
      </c>
    </row>
    <row r="8" spans="1:29" s="1118" customFormat="1" ht="15.75" thickBot="1">
      <c r="A8" s="2391"/>
      <c r="B8" s="2398" t="s">
        <v>480</v>
      </c>
      <c r="C8" s="495" t="s">
        <v>524</v>
      </c>
      <c r="D8" s="490">
        <v>100</v>
      </c>
      <c r="E8" s="495" t="s">
        <v>3313</v>
      </c>
      <c r="F8" s="492">
        <f>SUMIF(62:62,E8,63:63)-SUMIF(62:62,C8,63:63)+100</f>
        <v>100</v>
      </c>
      <c r="G8" s="495" t="s">
        <v>3313</v>
      </c>
      <c r="H8" s="490">
        <f>SUMIF(62:62,G8,63:63)-SUMIF(62:62,C8,63:63)+100</f>
        <v>100</v>
      </c>
      <c r="I8" s="495" t="s">
        <v>3313</v>
      </c>
      <c r="J8" s="490">
        <f>SUMIF(62:62,I8,63:63)-SUMIF(62:62,C8,63:63)+100</f>
        <v>100</v>
      </c>
      <c r="K8" s="494"/>
      <c r="L8" s="1856"/>
      <c r="M8" s="1857"/>
      <c r="N8" s="1857"/>
      <c r="O8" s="1857"/>
      <c r="P8" s="3906" t="s">
        <v>482</v>
      </c>
      <c r="Q8" s="3898"/>
      <c r="R8" s="1380" t="s">
        <v>5</v>
      </c>
      <c r="S8" s="1381">
        <f t="shared" si="0"/>
        <v>100</v>
      </c>
      <c r="T8" s="1380" t="s">
        <v>5</v>
      </c>
      <c r="U8" s="1381">
        <f t="shared" si="1"/>
        <v>100</v>
      </c>
      <c r="V8" s="1380" t="s">
        <v>5</v>
      </c>
      <c r="W8" s="1381">
        <f t="shared" si="2"/>
        <v>100</v>
      </c>
      <c r="X8" s="1382"/>
      <c r="Y8" s="3897" t="s">
        <v>482</v>
      </c>
      <c r="Z8" s="3898"/>
      <c r="AA8" s="1383">
        <f t="shared" ref="AA8:AA47" si="3">D8/F8</f>
        <v>1</v>
      </c>
      <c r="AB8" s="1383">
        <f t="shared" ref="AB8:AB47" si="4">D8/H8</f>
        <v>1</v>
      </c>
      <c r="AC8" s="1383">
        <f t="shared" ref="AC8:AC47" si="5">D8/J8</f>
        <v>1</v>
      </c>
    </row>
    <row r="9" spans="1:29" s="1118" customFormat="1" ht="15">
      <c r="A9" s="2392"/>
      <c r="B9" s="2399" t="s">
        <v>2037</v>
      </c>
      <c r="C9" s="3679" t="s">
        <v>3312</v>
      </c>
      <c r="D9" s="245">
        <v>100</v>
      </c>
      <c r="E9" s="825" t="s">
        <v>1212</v>
      </c>
      <c r="F9" s="245">
        <f>SUMIF(64:64,E9,65:65)-SUMIF(64:64,C9,65:65)+100</f>
        <v>100</v>
      </c>
      <c r="G9" s="825" t="s">
        <v>1212</v>
      </c>
      <c r="H9" s="245">
        <f>SUMIF(64:64,G9,65:65)-SUMIF(64:64,C9,65:65)+100</f>
        <v>100</v>
      </c>
      <c r="I9" s="825" t="s">
        <v>1212</v>
      </c>
      <c r="J9" s="245">
        <f>SUMIF(64:64,I9,65:65)-SUMIF(64:64,C9,65:65)+100</f>
        <v>100</v>
      </c>
      <c r="K9" s="494"/>
      <c r="L9" s="1856"/>
      <c r="M9" s="1857"/>
      <c r="N9" s="1857"/>
      <c r="O9" s="1857"/>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7">
      <c r="A10" s="2393"/>
      <c r="B10" s="2398" t="s">
        <v>2038</v>
      </c>
      <c r="C10" s="3655" t="s">
        <v>3538</v>
      </c>
      <c r="D10" s="246">
        <v>100</v>
      </c>
      <c r="E10" s="3655" t="s">
        <v>3538</v>
      </c>
      <c r="F10" s="246">
        <f>SUMIF(66:66,E10,67:67)-SUMIF(66:66,C10,67:67)+100</f>
        <v>100</v>
      </c>
      <c r="G10" s="3655" t="s">
        <v>3538</v>
      </c>
      <c r="H10" s="246">
        <f>SUMIF(66:66,G10,67:67)-SUMIF(66:66,C10,67:67)+100</f>
        <v>100</v>
      </c>
      <c r="I10" s="3655" t="s">
        <v>3538</v>
      </c>
      <c r="J10" s="246">
        <f>SUMIF(66:66,I10,67:67)-SUMIF(66:66,C10,67:67)+100</f>
        <v>100</v>
      </c>
      <c r="K10" s="494"/>
      <c r="L10" s="1859"/>
      <c r="M10" s="1898"/>
      <c r="N10" s="1898"/>
      <c r="O10" s="1898"/>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75" thickBot="1">
      <c r="A11" s="2394"/>
      <c r="B11" s="2398" t="s">
        <v>2039</v>
      </c>
      <c r="C11" s="503">
        <v>2.5</v>
      </c>
      <c r="D11" s="246">
        <v>100</v>
      </c>
      <c r="E11" s="503">
        <v>3</v>
      </c>
      <c r="F11" s="246">
        <f>LOOKUP(E11,69:69,70:70)-LOOKUP(C11,69:69,70:70)+100</f>
        <v>98</v>
      </c>
      <c r="G11" s="504">
        <v>1.75</v>
      </c>
      <c r="H11" s="246">
        <f>LOOKUP(G11,69:69,70:70)-LOOKUP(C11,69:69,70:70)+100</f>
        <v>100</v>
      </c>
      <c r="I11" s="503">
        <v>2.2999999999999998</v>
      </c>
      <c r="J11" s="246">
        <f>LOOKUP(I11,69:69,70:70)-LOOKUP(C11,69:69,70:70)+100</f>
        <v>100</v>
      </c>
      <c r="K11" s="554">
        <v>2</v>
      </c>
      <c r="L11" s="1861"/>
      <c r="M11" s="1855"/>
      <c r="N11" s="1855"/>
      <c r="O11" s="1855"/>
      <c r="P11" s="3905"/>
      <c r="Q11" s="1050" t="str">
        <f t="shared" si="6"/>
        <v>容积率</v>
      </c>
      <c r="R11" s="1380" t="s">
        <v>5</v>
      </c>
      <c r="S11" s="1381">
        <f t="shared" si="0"/>
        <v>98</v>
      </c>
      <c r="T11" s="1380" t="s">
        <v>5</v>
      </c>
      <c r="U11" s="1381">
        <f t="shared" si="1"/>
        <v>100</v>
      </c>
      <c r="V11" s="1380" t="s">
        <v>5</v>
      </c>
      <c r="W11" s="1381">
        <f t="shared" si="2"/>
        <v>100</v>
      </c>
      <c r="X11" s="1382"/>
      <c r="Y11" s="3857"/>
      <c r="Z11" s="1049" t="str">
        <f t="shared" si="7"/>
        <v>容积率</v>
      </c>
      <c r="AA11" s="1383">
        <f t="shared" si="3"/>
        <v>1.0204081632653061</v>
      </c>
      <c r="AB11" s="1383">
        <f t="shared" si="4"/>
        <v>1</v>
      </c>
      <c r="AC11" s="1383">
        <f t="shared" si="5"/>
        <v>1</v>
      </c>
    </row>
    <row r="12" spans="1:29" s="1118" customFormat="1" ht="15" hidden="1">
      <c r="A12" s="2395"/>
      <c r="B12" s="2401">
        <v>111</v>
      </c>
      <c r="C12" s="498"/>
      <c r="D12" s="508">
        <v>100</v>
      </c>
      <c r="E12" s="498"/>
      <c r="F12" s="246">
        <f>SUMIF(71:71,E12,72:72)-SUMIF(71:71,C12,72:72)+100</f>
        <v>100</v>
      </c>
      <c r="G12" s="873"/>
      <c r="H12" s="246">
        <f>SUMIF(71:71,G12,72:72)-SUMIF(71:71,C12,72:72)+100</f>
        <v>100</v>
      </c>
      <c r="I12" s="498"/>
      <c r="J12" s="246">
        <f>SUMIF(71:71,I12,72:72)-SUMIF(71:71,C12,72:72)+100</f>
        <v>100</v>
      </c>
      <c r="K12" s="551"/>
      <c r="L12" s="1856"/>
      <c r="M12" s="1857"/>
      <c r="N12" s="1857"/>
      <c r="O12" s="1857"/>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 hidden="1">
      <c r="A13" s="2395"/>
      <c r="B13" s="2401">
        <v>111</v>
      </c>
      <c r="C13" s="509"/>
      <c r="D13" s="510">
        <v>100</v>
      </c>
      <c r="E13" s="498"/>
      <c r="F13" s="246">
        <f>SUMIF(73:73,E13,74:74)-SUMIF(73:73,C13,74:74)+100</f>
        <v>100</v>
      </c>
      <c r="G13" s="873"/>
      <c r="H13" s="510">
        <f>SUMIF(73:73,G13,74:74)-SUMIF(73:73,C13,74:74)+100</f>
        <v>100</v>
      </c>
      <c r="I13" s="498"/>
      <c r="J13" s="510">
        <f>SUMIF(73:73,I13,74:74)-SUMIF(73:73,C13,74:74)+100</f>
        <v>100</v>
      </c>
      <c r="K13" s="551"/>
      <c r="L13" s="1863"/>
      <c r="M13" s="1855"/>
      <c r="N13" s="1855"/>
      <c r="O13" s="1855"/>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75" hidden="1" thickBot="1">
      <c r="A14" s="2396"/>
      <c r="B14" s="2402">
        <v>111</v>
      </c>
      <c r="C14" s="515"/>
      <c r="D14" s="516">
        <v>100</v>
      </c>
      <c r="E14" s="874"/>
      <c r="F14" s="516">
        <f>SUMIF(75:75,E14,76:76)-SUMIF(75:75,C14,76:76)+100</f>
        <v>100</v>
      </c>
      <c r="G14" s="873"/>
      <c r="H14" s="516">
        <f>SUMIF(75:75,G14,76:76)-SUMIF(75:75,C14,76:76)+100</f>
        <v>100</v>
      </c>
      <c r="I14" s="498"/>
      <c r="J14" s="516">
        <f>SUMIF(75:75,I14,76:76)-SUMIF(75:75,C14,76:76)+100</f>
        <v>100</v>
      </c>
      <c r="K14" s="551"/>
      <c r="L14" s="1863"/>
      <c r="M14" s="1855"/>
      <c r="N14" s="1855"/>
      <c r="O14" s="1855"/>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 t="shared" si="3"/>
        <v>1</v>
      </c>
      <c r="AB14" s="1383">
        <f t="shared" si="4"/>
        <v>1</v>
      </c>
      <c r="AC14" s="1383">
        <f t="shared" si="5"/>
        <v>1</v>
      </c>
    </row>
    <row r="15" spans="1:29" ht="15">
      <c r="A15" s="2388" t="s">
        <v>2035</v>
      </c>
      <c r="B15" s="517" t="s">
        <v>491</v>
      </c>
      <c r="C15" s="518" t="str">
        <f>估价对象房地状况!C5</f>
        <v>一般</v>
      </c>
      <c r="D15" s="519">
        <v>100</v>
      </c>
      <c r="E15" s="522"/>
      <c r="F15" s="519">
        <f>SUMIF(77:77,E16,78:78)-SUMIF(77:77,C16,78:78)+100</f>
        <v>106</v>
      </c>
      <c r="G15" s="520"/>
      <c r="H15" s="519">
        <f>SUMIF(77:77,G16,78:78)-SUMIF(77:77,C16,78:78)+100</f>
        <v>103</v>
      </c>
      <c r="I15" s="520"/>
      <c r="J15" s="519">
        <f>SUMIF(77:77,I16,78:78)-SUMIF(77:77,C16,78:78)+100</f>
        <v>103</v>
      </c>
      <c r="K15" s="861">
        <v>3</v>
      </c>
      <c r="L15" s="1863"/>
      <c r="M15" s="1855"/>
      <c r="N15" s="1855"/>
      <c r="O15" s="1855"/>
      <c r="P15" s="3907" t="s">
        <v>489</v>
      </c>
      <c r="Q15" s="1384" t="str">
        <f t="shared" si="6"/>
        <v>办公集聚程度</v>
      </c>
      <c r="R15" s="1385" t="s">
        <v>5</v>
      </c>
      <c r="S15" s="1386">
        <f t="shared" si="0"/>
        <v>106</v>
      </c>
      <c r="T15" s="1385" t="s">
        <v>5</v>
      </c>
      <c r="U15" s="1386">
        <f t="shared" si="1"/>
        <v>103</v>
      </c>
      <c r="V15" s="1385" t="s">
        <v>5</v>
      </c>
      <c r="W15" s="1386">
        <f t="shared" si="2"/>
        <v>103</v>
      </c>
      <c r="X15" s="1379"/>
      <c r="Y15" s="3907" t="s">
        <v>489</v>
      </c>
      <c r="Z15" s="1387" t="str">
        <f t="shared" si="7"/>
        <v>办公集聚程度</v>
      </c>
      <c r="AA15" s="1388">
        <f t="shared" si="3"/>
        <v>0.94339622641509435</v>
      </c>
      <c r="AB15" s="1388">
        <f t="shared" si="4"/>
        <v>0.970873786407767</v>
      </c>
      <c r="AC15" s="1388">
        <f t="shared" si="5"/>
        <v>0.970873786407767</v>
      </c>
    </row>
    <row r="16" spans="1:29" ht="15">
      <c r="A16" s="502"/>
      <c r="B16" s="523"/>
      <c r="C16" s="524" t="s">
        <v>3267</v>
      </c>
      <c r="D16" s="525"/>
      <c r="E16" s="524" t="s">
        <v>3269</v>
      </c>
      <c r="F16" s="525"/>
      <c r="G16" s="524" t="s">
        <v>3268</v>
      </c>
      <c r="H16" s="529"/>
      <c r="I16" s="524" t="s">
        <v>3268</v>
      </c>
      <c r="J16" s="525"/>
      <c r="K16" s="862"/>
      <c r="L16" s="1863"/>
      <c r="M16" s="1855"/>
      <c r="N16" s="1855"/>
      <c r="O16" s="1855"/>
      <c r="P16" s="3908"/>
      <c r="Q16" s="1384"/>
      <c r="R16" s="1385"/>
      <c r="S16" s="1386"/>
      <c r="T16" s="1385"/>
      <c r="U16" s="1386"/>
      <c r="V16" s="1385"/>
      <c r="W16" s="1386"/>
      <c r="X16" s="1379"/>
      <c r="Y16" s="3908"/>
      <c r="Z16" s="1387"/>
      <c r="AA16" s="1388">
        <v>1</v>
      </c>
      <c r="AB16" s="1388">
        <v>1</v>
      </c>
      <c r="AC16" s="1388">
        <v>1</v>
      </c>
    </row>
    <row r="17" spans="1:29" ht="15">
      <c r="A17" s="502"/>
      <c r="B17" s="530" t="s">
        <v>262</v>
      </c>
      <c r="C17" s="543" t="str">
        <f>估价对象房地状况!C6</f>
        <v>一般</v>
      </c>
      <c r="D17" s="529">
        <v>100</v>
      </c>
      <c r="E17" s="534"/>
      <c r="F17" s="529">
        <f>SUMIF(79:79,E18,80:80)-SUMIF(79:79,C18,80:80)+100</f>
        <v>106</v>
      </c>
      <c r="G17" s="3676"/>
      <c r="H17" s="535">
        <f>SUMIF(79:79,G18,80:80)-SUMIF(79:79,C18,80:80)+100</f>
        <v>103</v>
      </c>
      <c r="I17" s="3676"/>
      <c r="J17" s="535">
        <f>SUMIF(79:79,I18,80:80)-SUMIF(79:79,C18,80:80)+100</f>
        <v>103</v>
      </c>
      <c r="K17" s="861">
        <v>3</v>
      </c>
      <c r="L17" s="1863"/>
      <c r="M17" s="1855"/>
      <c r="N17" s="1855"/>
      <c r="O17" s="1855"/>
      <c r="P17" s="3908"/>
      <c r="Q17" s="1384" t="str">
        <f>B17</f>
        <v>交通便捷度</v>
      </c>
      <c r="R17" s="1385" t="s">
        <v>5</v>
      </c>
      <c r="S17" s="1386">
        <f>F17</f>
        <v>106</v>
      </c>
      <c r="T17" s="1385" t="s">
        <v>5</v>
      </c>
      <c r="U17" s="1386">
        <f>H17</f>
        <v>103</v>
      </c>
      <c r="V17" s="1385" t="s">
        <v>5</v>
      </c>
      <c r="W17" s="1386">
        <f>J17</f>
        <v>103</v>
      </c>
      <c r="X17" s="1379"/>
      <c r="Y17" s="3908"/>
      <c r="Z17" s="1387" t="str">
        <f>Q17</f>
        <v>交通便捷度</v>
      </c>
      <c r="AA17" s="1388">
        <f t="shared" si="3"/>
        <v>0.94339622641509435</v>
      </c>
      <c r="AB17" s="1388">
        <f t="shared" si="4"/>
        <v>0.970873786407767</v>
      </c>
      <c r="AC17" s="1388">
        <f t="shared" si="5"/>
        <v>0.970873786407767</v>
      </c>
    </row>
    <row r="18" spans="1:29" ht="15">
      <c r="A18" s="502"/>
      <c r="B18" s="536"/>
      <c r="C18" s="537" t="s">
        <v>3268</v>
      </c>
      <c r="D18" s="529"/>
      <c r="E18" s="539" t="s">
        <v>3270</v>
      </c>
      <c r="F18" s="529"/>
      <c r="G18" s="538" t="s">
        <v>3269</v>
      </c>
      <c r="H18" s="525"/>
      <c r="I18" s="538" t="s">
        <v>3269</v>
      </c>
      <c r="J18" s="525"/>
      <c r="K18" s="862"/>
      <c r="L18" s="1863"/>
      <c r="M18" s="1855"/>
      <c r="N18" s="1855"/>
      <c r="O18" s="1855"/>
      <c r="P18" s="3908"/>
      <c r="Q18" s="1384"/>
      <c r="R18" s="1385"/>
      <c r="S18" s="1386"/>
      <c r="T18" s="1385"/>
      <c r="U18" s="1386"/>
      <c r="V18" s="1385"/>
      <c r="W18" s="1386"/>
      <c r="X18" s="1379"/>
      <c r="Y18" s="3908"/>
      <c r="Z18" s="1387"/>
      <c r="AA18" s="1388">
        <v>1</v>
      </c>
      <c r="AB18" s="1388">
        <v>1</v>
      </c>
      <c r="AC18" s="1388">
        <v>1</v>
      </c>
    </row>
    <row r="19" spans="1:29" ht="15">
      <c r="A19" s="502"/>
      <c r="B19" s="2209" t="s">
        <v>1828</v>
      </c>
      <c r="C19" s="543" t="str">
        <f>估价对象房地状况!C7</f>
        <v>一般</v>
      </c>
      <c r="D19" s="535">
        <v>100</v>
      </c>
      <c r="E19" s="542"/>
      <c r="F19" s="535">
        <f>SUMIF(81:81,E20,82:82)-SUMIF(81:81,C20,82:82)+100</f>
        <v>106</v>
      </c>
      <c r="G19" s="540"/>
      <c r="H19" s="529">
        <f>SUMIF(81:81,G20,82:82)-SUMIF(81:81,C20,82:82)+100</f>
        <v>103</v>
      </c>
      <c r="I19" s="540"/>
      <c r="J19" s="529">
        <f>SUMIF(81:81,I20,82:82)-SUMIF(81:81,C20,82:82)+100</f>
        <v>103</v>
      </c>
      <c r="K19" s="861">
        <v>3</v>
      </c>
      <c r="L19" s="1863"/>
      <c r="M19" s="1855"/>
      <c r="N19" s="1855"/>
      <c r="O19" s="1855"/>
      <c r="P19" s="3908"/>
      <c r="Q19" s="1384" t="str">
        <f>B19</f>
        <v>公共配套设施</v>
      </c>
      <c r="R19" s="1385" t="s">
        <v>5</v>
      </c>
      <c r="S19" s="1386">
        <f>F19</f>
        <v>106</v>
      </c>
      <c r="T19" s="1385" t="s">
        <v>5</v>
      </c>
      <c r="U19" s="1386">
        <f>H19</f>
        <v>103</v>
      </c>
      <c r="V19" s="1385" t="s">
        <v>5</v>
      </c>
      <c r="W19" s="1386">
        <f>J19</f>
        <v>103</v>
      </c>
      <c r="X19" s="1379"/>
      <c r="Y19" s="3908"/>
      <c r="Z19" s="1387" t="str">
        <f>Q19</f>
        <v>公共配套设施</v>
      </c>
      <c r="AA19" s="1388">
        <f t="shared" si="3"/>
        <v>0.94339622641509435</v>
      </c>
      <c r="AB19" s="1388">
        <f t="shared" si="4"/>
        <v>0.970873786407767</v>
      </c>
      <c r="AC19" s="1388">
        <f t="shared" si="5"/>
        <v>0.970873786407767</v>
      </c>
    </row>
    <row r="20" spans="1:29" ht="15">
      <c r="A20" s="502"/>
      <c r="B20" s="536"/>
      <c r="C20" s="524" t="s">
        <v>3268</v>
      </c>
      <c r="D20" s="525"/>
      <c r="E20" s="528" t="s">
        <v>3270</v>
      </c>
      <c r="F20" s="525"/>
      <c r="G20" s="528" t="s">
        <v>3269</v>
      </c>
      <c r="H20" s="525"/>
      <c r="I20" s="526" t="s">
        <v>3269</v>
      </c>
      <c r="J20" s="525"/>
      <c r="K20" s="862"/>
      <c r="L20" s="1863"/>
      <c r="M20" s="1855"/>
      <c r="N20" s="1855"/>
      <c r="O20" s="1855"/>
      <c r="P20" s="3908"/>
      <c r="Q20" s="1384"/>
      <c r="R20" s="1385"/>
      <c r="S20" s="1386"/>
      <c r="T20" s="1385"/>
      <c r="U20" s="1386"/>
      <c r="V20" s="1385"/>
      <c r="W20" s="1386"/>
      <c r="X20" s="1379"/>
      <c r="Y20" s="3908"/>
      <c r="Z20" s="1387"/>
      <c r="AA20" s="1388">
        <v>1</v>
      </c>
      <c r="AB20" s="1388">
        <v>1</v>
      </c>
      <c r="AC20" s="1388">
        <v>1</v>
      </c>
    </row>
    <row r="21" spans="1:29" ht="15">
      <c r="A21" s="502"/>
      <c r="B21" s="2197" t="s">
        <v>1840</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v>1</v>
      </c>
      <c r="L21" s="1863"/>
      <c r="M21" s="1855"/>
      <c r="N21" s="1855"/>
      <c r="O21" s="1855"/>
      <c r="P21" s="3908"/>
      <c r="Q21" s="2191" t="str">
        <f>B21</f>
        <v>基础设施水平</v>
      </c>
      <c r="R21" s="1385" t="s">
        <v>5</v>
      </c>
      <c r="S21" s="1386">
        <f>F21</f>
        <v>100</v>
      </c>
      <c r="T21" s="1385" t="s">
        <v>5</v>
      </c>
      <c r="U21" s="1386">
        <f>H21</f>
        <v>100</v>
      </c>
      <c r="V21" s="1385" t="s">
        <v>5</v>
      </c>
      <c r="W21" s="1386">
        <f>J21</f>
        <v>100</v>
      </c>
      <c r="X21" s="2193"/>
      <c r="Y21" s="3908"/>
      <c r="Z21" s="2192" t="str">
        <f>Q21</f>
        <v>基础设施水平</v>
      </c>
      <c r="AA21" s="1388">
        <f>D21/F21</f>
        <v>1</v>
      </c>
      <c r="AB21" s="1388">
        <f>D21/H21</f>
        <v>1</v>
      </c>
      <c r="AC21" s="1388">
        <f>D21/J21</f>
        <v>1</v>
      </c>
    </row>
    <row r="22" spans="1:29" ht="15">
      <c r="A22" s="502"/>
      <c r="B22" s="548"/>
      <c r="C22" s="537" t="s">
        <v>3290</v>
      </c>
      <c r="D22" s="525"/>
      <c r="E22" s="537" t="s">
        <v>3290</v>
      </c>
      <c r="F22" s="525"/>
      <c r="G22" s="537" t="s">
        <v>3290</v>
      </c>
      <c r="H22" s="525"/>
      <c r="I22" s="537" t="s">
        <v>3290</v>
      </c>
      <c r="J22" s="525"/>
      <c r="K22" s="2208"/>
      <c r="L22" s="1863"/>
      <c r="M22" s="1855"/>
      <c r="N22" s="1855"/>
      <c r="O22" s="1855"/>
      <c r="P22" s="3908"/>
      <c r="Q22" s="2191"/>
      <c r="R22" s="1385"/>
      <c r="S22" s="1386"/>
      <c r="T22" s="1385"/>
      <c r="U22" s="1386"/>
      <c r="V22" s="1385"/>
      <c r="W22" s="1386"/>
      <c r="X22" s="2193"/>
      <c r="Y22" s="3908"/>
      <c r="Z22" s="2192"/>
      <c r="AA22" s="1388">
        <v>1</v>
      </c>
      <c r="AB22" s="1388">
        <v>1</v>
      </c>
      <c r="AC22" s="1388">
        <v>1</v>
      </c>
    </row>
    <row r="23" spans="1:29" ht="15">
      <c r="A23" s="502"/>
      <c r="B23" s="530" t="s">
        <v>718</v>
      </c>
      <c r="C23" s="543" t="str">
        <f>估价对象房地状况!C9</f>
        <v>一般</v>
      </c>
      <c r="D23" s="529">
        <v>100</v>
      </c>
      <c r="E23" s="534"/>
      <c r="F23" s="529">
        <f>SUMIF(85:85,E24,86:86)-SUMIF(85:85,C24,86:86)+100</f>
        <v>110</v>
      </c>
      <c r="G23" s="3676"/>
      <c r="H23" s="529">
        <f>SUMIF(85:85,G24,86:86)-SUMIF(85:85,C24,86:86)+100</f>
        <v>105</v>
      </c>
      <c r="I23" s="3676"/>
      <c r="J23" s="529">
        <f>SUMIF(85:85,I24,86:86)-SUMIF(85:85,C24,86:86)+100</f>
        <v>105</v>
      </c>
      <c r="K23" s="861">
        <v>5</v>
      </c>
      <c r="L23" s="1863"/>
      <c r="M23" s="1855"/>
      <c r="N23" s="1855"/>
      <c r="O23" s="1855"/>
      <c r="P23" s="3908"/>
      <c r="Q23" s="1384" t="str">
        <f>B23</f>
        <v>环境质量</v>
      </c>
      <c r="R23" s="1385" t="s">
        <v>5</v>
      </c>
      <c r="S23" s="1386">
        <f>F23</f>
        <v>110</v>
      </c>
      <c r="T23" s="1385" t="s">
        <v>5</v>
      </c>
      <c r="U23" s="1386">
        <f>H23</f>
        <v>105</v>
      </c>
      <c r="V23" s="1385" t="s">
        <v>5</v>
      </c>
      <c r="W23" s="1386">
        <f>J23</f>
        <v>105</v>
      </c>
      <c r="X23" s="1379"/>
      <c r="Y23" s="3908"/>
      <c r="Z23" s="1387" t="str">
        <f>Q23</f>
        <v>环境质量</v>
      </c>
      <c r="AA23" s="1388">
        <f t="shared" si="3"/>
        <v>0.90909090909090906</v>
      </c>
      <c r="AB23" s="1388">
        <f t="shared" si="4"/>
        <v>0.95238095238095233</v>
      </c>
      <c r="AC23" s="1388">
        <f t="shared" si="5"/>
        <v>0.95238095238095233</v>
      </c>
    </row>
    <row r="24" spans="1:29" ht="15">
      <c r="A24" s="502"/>
      <c r="B24" s="548"/>
      <c r="C24" s="524" t="s">
        <v>3268</v>
      </c>
      <c r="D24" s="525"/>
      <c r="E24" s="524" t="s">
        <v>3270</v>
      </c>
      <c r="F24" s="525"/>
      <c r="G24" s="524" t="s">
        <v>3269</v>
      </c>
      <c r="H24" s="525"/>
      <c r="I24" s="524" t="s">
        <v>3269</v>
      </c>
      <c r="J24" s="525"/>
      <c r="K24" s="862"/>
      <c r="L24" s="1863"/>
      <c r="M24" s="1855"/>
      <c r="N24" s="1855"/>
      <c r="O24" s="1855"/>
      <c r="P24" s="3908"/>
      <c r="Q24" s="1384"/>
      <c r="R24" s="1385"/>
      <c r="S24" s="1386"/>
      <c r="T24" s="1385"/>
      <c r="U24" s="1386"/>
      <c r="V24" s="1385"/>
      <c r="W24" s="1386"/>
      <c r="X24" s="1379"/>
      <c r="Y24" s="3908"/>
      <c r="Z24" s="1387"/>
      <c r="AA24" s="1388">
        <v>1</v>
      </c>
      <c r="AB24" s="1388">
        <v>1</v>
      </c>
      <c r="AC24" s="1388">
        <v>1</v>
      </c>
    </row>
    <row r="25" spans="1:29" ht="27">
      <c r="A25" s="485"/>
      <c r="B25" s="530" t="s">
        <v>497</v>
      </c>
      <c r="C25" s="3676" t="s">
        <v>3310</v>
      </c>
      <c r="D25" s="510">
        <v>100</v>
      </c>
      <c r="E25" s="3676"/>
      <c r="F25" s="510">
        <f>SUMIF(87:87,E26,88:88)-SUMIF(87:87,C26,88:88)+100</f>
        <v>100</v>
      </c>
      <c r="G25" s="3678"/>
      <c r="H25" s="510">
        <f>SUMIF(87:87,G26,88:88)-SUMIF(87:87,C26,88:88)+100</f>
        <v>100</v>
      </c>
      <c r="I25" s="3677"/>
      <c r="J25" s="510">
        <f>SUMIF(87:87,I26,88:88)-SUMIF(87:87,C26,88:88)+100</f>
        <v>100</v>
      </c>
      <c r="K25" s="861">
        <v>1</v>
      </c>
      <c r="L25" s="1863"/>
      <c r="M25" s="1855"/>
      <c r="N25" s="1855"/>
      <c r="O25" s="1855"/>
      <c r="P25" s="3908"/>
      <c r="Q25" s="1384" t="str">
        <f>B25</f>
        <v>毗邻道路的类型与等级</v>
      </c>
      <c r="R25" s="1385" t="s">
        <v>5</v>
      </c>
      <c r="S25" s="1386">
        <f>F25</f>
        <v>100</v>
      </c>
      <c r="T25" s="1385" t="s">
        <v>5</v>
      </c>
      <c r="U25" s="1386">
        <f>H25</f>
        <v>100</v>
      </c>
      <c r="V25" s="1385" t="s">
        <v>5</v>
      </c>
      <c r="W25" s="1386">
        <f>J25</f>
        <v>100</v>
      </c>
      <c r="X25" s="1379"/>
      <c r="Y25" s="3908"/>
      <c r="Z25" s="1387" t="str">
        <f>Q25</f>
        <v>毗邻道路的类型与等级</v>
      </c>
      <c r="AA25" s="1388">
        <f t="shared" si="3"/>
        <v>1</v>
      </c>
      <c r="AB25" s="1388">
        <f t="shared" si="4"/>
        <v>1</v>
      </c>
      <c r="AC25" s="1388">
        <f t="shared" si="5"/>
        <v>1</v>
      </c>
    </row>
    <row r="26" spans="1:29" ht="15.75" thickBot="1">
      <c r="A26" s="485"/>
      <c r="B26" s="536"/>
      <c r="C26" s="550" t="s">
        <v>3309</v>
      </c>
      <c r="D26" s="510"/>
      <c r="E26" s="550" t="s">
        <v>3309</v>
      </c>
      <c r="F26" s="510"/>
      <c r="G26" s="550" t="s">
        <v>3309</v>
      </c>
      <c r="H26" s="510"/>
      <c r="I26" s="553" t="s">
        <v>3309</v>
      </c>
      <c r="J26" s="510"/>
      <c r="K26" s="862"/>
      <c r="L26" s="1863"/>
      <c r="M26" s="1855"/>
      <c r="N26" s="1855"/>
      <c r="O26" s="1855"/>
      <c r="P26" s="3908"/>
      <c r="Q26" s="1384"/>
      <c r="R26" s="1385"/>
      <c r="S26" s="1386"/>
      <c r="T26" s="1385"/>
      <c r="U26" s="1386"/>
      <c r="V26" s="1385"/>
      <c r="W26" s="1386"/>
      <c r="X26" s="1379"/>
      <c r="Y26" s="3908"/>
      <c r="Z26" s="1387"/>
      <c r="AA26" s="1388">
        <v>1</v>
      </c>
      <c r="AB26" s="1388">
        <v>1</v>
      </c>
      <c r="AC26" s="1388">
        <v>1</v>
      </c>
    </row>
    <row r="27" spans="1:29" ht="15" hidden="1">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08"/>
      <c r="Q27" s="1384" t="str">
        <f t="shared" ref="Q27:Q47" si="8">B27</f>
        <v>楼层</v>
      </c>
      <c r="R27" s="1385" t="s">
        <v>5</v>
      </c>
      <c r="S27" s="1386">
        <f>F27</f>
        <v>100</v>
      </c>
      <c r="T27" s="1385" t="s">
        <v>5</v>
      </c>
      <c r="U27" s="1386">
        <f>H27</f>
        <v>100</v>
      </c>
      <c r="V27" s="1385" t="s">
        <v>5</v>
      </c>
      <c r="W27" s="1386">
        <f>J27</f>
        <v>100</v>
      </c>
      <c r="X27" s="1379"/>
      <c r="Y27" s="3908"/>
      <c r="Z27" s="1387" t="str">
        <f>Q27</f>
        <v>楼层</v>
      </c>
      <c r="AA27" s="1388">
        <f t="shared" si="3"/>
        <v>1</v>
      </c>
      <c r="AB27" s="1388">
        <f t="shared" si="4"/>
        <v>1</v>
      </c>
      <c r="AC27" s="1388">
        <f t="shared" si="5"/>
        <v>1</v>
      </c>
    </row>
    <row r="28" spans="1:29" s="1118" customFormat="1" ht="15.75" hidden="1" thickBot="1">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6"/>
      <c r="M28" s="1857"/>
      <c r="N28" s="1857"/>
      <c r="O28" s="1857"/>
      <c r="P28" s="3908"/>
      <c r="Q28" s="1050" t="str">
        <f t="shared" si="8"/>
        <v>朝向</v>
      </c>
      <c r="R28" s="1380" t="s">
        <v>5</v>
      </c>
      <c r="S28" s="1381">
        <f>F28</f>
        <v>100</v>
      </c>
      <c r="T28" s="1380" t="s">
        <v>5</v>
      </c>
      <c r="U28" s="1381">
        <f>H28</f>
        <v>100</v>
      </c>
      <c r="V28" s="1380" t="s">
        <v>5</v>
      </c>
      <c r="W28" s="1381">
        <f>J28</f>
        <v>100</v>
      </c>
      <c r="X28" s="1382"/>
      <c r="Y28" s="3908"/>
      <c r="Z28" s="1049" t="str">
        <f>Q28</f>
        <v>朝向</v>
      </c>
      <c r="AA28" s="1388">
        <f>D28/F28</f>
        <v>1</v>
      </c>
      <c r="AB28" s="1388">
        <f>D28/H28</f>
        <v>1</v>
      </c>
      <c r="AC28" s="1388">
        <f>D28/J28</f>
        <v>1</v>
      </c>
    </row>
    <row r="29" spans="1:29" ht="15" hidden="1">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3"/>
      <c r="M29" s="1855"/>
      <c r="N29" s="1855"/>
      <c r="O29" s="1855"/>
      <c r="P29" s="3908"/>
      <c r="Q29" s="1384">
        <f t="shared" si="8"/>
        <v>111</v>
      </c>
      <c r="R29" s="1385" t="s">
        <v>5</v>
      </c>
      <c r="S29" s="1386">
        <f t="shared" ref="S29:S47" si="9">F29</f>
        <v>100</v>
      </c>
      <c r="T29" s="1385" t="s">
        <v>5</v>
      </c>
      <c r="U29" s="1386">
        <f t="shared" ref="U29:U47" si="10">H29</f>
        <v>100</v>
      </c>
      <c r="V29" s="1385" t="s">
        <v>5</v>
      </c>
      <c r="W29" s="1386">
        <f t="shared" ref="W29:W47" si="11">J29</f>
        <v>100</v>
      </c>
      <c r="X29" s="1379"/>
      <c r="Y29" s="3908"/>
      <c r="Z29" s="1387">
        <f t="shared" ref="Z29:Z47" si="12">Q29</f>
        <v>111</v>
      </c>
      <c r="AA29" s="1388">
        <f t="shared" si="3"/>
        <v>1</v>
      </c>
      <c r="AB29" s="1388">
        <f t="shared" si="4"/>
        <v>1</v>
      </c>
      <c r="AC29" s="1388">
        <f t="shared" si="5"/>
        <v>1</v>
      </c>
    </row>
    <row r="30" spans="1:29" ht="15" hidden="1">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3"/>
      <c r="M30" s="1855"/>
      <c r="N30" s="1855"/>
      <c r="O30" s="1855"/>
      <c r="P30" s="3908"/>
      <c r="Q30" s="1384">
        <f t="shared" si="8"/>
        <v>111</v>
      </c>
      <c r="R30" s="1385" t="s">
        <v>5</v>
      </c>
      <c r="S30" s="1386">
        <f t="shared" si="9"/>
        <v>100</v>
      </c>
      <c r="T30" s="1385" t="s">
        <v>5</v>
      </c>
      <c r="U30" s="1386">
        <f t="shared" si="10"/>
        <v>100</v>
      </c>
      <c r="V30" s="1385" t="s">
        <v>5</v>
      </c>
      <c r="W30" s="1386">
        <f t="shared" si="11"/>
        <v>100</v>
      </c>
      <c r="X30" s="1379"/>
      <c r="Y30" s="3908"/>
      <c r="Z30" s="1387">
        <f t="shared" si="12"/>
        <v>111</v>
      </c>
      <c r="AA30" s="1388">
        <f t="shared" si="3"/>
        <v>1</v>
      </c>
      <c r="AB30" s="1388">
        <f t="shared" si="4"/>
        <v>1</v>
      </c>
      <c r="AC30" s="1388">
        <f t="shared" si="5"/>
        <v>1</v>
      </c>
    </row>
    <row r="31" spans="1:29" ht="15" hidden="1">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3"/>
      <c r="M31" s="1855"/>
      <c r="N31" s="1855"/>
      <c r="O31" s="1855"/>
      <c r="P31" s="3908"/>
      <c r="Q31" s="1384">
        <f t="shared" si="8"/>
        <v>111</v>
      </c>
      <c r="R31" s="1385" t="s">
        <v>5</v>
      </c>
      <c r="S31" s="1386">
        <f t="shared" si="9"/>
        <v>100</v>
      </c>
      <c r="T31" s="1385" t="s">
        <v>5</v>
      </c>
      <c r="U31" s="1386">
        <f t="shared" si="10"/>
        <v>100</v>
      </c>
      <c r="V31" s="1385" t="s">
        <v>5</v>
      </c>
      <c r="W31" s="1386">
        <f t="shared" si="11"/>
        <v>100</v>
      </c>
      <c r="X31" s="1379"/>
      <c r="Y31" s="3908"/>
      <c r="Z31" s="1387">
        <f t="shared" si="12"/>
        <v>111</v>
      </c>
      <c r="AA31" s="1388">
        <f t="shared" si="3"/>
        <v>1</v>
      </c>
      <c r="AB31" s="1388">
        <f t="shared" si="4"/>
        <v>1</v>
      </c>
      <c r="AC31" s="1388">
        <f t="shared" si="5"/>
        <v>1</v>
      </c>
    </row>
    <row r="32" spans="1:29" ht="15.75" hidden="1"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3"/>
      <c r="M32" s="1855"/>
      <c r="N32" s="1855"/>
      <c r="O32" s="1855"/>
      <c r="P32" s="3908"/>
      <c r="Q32" s="1384">
        <f t="shared" si="8"/>
        <v>111</v>
      </c>
      <c r="R32" s="1385" t="s">
        <v>5</v>
      </c>
      <c r="S32" s="1386">
        <f t="shared" si="9"/>
        <v>100</v>
      </c>
      <c r="T32" s="1385" t="s">
        <v>5</v>
      </c>
      <c r="U32" s="1386">
        <f t="shared" si="10"/>
        <v>100</v>
      </c>
      <c r="V32" s="1385" t="s">
        <v>5</v>
      </c>
      <c r="W32" s="1386">
        <f t="shared" si="11"/>
        <v>100</v>
      </c>
      <c r="X32" s="1379"/>
      <c r="Y32" s="3908"/>
      <c r="Z32" s="1387">
        <f t="shared" si="12"/>
        <v>111</v>
      </c>
      <c r="AA32" s="1388">
        <f t="shared" si="3"/>
        <v>1</v>
      </c>
      <c r="AB32" s="1388">
        <f t="shared" si="4"/>
        <v>1</v>
      </c>
      <c r="AC32" s="1388">
        <f t="shared" si="5"/>
        <v>1</v>
      </c>
    </row>
    <row r="33" spans="1:29" ht="15">
      <c r="A33" s="2385" t="s">
        <v>2036</v>
      </c>
      <c r="B33" s="165" t="s">
        <v>720</v>
      </c>
      <c r="C33" s="879" t="s">
        <v>3303</v>
      </c>
      <c r="D33" s="567">
        <v>100</v>
      </c>
      <c r="E33" s="879" t="s">
        <v>3303</v>
      </c>
      <c r="F33" s="545">
        <f>SUMIF(101:101,E33,102:102)-SUMIF(101:101,C33,102:102)+100</f>
        <v>100</v>
      </c>
      <c r="G33" s="879" t="s">
        <v>3536</v>
      </c>
      <c r="H33" s="510">
        <f>SUMIF(101:101,G33,102:102)-SUMIF(101:101,C33,102:102)+100</f>
        <v>106</v>
      </c>
      <c r="I33" s="879" t="s">
        <v>3303</v>
      </c>
      <c r="J33" s="567">
        <f>SUMIF(101:101,I33,102:102)-SUMIF(101:101,C33,102:102)+100</f>
        <v>100</v>
      </c>
      <c r="K33" s="554">
        <v>6</v>
      </c>
      <c r="L33" s="1863"/>
      <c r="M33" s="1855"/>
      <c r="N33" s="1855"/>
      <c r="O33" s="1855"/>
      <c r="P33" s="3909" t="s">
        <v>499</v>
      </c>
      <c r="Q33" s="1384" t="str">
        <f t="shared" si="8"/>
        <v>建筑类型</v>
      </c>
      <c r="R33" s="1385" t="s">
        <v>5</v>
      </c>
      <c r="S33" s="1386">
        <f t="shared" si="9"/>
        <v>100</v>
      </c>
      <c r="T33" s="1385" t="s">
        <v>5</v>
      </c>
      <c r="U33" s="1386">
        <f t="shared" si="10"/>
        <v>106</v>
      </c>
      <c r="V33" s="1385" t="s">
        <v>5</v>
      </c>
      <c r="W33" s="1386">
        <f t="shared" si="11"/>
        <v>100</v>
      </c>
      <c r="X33" s="1379"/>
      <c r="Y33" s="3910" t="s">
        <v>499</v>
      </c>
      <c r="Z33" s="1387" t="str">
        <f t="shared" si="12"/>
        <v>建筑类型</v>
      </c>
      <c r="AA33" s="1388">
        <f t="shared" si="3"/>
        <v>1</v>
      </c>
      <c r="AB33" s="1388">
        <f t="shared" si="4"/>
        <v>0.94339622641509435</v>
      </c>
      <c r="AC33" s="1388">
        <f t="shared" si="5"/>
        <v>1</v>
      </c>
    </row>
    <row r="34" spans="1:29" s="1200" customFormat="1" ht="15">
      <c r="A34" s="573"/>
      <c r="B34" s="497" t="s">
        <v>673</v>
      </c>
      <c r="C34" s="503">
        <f>'数据-汇总表'!E3</f>
        <v>45811.100000000013</v>
      </c>
      <c r="D34" s="246">
        <v>100</v>
      </c>
      <c r="E34" s="503">
        <v>48865.3</v>
      </c>
      <c r="F34" s="826">
        <f>LOOKUP(E34,104:104,105:105)-LOOKUP(C34,104:104,105:105)+100</f>
        <v>100</v>
      </c>
      <c r="G34" s="503">
        <v>330000</v>
      </c>
      <c r="H34" s="246">
        <f>LOOKUP(G34,104:104,105:105)-LOOKUP(C34,104:104,105:105)+100</f>
        <v>103</v>
      </c>
      <c r="I34" s="503">
        <v>239000</v>
      </c>
      <c r="J34" s="246">
        <f>LOOKUP(I34,104:104,105:105)-LOOKUP(C34,104:104,105:105)+100</f>
        <v>102</v>
      </c>
      <c r="K34" s="551"/>
      <c r="L34" s="1861"/>
      <c r="M34" s="1891"/>
      <c r="N34" s="1891"/>
      <c r="O34" s="1891"/>
      <c r="P34" s="3910"/>
      <c r="Q34" s="1413" t="str">
        <f t="shared" si="8"/>
        <v>项目建筑规模</v>
      </c>
      <c r="R34" s="1389" t="s">
        <v>5</v>
      </c>
      <c r="S34" s="1390">
        <f t="shared" si="9"/>
        <v>100</v>
      </c>
      <c r="T34" s="1389" t="s">
        <v>5</v>
      </c>
      <c r="U34" s="1390">
        <f t="shared" si="10"/>
        <v>103</v>
      </c>
      <c r="V34" s="1389" t="s">
        <v>5</v>
      </c>
      <c r="W34" s="1390">
        <f t="shared" si="11"/>
        <v>102</v>
      </c>
      <c r="X34" s="1391"/>
      <c r="Y34" s="3910"/>
      <c r="Z34" s="1392" t="str">
        <f t="shared" si="12"/>
        <v>项目建筑规模</v>
      </c>
      <c r="AA34" s="1388">
        <f t="shared" si="3"/>
        <v>1</v>
      </c>
      <c r="AB34" s="1388">
        <f t="shared" si="4"/>
        <v>0.970873786407767</v>
      </c>
      <c r="AC34" s="1388">
        <f t="shared" si="5"/>
        <v>0.98039215686274506</v>
      </c>
    </row>
    <row r="35" spans="1:29" ht="15">
      <c r="A35" s="564"/>
      <c r="B35" s="497" t="s">
        <v>674</v>
      </c>
      <c r="C35" s="544" t="s">
        <v>3298</v>
      </c>
      <c r="D35" s="510">
        <v>100</v>
      </c>
      <c r="E35" s="544" t="s">
        <v>3298</v>
      </c>
      <c r="F35" s="545">
        <f>SUMIF(106:106,E35,107:107)-SUMIF(106:106,C35,107:107)+100</f>
        <v>100</v>
      </c>
      <c r="G35" s="544" t="s">
        <v>3298</v>
      </c>
      <c r="H35" s="510">
        <f>SUMIF(106:106,G35,107:107)-SUMIF(106:106,C35,107:107)+100</f>
        <v>100</v>
      </c>
      <c r="I35" s="544" t="s">
        <v>3298</v>
      </c>
      <c r="J35" s="510">
        <f>SUMIF(106:106,I35,107:107)-SUMIF(106:106,C35,107:107)+100</f>
        <v>100</v>
      </c>
      <c r="K35" s="554">
        <v>2</v>
      </c>
      <c r="L35" s="1863"/>
      <c r="M35" s="1855"/>
      <c r="N35" s="1855"/>
      <c r="O35" s="1855"/>
      <c r="P35" s="3910"/>
      <c r="Q35" s="1384" t="str">
        <f t="shared" si="8"/>
        <v>建筑结构</v>
      </c>
      <c r="R35" s="1385" t="s">
        <v>5</v>
      </c>
      <c r="S35" s="1386">
        <f t="shared" si="9"/>
        <v>100</v>
      </c>
      <c r="T35" s="1385" t="s">
        <v>5</v>
      </c>
      <c r="U35" s="1386">
        <f t="shared" si="10"/>
        <v>100</v>
      </c>
      <c r="V35" s="1385" t="s">
        <v>5</v>
      </c>
      <c r="W35" s="1386">
        <f t="shared" si="11"/>
        <v>100</v>
      </c>
      <c r="X35" s="1379"/>
      <c r="Y35" s="3910"/>
      <c r="Z35" s="1387" t="str">
        <f t="shared" si="12"/>
        <v>建筑结构</v>
      </c>
      <c r="AA35" s="1388">
        <f t="shared" si="3"/>
        <v>1</v>
      </c>
      <c r="AB35" s="1388">
        <f t="shared" si="4"/>
        <v>1</v>
      </c>
      <c r="AC35" s="1388">
        <f t="shared" si="5"/>
        <v>1</v>
      </c>
    </row>
    <row r="36" spans="1:29" ht="15">
      <c r="A36" s="564"/>
      <c r="B36" s="497" t="s">
        <v>703</v>
      </c>
      <c r="C36" s="544" t="s">
        <v>3304</v>
      </c>
      <c r="D36" s="510">
        <v>100</v>
      </c>
      <c r="E36" s="544" t="s">
        <v>3304</v>
      </c>
      <c r="F36" s="545">
        <f>SUMIF(108:108,E36,109:109)-SUMIF(108:108,C36,109:109)+100</f>
        <v>100</v>
      </c>
      <c r="G36" s="544" t="s">
        <v>3304</v>
      </c>
      <c r="H36" s="510">
        <f>SUMIF(108:108,G36,109:109)-SUMIF(108:108,C36,109:109)+100</f>
        <v>100</v>
      </c>
      <c r="I36" s="544" t="s">
        <v>3304</v>
      </c>
      <c r="J36" s="510">
        <f>SUMIF(108:108,I36,109:109)-SUMIF(108:108,C36,109:109)+100</f>
        <v>100</v>
      </c>
      <c r="K36" s="554">
        <v>2</v>
      </c>
      <c r="L36" s="1863"/>
      <c r="M36" s="1855"/>
      <c r="N36" s="1855"/>
      <c r="O36" s="1855"/>
      <c r="P36" s="3910"/>
      <c r="Q36" s="1384" t="str">
        <f t="shared" si="8"/>
        <v>公共部分装修</v>
      </c>
      <c r="R36" s="1385" t="s">
        <v>5</v>
      </c>
      <c r="S36" s="1386">
        <f t="shared" si="9"/>
        <v>100</v>
      </c>
      <c r="T36" s="1385" t="s">
        <v>5</v>
      </c>
      <c r="U36" s="1386">
        <f t="shared" si="10"/>
        <v>100</v>
      </c>
      <c r="V36" s="1385" t="s">
        <v>5</v>
      </c>
      <c r="W36" s="1386">
        <f t="shared" si="11"/>
        <v>100</v>
      </c>
      <c r="X36" s="1379"/>
      <c r="Y36" s="3910"/>
      <c r="Z36" s="1387" t="str">
        <f t="shared" si="12"/>
        <v>公共部分装修</v>
      </c>
      <c r="AA36" s="1388">
        <f t="shared" si="3"/>
        <v>1</v>
      </c>
      <c r="AB36" s="1388">
        <f t="shared" si="4"/>
        <v>1</v>
      </c>
      <c r="AC36" s="1388">
        <f t="shared" si="5"/>
        <v>1</v>
      </c>
    </row>
    <row r="37" spans="1:29" ht="15" hidden="1">
      <c r="A37" s="564"/>
      <c r="B37" s="497" t="s">
        <v>704</v>
      </c>
      <c r="C37" s="846">
        <v>1</v>
      </c>
      <c r="D37" s="510">
        <v>100</v>
      </c>
      <c r="E37" s="846">
        <v>1</v>
      </c>
      <c r="F37" s="545">
        <f>LOOKUP(E37,111:111,112:112)-LOOKUP(C37,111:111,112:112)+100</f>
        <v>100</v>
      </c>
      <c r="G37" s="846">
        <v>1</v>
      </c>
      <c r="H37" s="545">
        <f>LOOKUP(G37,111:111,112:112)-LOOKUP(C37,111:111,112:112)+100</f>
        <v>100</v>
      </c>
      <c r="I37" s="846">
        <v>1</v>
      </c>
      <c r="J37" s="510">
        <f>LOOKUP(I37,111:111,112:112)-LOOKUP(C37,111:111,112:112)+100</f>
        <v>100</v>
      </c>
      <c r="K37" s="554">
        <v>1</v>
      </c>
      <c r="L37" s="1863"/>
      <c r="M37" s="1855"/>
      <c r="N37" s="1855"/>
      <c r="O37" s="1855"/>
      <c r="P37" s="3910"/>
      <c r="Q37" s="1384" t="str">
        <f t="shared" si="8"/>
        <v>成新度</v>
      </c>
      <c r="R37" s="1385" t="s">
        <v>5</v>
      </c>
      <c r="S37" s="1386">
        <f t="shared" si="9"/>
        <v>100</v>
      </c>
      <c r="T37" s="1385" t="s">
        <v>5</v>
      </c>
      <c r="U37" s="1386">
        <f t="shared" si="10"/>
        <v>100</v>
      </c>
      <c r="V37" s="1385" t="s">
        <v>5</v>
      </c>
      <c r="W37" s="1386">
        <f t="shared" si="11"/>
        <v>100</v>
      </c>
      <c r="X37" s="1379"/>
      <c r="Y37" s="3910"/>
      <c r="Z37" s="1387" t="str">
        <f t="shared" si="12"/>
        <v>成新度</v>
      </c>
      <c r="AA37" s="1388">
        <f t="shared" si="3"/>
        <v>1</v>
      </c>
      <c r="AB37" s="1388">
        <f t="shared" si="4"/>
        <v>1</v>
      </c>
      <c r="AC37" s="1388">
        <f t="shared" si="5"/>
        <v>1</v>
      </c>
    </row>
    <row r="38" spans="1:29" s="1118" customFormat="1" ht="15" hidden="1">
      <c r="A38" s="570"/>
      <c r="B38" s="497" t="s">
        <v>721</v>
      </c>
      <c r="C38" s="544" t="s">
        <v>3305</v>
      </c>
      <c r="D38" s="246">
        <v>100</v>
      </c>
      <c r="E38" s="544" t="s">
        <v>3305</v>
      </c>
      <c r="F38" s="545">
        <f>SUMIF(113:113,E38,114:114)-SUMIF(113:113,C38,114:114)+100</f>
        <v>100</v>
      </c>
      <c r="G38" s="544" t="s">
        <v>3305</v>
      </c>
      <c r="H38" s="510">
        <f>SUMIF(113:113,G38,114:114)-SUMIF(113:113,C38,114:114)+100</f>
        <v>100</v>
      </c>
      <c r="I38" s="544" t="s">
        <v>3305</v>
      </c>
      <c r="J38" s="510">
        <f>SUMIF(113:113,I38,114:114)-SUMIF(113:113,C38,114:114)+100</f>
        <v>100</v>
      </c>
      <c r="K38" s="554">
        <v>2</v>
      </c>
      <c r="L38" s="1856"/>
      <c r="M38" s="1857"/>
      <c r="N38" s="1857"/>
      <c r="O38" s="1857"/>
      <c r="P38" s="3910"/>
      <c r="Q38" s="1050" t="str">
        <f t="shared" si="8"/>
        <v>写字楼等级</v>
      </c>
      <c r="R38" s="1380" t="s">
        <v>5</v>
      </c>
      <c r="S38" s="1381">
        <f t="shared" si="9"/>
        <v>100</v>
      </c>
      <c r="T38" s="1380" t="s">
        <v>5</v>
      </c>
      <c r="U38" s="1381">
        <f t="shared" si="10"/>
        <v>100</v>
      </c>
      <c r="V38" s="1380" t="s">
        <v>5</v>
      </c>
      <c r="W38" s="1381">
        <f t="shared" si="11"/>
        <v>100</v>
      </c>
      <c r="X38" s="1382"/>
      <c r="Y38" s="3910"/>
      <c r="Z38" s="1049" t="str">
        <f t="shared" si="12"/>
        <v>写字楼等级</v>
      </c>
      <c r="AA38" s="1383">
        <f t="shared" si="3"/>
        <v>1</v>
      </c>
      <c r="AB38" s="1383">
        <f t="shared" si="4"/>
        <v>1</v>
      </c>
      <c r="AC38" s="1383">
        <f t="shared" si="5"/>
        <v>1</v>
      </c>
    </row>
    <row r="39" spans="1:29" ht="15">
      <c r="A39" s="564"/>
      <c r="B39" s="497" t="s">
        <v>722</v>
      </c>
      <c r="C39" s="544" t="s">
        <v>3306</v>
      </c>
      <c r="D39" s="510">
        <v>100</v>
      </c>
      <c r="E39" s="544" t="s">
        <v>3306</v>
      </c>
      <c r="F39" s="545">
        <f>SUMIF(115:115,E39,116:116)-SUMIF(115:115,C39,116:116)+100</f>
        <v>100</v>
      </c>
      <c r="G39" s="544" t="s">
        <v>3306</v>
      </c>
      <c r="H39" s="510">
        <f>SUMIF(115:115,G39,116:116)-SUMIF(115:115,C39,116:116)+100</f>
        <v>100</v>
      </c>
      <c r="I39" s="544" t="s">
        <v>3306</v>
      </c>
      <c r="J39" s="510">
        <f>SUMIF(115:115,I39,116:116)-SUMIF(115:115,C39,116:116)+100</f>
        <v>100</v>
      </c>
      <c r="K39" s="554">
        <v>2</v>
      </c>
      <c r="L39" s="1863"/>
      <c r="M39" s="1855"/>
      <c r="N39" s="1855"/>
      <c r="O39" s="1855"/>
      <c r="P39" s="3910" t="s">
        <v>499</v>
      </c>
      <c r="Q39" s="1384" t="str">
        <f t="shared" si="8"/>
        <v>物业管理</v>
      </c>
      <c r="R39" s="1385" t="s">
        <v>5</v>
      </c>
      <c r="S39" s="1386">
        <f t="shared" si="9"/>
        <v>100</v>
      </c>
      <c r="T39" s="1385" t="s">
        <v>5</v>
      </c>
      <c r="U39" s="1386">
        <f t="shared" si="10"/>
        <v>100</v>
      </c>
      <c r="V39" s="1385" t="s">
        <v>5</v>
      </c>
      <c r="W39" s="1386">
        <f t="shared" si="11"/>
        <v>100</v>
      </c>
      <c r="X39" s="1379"/>
      <c r="Y39" s="3910" t="s">
        <v>499</v>
      </c>
      <c r="Z39" s="1387" t="str">
        <f t="shared" si="12"/>
        <v>物业管理</v>
      </c>
      <c r="AA39" s="1388">
        <f t="shared" si="3"/>
        <v>1</v>
      </c>
      <c r="AB39" s="1388">
        <f t="shared" si="4"/>
        <v>1</v>
      </c>
      <c r="AC39" s="1388">
        <f t="shared" si="5"/>
        <v>1</v>
      </c>
    </row>
    <row r="40" spans="1:29" ht="15">
      <c r="A40" s="564"/>
      <c r="B40" s="1649" t="s">
        <v>1847</v>
      </c>
      <c r="C40" s="544" t="s">
        <v>3290</v>
      </c>
      <c r="D40" s="510">
        <v>100</v>
      </c>
      <c r="E40" s="544" t="s">
        <v>3291</v>
      </c>
      <c r="F40" s="545">
        <f>SUMIF(117:117,E40,118:118)-SUMIF(117:117,C40,118:118)+100</f>
        <v>99</v>
      </c>
      <c r="G40" s="544" t="s">
        <v>3291</v>
      </c>
      <c r="H40" s="510">
        <f>SUMIF(117:117,G40,118:118)-SUMIF(117:117,C40,118:118)+100</f>
        <v>99</v>
      </c>
      <c r="I40" s="544" t="s">
        <v>3291</v>
      </c>
      <c r="J40" s="510">
        <f>SUMIF(117:117,I40,118:118)-SUMIF(117:117,C40,118:118)+100</f>
        <v>99</v>
      </c>
      <c r="K40" s="554">
        <v>1</v>
      </c>
      <c r="L40" s="1863"/>
      <c r="M40" s="1855"/>
      <c r="N40" s="1855"/>
      <c r="O40" s="1855"/>
      <c r="P40" s="3910"/>
      <c r="Q40" s="1384" t="str">
        <f t="shared" si="8"/>
        <v>市政基础设施</v>
      </c>
      <c r="R40" s="1385" t="s">
        <v>5</v>
      </c>
      <c r="S40" s="1386">
        <f t="shared" si="9"/>
        <v>99</v>
      </c>
      <c r="T40" s="1385" t="s">
        <v>5</v>
      </c>
      <c r="U40" s="1386">
        <f t="shared" si="10"/>
        <v>99</v>
      </c>
      <c r="V40" s="1385" t="s">
        <v>5</v>
      </c>
      <c r="W40" s="1386">
        <f t="shared" si="11"/>
        <v>99</v>
      </c>
      <c r="X40" s="1379"/>
      <c r="Y40" s="3910"/>
      <c r="Z40" s="1387" t="str">
        <f t="shared" si="12"/>
        <v>市政基础设施</v>
      </c>
      <c r="AA40" s="1388">
        <f t="shared" si="3"/>
        <v>1.0101010101010102</v>
      </c>
      <c r="AB40" s="1388">
        <f t="shared" si="4"/>
        <v>1.0101010101010102</v>
      </c>
      <c r="AC40" s="1388">
        <f t="shared" si="5"/>
        <v>1.0101010101010102</v>
      </c>
    </row>
    <row r="41" spans="1:29" ht="15">
      <c r="A41" s="564"/>
      <c r="B41" s="497" t="s">
        <v>707</v>
      </c>
      <c r="C41" s="553" t="s">
        <v>3307</v>
      </c>
      <c r="D41" s="510">
        <v>100</v>
      </c>
      <c r="E41" s="553" t="s">
        <v>3307</v>
      </c>
      <c r="F41" s="545">
        <f>SUMIF(119:119,E41,120:120)-SUMIF(119:119,C41,120:120)+100</f>
        <v>100</v>
      </c>
      <c r="G41" s="553" t="s">
        <v>3307</v>
      </c>
      <c r="H41" s="510">
        <f>SUMIF(119:119,G41,120:120)-SUMIF(119:119,C41,120:120)+100</f>
        <v>100</v>
      </c>
      <c r="I41" s="553" t="s">
        <v>3307</v>
      </c>
      <c r="J41" s="510">
        <f>SUMIF(119:119,I41,120:120)-SUMIF(119:119,C41,120:120)+100</f>
        <v>100</v>
      </c>
      <c r="K41" s="554">
        <v>3</v>
      </c>
      <c r="L41" s="1863"/>
      <c r="M41" s="1855"/>
      <c r="N41" s="1855"/>
      <c r="O41" s="1855"/>
      <c r="P41" s="3910"/>
      <c r="Q41" s="1384" t="str">
        <f t="shared" si="8"/>
        <v>层高</v>
      </c>
      <c r="R41" s="1385" t="s">
        <v>5</v>
      </c>
      <c r="S41" s="1386">
        <f t="shared" si="9"/>
        <v>100</v>
      </c>
      <c r="T41" s="1385" t="s">
        <v>5</v>
      </c>
      <c r="U41" s="1386">
        <f t="shared" si="10"/>
        <v>100</v>
      </c>
      <c r="V41" s="1385" t="s">
        <v>5</v>
      </c>
      <c r="W41" s="1386">
        <f t="shared" si="11"/>
        <v>100</v>
      </c>
      <c r="X41" s="1379"/>
      <c r="Y41" s="3910"/>
      <c r="Z41" s="1387" t="str">
        <f t="shared" si="12"/>
        <v>层高</v>
      </c>
      <c r="AA41" s="1388">
        <f t="shared" si="3"/>
        <v>1</v>
      </c>
      <c r="AB41" s="1388">
        <f t="shared" si="4"/>
        <v>1</v>
      </c>
      <c r="AC41" s="1388">
        <f t="shared" si="5"/>
        <v>1</v>
      </c>
    </row>
    <row r="42" spans="1:29" s="1200" customFormat="1" ht="15" hidden="1">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10"/>
      <c r="Q42" s="1413" t="str">
        <f t="shared" si="8"/>
        <v>单套建筑面积</v>
      </c>
      <c r="R42" s="1389" t="s">
        <v>5</v>
      </c>
      <c r="S42" s="1390">
        <f t="shared" si="9"/>
        <v>100</v>
      </c>
      <c r="T42" s="1389" t="s">
        <v>5</v>
      </c>
      <c r="U42" s="1390">
        <f t="shared" si="10"/>
        <v>100</v>
      </c>
      <c r="V42" s="1389" t="s">
        <v>5</v>
      </c>
      <c r="W42" s="1390">
        <f t="shared" si="11"/>
        <v>100</v>
      </c>
      <c r="X42" s="1391"/>
      <c r="Y42" s="3910"/>
      <c r="Z42" s="1392" t="str">
        <f t="shared" si="12"/>
        <v>单套建筑面积</v>
      </c>
      <c r="AA42" s="1388">
        <f t="shared" si="3"/>
        <v>1</v>
      </c>
      <c r="AB42" s="1388">
        <f t="shared" si="4"/>
        <v>1</v>
      </c>
      <c r="AC42" s="1388">
        <f t="shared" si="5"/>
        <v>1</v>
      </c>
    </row>
    <row r="43" spans="1:29" ht="15">
      <c r="A43" s="564"/>
      <c r="B43" s="497" t="s">
        <v>710</v>
      </c>
      <c r="C43" s="544" t="s">
        <v>3308</v>
      </c>
      <c r="D43" s="510">
        <v>100</v>
      </c>
      <c r="E43" s="544" t="s">
        <v>3308</v>
      </c>
      <c r="F43" s="545">
        <f>SUMIF(123:123,E43,124:124)-SUMIF(123:123,C43,124:124)+100</f>
        <v>100</v>
      </c>
      <c r="G43" s="544" t="s">
        <v>3308</v>
      </c>
      <c r="H43" s="510">
        <f>SUMIF(123:123,G43,124:124)-SUMIF(123:123,C43,124:124)+100</f>
        <v>100</v>
      </c>
      <c r="I43" s="544" t="s">
        <v>3308</v>
      </c>
      <c r="J43" s="510">
        <f>SUMIF(123:123,I43,124:124)-SUMIF(123:123,C43,124:124)+100</f>
        <v>100</v>
      </c>
      <c r="K43" s="554">
        <v>2</v>
      </c>
      <c r="L43" s="1863"/>
      <c r="M43" s="1855"/>
      <c r="N43" s="1855"/>
      <c r="O43" s="1855"/>
      <c r="P43" s="3910"/>
      <c r="Q43" s="1384" t="str">
        <f t="shared" si="8"/>
        <v>内部装修</v>
      </c>
      <c r="R43" s="1385" t="s">
        <v>5</v>
      </c>
      <c r="S43" s="1386">
        <f t="shared" si="9"/>
        <v>100</v>
      </c>
      <c r="T43" s="1385" t="s">
        <v>5</v>
      </c>
      <c r="U43" s="1386">
        <f t="shared" si="10"/>
        <v>100</v>
      </c>
      <c r="V43" s="1385" t="s">
        <v>5</v>
      </c>
      <c r="W43" s="1386">
        <f t="shared" si="11"/>
        <v>100</v>
      </c>
      <c r="X43" s="1379"/>
      <c r="Y43" s="3910"/>
      <c r="Z43" s="1387" t="str">
        <f t="shared" si="12"/>
        <v>内部装修</v>
      </c>
      <c r="AA43" s="1388">
        <f t="shared" si="3"/>
        <v>1</v>
      </c>
      <c r="AB43" s="1388">
        <f t="shared" si="4"/>
        <v>1</v>
      </c>
      <c r="AC43" s="1388">
        <f t="shared" si="5"/>
        <v>1</v>
      </c>
    </row>
    <row r="44" spans="1:29" ht="15">
      <c r="A44" s="564"/>
      <c r="B44" s="497" t="s">
        <v>682</v>
      </c>
      <c r="C44" s="544" t="s">
        <v>3269</v>
      </c>
      <c r="D44" s="510">
        <v>100</v>
      </c>
      <c r="E44" s="544" t="s">
        <v>3269</v>
      </c>
      <c r="F44" s="545">
        <f>SUMIF(125:125,E44,126:126)-SUMIF(125:125,C44,126:126)+100</f>
        <v>100</v>
      </c>
      <c r="G44" s="544" t="s">
        <v>3269</v>
      </c>
      <c r="H44" s="510">
        <f>SUMIF(125:125,G44,126:126)-SUMIF(125:125,C44,126:126)+100</f>
        <v>100</v>
      </c>
      <c r="I44" s="544" t="s">
        <v>3269</v>
      </c>
      <c r="J44" s="510">
        <f>SUMIF(125:125,I44,126:126)-SUMIF(125:125,C44,126:126)+100</f>
        <v>100</v>
      </c>
      <c r="K44" s="554">
        <v>2</v>
      </c>
      <c r="L44" s="1863"/>
      <c r="M44" s="1855"/>
      <c r="N44" s="1855"/>
      <c r="O44" s="1855"/>
      <c r="P44" s="3910"/>
      <c r="Q44" s="1384" t="str">
        <f t="shared" si="8"/>
        <v>内部装修维护情况</v>
      </c>
      <c r="R44" s="1385" t="s">
        <v>5</v>
      </c>
      <c r="S44" s="1386">
        <f t="shared" si="9"/>
        <v>100</v>
      </c>
      <c r="T44" s="1385" t="s">
        <v>5</v>
      </c>
      <c r="U44" s="1386">
        <f t="shared" si="10"/>
        <v>100</v>
      </c>
      <c r="V44" s="1385" t="s">
        <v>5</v>
      </c>
      <c r="W44" s="1386">
        <f t="shared" si="11"/>
        <v>100</v>
      </c>
      <c r="X44" s="1379"/>
      <c r="Y44" s="3910"/>
      <c r="Z44" s="1387" t="str">
        <f t="shared" si="12"/>
        <v>内部装修维护情况</v>
      </c>
      <c r="AA44" s="1388">
        <f t="shared" si="3"/>
        <v>1</v>
      </c>
      <c r="AB44" s="1388">
        <f t="shared" si="4"/>
        <v>1</v>
      </c>
      <c r="AC44" s="1388">
        <f t="shared" si="5"/>
        <v>1</v>
      </c>
    </row>
    <row r="45" spans="1:29" s="1118" customFormat="1" ht="15.75" thickBot="1">
      <c r="A45" s="570"/>
      <c r="B45" s="3690" t="s">
        <v>3532</v>
      </c>
      <c r="C45" s="3691" t="s">
        <v>3533</v>
      </c>
      <c r="D45" s="246">
        <v>100</v>
      </c>
      <c r="E45" s="3692" t="s">
        <v>3534</v>
      </c>
      <c r="F45" s="826">
        <f>SUMIF(127:127,E45,128:128)-SUMIF(127:127,C45,128:128)+100</f>
        <v>105</v>
      </c>
      <c r="G45" s="3692" t="s">
        <v>3534</v>
      </c>
      <c r="H45" s="246">
        <f>SUMIF(127:127,G45,128:128)-SUMIF(127:127,C45,128:128)+100</f>
        <v>105</v>
      </c>
      <c r="I45" s="3692" t="s">
        <v>3534</v>
      </c>
      <c r="J45" s="246">
        <f>SUMIF(127:127,I45,128:128)-SUMIF(127:127,C45,128:128)+100</f>
        <v>105</v>
      </c>
      <c r="K45" s="551"/>
      <c r="L45" s="1856"/>
      <c r="M45" s="1857"/>
      <c r="N45" s="1857"/>
      <c r="O45" s="1857"/>
      <c r="P45" s="3910"/>
      <c r="Q45" s="1050" t="str">
        <f t="shared" si="8"/>
        <v>房屋类型</v>
      </c>
      <c r="R45" s="1380" t="s">
        <v>5</v>
      </c>
      <c r="S45" s="1381">
        <f t="shared" si="9"/>
        <v>105</v>
      </c>
      <c r="T45" s="1380" t="s">
        <v>5</v>
      </c>
      <c r="U45" s="1381">
        <f t="shared" si="10"/>
        <v>105</v>
      </c>
      <c r="V45" s="1380" t="s">
        <v>5</v>
      </c>
      <c r="W45" s="1381">
        <f t="shared" si="11"/>
        <v>105</v>
      </c>
      <c r="X45" s="1382"/>
      <c r="Y45" s="3910"/>
      <c r="Z45" s="1049" t="str">
        <f t="shared" si="12"/>
        <v>房屋类型</v>
      </c>
      <c r="AA45" s="1383">
        <f t="shared" si="3"/>
        <v>0.95238095238095233</v>
      </c>
      <c r="AB45" s="1383">
        <f t="shared" si="4"/>
        <v>0.95238095238095233</v>
      </c>
      <c r="AC45" s="1383">
        <f t="shared" si="5"/>
        <v>0.95238095238095233</v>
      </c>
    </row>
    <row r="46" spans="1:29" ht="15" hidden="1">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10"/>
      <c r="Q46" s="1384">
        <f t="shared" si="8"/>
        <v>111</v>
      </c>
      <c r="R46" s="1385" t="s">
        <v>5</v>
      </c>
      <c r="S46" s="1386">
        <f t="shared" si="9"/>
        <v>100</v>
      </c>
      <c r="T46" s="1385" t="s">
        <v>5</v>
      </c>
      <c r="U46" s="1386">
        <f t="shared" si="10"/>
        <v>100</v>
      </c>
      <c r="V46" s="1385" t="s">
        <v>5</v>
      </c>
      <c r="W46" s="1386">
        <f t="shared" si="11"/>
        <v>100</v>
      </c>
      <c r="X46" s="1379"/>
      <c r="Y46" s="3910"/>
      <c r="Z46" s="1387">
        <f t="shared" si="12"/>
        <v>111</v>
      </c>
      <c r="AA46" s="1388">
        <f t="shared" si="3"/>
        <v>1</v>
      </c>
      <c r="AB46" s="1388">
        <f t="shared" si="4"/>
        <v>1</v>
      </c>
      <c r="AC46" s="1388">
        <f t="shared" si="5"/>
        <v>1</v>
      </c>
    </row>
    <row r="47" spans="1:29" ht="15.75" hidden="1"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22"/>
      <c r="Q47" s="1384">
        <f t="shared" si="8"/>
        <v>111</v>
      </c>
      <c r="R47" s="1385" t="s">
        <v>5</v>
      </c>
      <c r="S47" s="1386">
        <f t="shared" si="9"/>
        <v>100</v>
      </c>
      <c r="T47" s="1385" t="s">
        <v>5</v>
      </c>
      <c r="U47" s="1386">
        <f t="shared" si="10"/>
        <v>100</v>
      </c>
      <c r="V47" s="1385" t="s">
        <v>5</v>
      </c>
      <c r="W47" s="1386">
        <f t="shared" si="11"/>
        <v>100</v>
      </c>
      <c r="X47" s="1379"/>
      <c r="Y47" s="4022"/>
      <c r="Z47" s="1387">
        <f t="shared" si="12"/>
        <v>111</v>
      </c>
      <c r="AA47" s="1388">
        <f t="shared" si="3"/>
        <v>1</v>
      </c>
      <c r="AB47" s="1388">
        <f t="shared" si="4"/>
        <v>1</v>
      </c>
      <c r="AC47" s="1388">
        <f t="shared" si="5"/>
        <v>1</v>
      </c>
    </row>
    <row r="48" spans="1:29" ht="15">
      <c r="A48" s="577" t="s">
        <v>683</v>
      </c>
      <c r="B48" s="850"/>
      <c r="C48" s="2232" t="s">
        <v>0</v>
      </c>
      <c r="D48" s="2233"/>
      <c r="E48" s="2234">
        <v>36761</v>
      </c>
      <c r="F48" s="2235"/>
      <c r="G48" s="2236">
        <v>33659</v>
      </c>
      <c r="H48" s="2237"/>
      <c r="I48" s="2234">
        <v>30923</v>
      </c>
      <c r="J48" s="2237"/>
      <c r="K48" s="1418"/>
      <c r="L48" s="1865"/>
      <c r="M48" s="1855"/>
      <c r="N48" s="1855"/>
      <c r="O48" s="1855"/>
      <c r="P48" s="3912" t="str">
        <f>A48</f>
        <v>成交单价（元/平方米）</v>
      </c>
      <c r="Q48" s="3905"/>
      <c r="R48" s="4021">
        <f>E48</f>
        <v>36761</v>
      </c>
      <c r="S48" s="4021"/>
      <c r="T48" s="4021">
        <f>G48</f>
        <v>33659</v>
      </c>
      <c r="U48" s="4021"/>
      <c r="V48" s="4021">
        <f>I48</f>
        <v>30923</v>
      </c>
      <c r="W48" s="4021"/>
      <c r="X48" s="1374"/>
      <c r="Y48" s="1393"/>
      <c r="Z48" s="1374"/>
      <c r="AA48" s="1374"/>
      <c r="AB48" s="1374"/>
      <c r="AC48" s="1374"/>
    </row>
    <row r="49" spans="1:29" ht="15.75" thickBot="1">
      <c r="A49" s="585" t="s">
        <v>2041</v>
      </c>
      <c r="B49" s="851"/>
      <c r="C49" s="2238">
        <f>R50</f>
        <v>26270</v>
      </c>
      <c r="D49" s="2754" t="s">
        <v>2255</v>
      </c>
      <c r="E49" s="2239">
        <f>R49</f>
        <v>27544</v>
      </c>
      <c r="F49" s="2755"/>
      <c r="G49" s="2238">
        <f>T49</f>
        <v>25848</v>
      </c>
      <c r="H49" s="2755"/>
      <c r="I49" s="2239">
        <f>V49</f>
        <v>25419</v>
      </c>
      <c r="J49" s="2755"/>
      <c r="K49" s="2763">
        <f>F49+H49+J49</f>
        <v>0</v>
      </c>
      <c r="L49" s="1865"/>
      <c r="M49" s="1855"/>
      <c r="N49" s="1855"/>
      <c r="O49" s="1855"/>
      <c r="P49" s="3912" t="str">
        <f>A49</f>
        <v>比较价格（元/平方米）</v>
      </c>
      <c r="Q49" s="3905"/>
      <c r="R49" s="4021">
        <f>IF(F1="售价",ROUND(PRODUCT(R48,AA7:AA47),0),ROUND(PRODUCT(R48,AA7:AA47),1))</f>
        <v>27544</v>
      </c>
      <c r="S49" s="4021"/>
      <c r="T49" s="4021">
        <f>IF(F1="售价",ROUND(PRODUCT(T48,AB7:AB47),0),ROUND(PRODUCT(T48,AB7:AB47),1))</f>
        <v>25848</v>
      </c>
      <c r="U49" s="4021"/>
      <c r="V49" s="4021">
        <f>IF(F1="售价",ROUND(PRODUCT(V48,AC7:AC47),0),ROUND(PRODUCT(V48,AC7:AC47),1))</f>
        <v>25419</v>
      </c>
      <c r="W49" s="4021"/>
      <c r="X49" s="1374"/>
      <c r="Y49" s="1374"/>
      <c r="Z49" s="1374"/>
      <c r="AA49" s="1374"/>
      <c r="AB49" s="1374"/>
      <c r="AC49" s="1374"/>
    </row>
    <row r="50" spans="1:29" ht="15.75" thickBot="1">
      <c r="A50" s="589" t="s">
        <v>2192</v>
      </c>
      <c r="B50" s="590"/>
      <c r="C50" s="2240">
        <f>R50</f>
        <v>26270</v>
      </c>
      <c r="D50" s="2240"/>
      <c r="E50" s="2240"/>
      <c r="F50" s="2240"/>
      <c r="G50" s="2240"/>
      <c r="H50" s="2240"/>
      <c r="I50" s="2240"/>
      <c r="J50" s="2240"/>
      <c r="K50" s="1419"/>
      <c r="L50" s="1865"/>
      <c r="M50" s="1855"/>
      <c r="N50" s="1855"/>
      <c r="O50" s="1855"/>
      <c r="P50" s="4029" t="str">
        <f>A50</f>
        <v>估价对象XX用房的比较价格（楼面单价，元/平方米）</v>
      </c>
      <c r="Q50" s="3912"/>
      <c r="R50" s="4020">
        <f>IF(F1="售价",ROUND(IF(D49="简单平均",AVERAGE(R49:V49),R49*F49+T49*H49+V49*J49),0),ROUND(IF(D49="简单平均",AVERAGE(R49:V49),R49*F49+T49*H49+V49*J49),1))</f>
        <v>26270</v>
      </c>
      <c r="S50" s="4020"/>
      <c r="T50" s="4020"/>
      <c r="U50" s="4020"/>
      <c r="V50" s="4020"/>
      <c r="W50" s="4020"/>
      <c r="X50" s="1374"/>
      <c r="Y50" s="1374"/>
      <c r="Z50" s="1374"/>
      <c r="AA50" s="1374"/>
      <c r="AB50" s="1374"/>
      <c r="AC50" s="1374"/>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0.33462823119372631</v>
      </c>
      <c r="F53" s="595" t="str">
        <f>IF(OR(E53&gt;=0.3,E53&lt;=-0.3),"超过30%","")</f>
        <v>超过30%</v>
      </c>
      <c r="G53" s="594">
        <f>IF(G48&lt;G49,G49/G48-1,G48/G49-1)</f>
        <v>0.30218972454348503</v>
      </c>
      <c r="H53" s="595" t="str">
        <f>IF(OR(G53&gt;=0.3,G53&lt;=-0.3),"超过30%","")</f>
        <v>超过30%</v>
      </c>
      <c r="I53" s="594">
        <f>IF(I48&lt;I49,I49/I48-1,I48/I49-1)</f>
        <v>0.21653094142177109</v>
      </c>
      <c r="J53" s="595" t="str">
        <f>IF(OR(I53&gt;=0.3,I53&lt;=-0.3),"超过30%","")</f>
        <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6.5614360878984757E-2</v>
      </c>
      <c r="F54" s="595" t="str">
        <f>IF(OR(E54&gt;=0.2,E54&lt;=-0.2),"超过20%","")</f>
        <v/>
      </c>
      <c r="G54" s="594">
        <f>IF(G49&lt;I49,I49/G49-1,G49/I49-1)</f>
        <v>1.687713914788147E-2</v>
      </c>
      <c r="H54" s="595" t="str">
        <f>IF(OR(G54&gt;=0.2,G54&lt;=-0.2),"超过20%","")</f>
        <v/>
      </c>
      <c r="I54" s="594">
        <f>IF(I49&lt;E49,E49/I49-1,I49/E49-1)</f>
        <v>8.3598882725520296E-2</v>
      </c>
      <c r="J54" s="595" t="str">
        <f>IF(OR(I54&gt;=0.2,I54&lt;=-0.2),"超过20%","")</f>
        <v/>
      </c>
      <c r="K54" s="2955"/>
      <c r="L54" s="1870"/>
      <c r="M54" s="1866"/>
      <c r="N54" s="1866"/>
      <c r="O54" s="1866"/>
      <c r="P54" s="1925"/>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9.2159600701149813E-2</v>
      </c>
      <c r="F55" s="595" t="str">
        <f>IF(OR(E55&gt;=0.3,E55&lt;=-0.3),"超过30%","")</f>
        <v/>
      </c>
      <c r="G55" s="594">
        <f>IF(G48&lt;I48,I48/G48-1,G48/I48-1)</f>
        <v>8.8477832034407955E-2</v>
      </c>
      <c r="H55" s="595" t="str">
        <f>IF(OR(G55&gt;=0.3,G55&lt;=-0.3),"超过30%","")</f>
        <v/>
      </c>
      <c r="I55" s="594">
        <f>IF(I48&lt;E48,E48/I48-1,I48/E48-1)</f>
        <v>0.18879151440675224</v>
      </c>
      <c r="J55" s="595" t="str">
        <f>IF(OR(I55&gt;=0.3,I55&lt;=-0.3),"超过30%","")</f>
        <v/>
      </c>
      <c r="K55" s="2956"/>
      <c r="L55" s="1873"/>
      <c r="M55" s="1867"/>
      <c r="N55" s="1867"/>
      <c r="O55" s="1867"/>
      <c r="P55" s="1926"/>
      <c r="Q55" s="1867"/>
      <c r="R55" s="1867"/>
      <c r="S55" s="1867"/>
      <c r="T55" s="1867"/>
      <c r="U55" s="1867"/>
      <c r="V55" s="1867"/>
      <c r="W55" s="1867"/>
      <c r="X55" s="1867"/>
      <c r="Y55" s="1867"/>
      <c r="Z55" s="1867"/>
      <c r="AA55" s="1867"/>
      <c r="AB55" s="1867"/>
      <c r="AC55" s="1867"/>
    </row>
    <row r="56" spans="1:29" s="1205"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6" t="s">
        <v>522</v>
      </c>
      <c r="B58" s="1374"/>
      <c r="C58" s="1395"/>
      <c r="D58" s="1395"/>
      <c r="E58" s="1395"/>
      <c r="F58" s="1397"/>
      <c r="G58" s="1397"/>
      <c r="H58" s="1395"/>
      <c r="I58" s="1395"/>
      <c r="J58" s="1395"/>
      <c r="K58" s="1398"/>
      <c r="L58" s="1394"/>
      <c r="M58" s="1395"/>
      <c r="N58" s="1877"/>
      <c r="O58" s="1877"/>
      <c r="P58" s="1927"/>
      <c r="Q58" s="1878"/>
      <c r="R58" s="1866"/>
      <c r="S58" s="1866"/>
      <c r="T58" s="1866"/>
      <c r="U58" s="1866"/>
      <c r="V58" s="1866"/>
      <c r="W58" s="1866"/>
      <c r="X58" s="1866"/>
      <c r="Y58" s="1866"/>
      <c r="Z58" s="1866"/>
      <c r="AA58" s="1866"/>
      <c r="AB58" s="1866"/>
      <c r="AC58" s="1866"/>
    </row>
    <row r="59" spans="1:29" s="1207" customFormat="1" ht="15">
      <c r="A59" s="613" t="s">
        <v>478</v>
      </c>
      <c r="B59" s="614"/>
      <c r="C59" s="2280" t="str">
        <f>YEAR(C7)&amp;"-"&amp;MONTH(C7)</f>
        <v>2023-12</v>
      </c>
      <c r="D59" s="2282">
        <f>EDATE(C59,-1)</f>
        <v>45231</v>
      </c>
      <c r="E59" s="2282">
        <f t="shared" ref="E59:O59" si="13">EDATE(D59,-1)</f>
        <v>45200</v>
      </c>
      <c r="F59" s="2282">
        <f t="shared" si="13"/>
        <v>45170</v>
      </c>
      <c r="G59" s="2282">
        <f t="shared" si="13"/>
        <v>45139</v>
      </c>
      <c r="H59" s="2282">
        <f t="shared" si="13"/>
        <v>45108</v>
      </c>
      <c r="I59" s="2282">
        <f t="shared" si="13"/>
        <v>45078</v>
      </c>
      <c r="J59" s="2282">
        <f t="shared" si="13"/>
        <v>45047</v>
      </c>
      <c r="K59" s="2282">
        <f t="shared" si="13"/>
        <v>45017</v>
      </c>
      <c r="L59" s="2282">
        <f t="shared" si="13"/>
        <v>44986</v>
      </c>
      <c r="M59" s="2282">
        <f t="shared" si="13"/>
        <v>44958</v>
      </c>
      <c r="N59" s="2282">
        <f t="shared" si="13"/>
        <v>44927</v>
      </c>
      <c r="O59" s="2282">
        <f t="shared" si="13"/>
        <v>44896</v>
      </c>
      <c r="P59" s="1928"/>
      <c r="Q59" s="1881"/>
      <c r="R59" s="1881"/>
      <c r="S59" s="1881"/>
      <c r="T59" s="1881"/>
      <c r="U59" s="1881"/>
      <c r="V59" s="1881"/>
      <c r="W59" s="1881"/>
      <c r="X59" s="1881"/>
      <c r="Y59" s="1881"/>
      <c r="Z59" s="1881"/>
      <c r="AA59" s="1881"/>
      <c r="AB59" s="1881"/>
      <c r="AC59" s="1881"/>
    </row>
    <row r="60" spans="1:29" s="1118" customFormat="1" ht="15">
      <c r="A60" s="615"/>
      <c r="B60" s="616"/>
      <c r="C60" s="617">
        <v>100</v>
      </c>
      <c r="D60" s="618">
        <v>100</v>
      </c>
      <c r="E60" s="618">
        <v>100</v>
      </c>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8"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8"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8" customFormat="1" ht="15.75" thickBot="1">
      <c r="A63" s="627"/>
      <c r="B63" s="616"/>
      <c r="C63" s="852">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t="str">
        <f>C9</f>
        <v>办公</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0（含）-1.5</v>
      </c>
      <c r="D68" s="650" t="str">
        <f t="shared" ref="D68:L68" si="14">D69&amp;"（含）"&amp;"-"&amp;E69</f>
        <v>1.5（含）-3</v>
      </c>
      <c r="E68" s="650" t="str">
        <f t="shared" si="14"/>
        <v>3（含）-4.5</v>
      </c>
      <c r="F68" s="650" t="str">
        <f t="shared" si="14"/>
        <v>4.5（含）-6</v>
      </c>
      <c r="G68" s="650" t="str">
        <f t="shared" si="14"/>
        <v>6（含）-7.5</v>
      </c>
      <c r="H68" s="650" t="str">
        <f t="shared" si="14"/>
        <v>7.5（含）-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v>0</v>
      </c>
      <c r="D69" s="511">
        <f>C69+1.5</f>
        <v>1.5</v>
      </c>
      <c r="E69" s="511">
        <f t="shared" ref="E69:H69" si="15">D69+1.5</f>
        <v>3</v>
      </c>
      <c r="F69" s="511">
        <f t="shared" si="15"/>
        <v>4.5</v>
      </c>
      <c r="G69" s="511">
        <f t="shared" si="15"/>
        <v>6</v>
      </c>
      <c r="H69" s="511">
        <f t="shared" si="15"/>
        <v>7.5</v>
      </c>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6">C70-$K11</f>
        <v>98</v>
      </c>
      <c r="E70" s="647">
        <f t="shared" si="16"/>
        <v>96</v>
      </c>
      <c r="F70" s="647">
        <f t="shared" si="16"/>
        <v>94</v>
      </c>
      <c r="G70" s="647">
        <f t="shared" si="16"/>
        <v>92</v>
      </c>
      <c r="H70" s="647">
        <f t="shared" si="16"/>
        <v>90</v>
      </c>
      <c r="I70" s="647">
        <f t="shared" si="16"/>
        <v>88</v>
      </c>
      <c r="J70" s="647">
        <f t="shared" si="16"/>
        <v>86</v>
      </c>
      <c r="K70" s="647">
        <f t="shared" si="16"/>
        <v>84</v>
      </c>
      <c r="L70" s="647">
        <f t="shared" si="16"/>
        <v>82</v>
      </c>
      <c r="M70" s="648">
        <f t="shared" si="16"/>
        <v>80</v>
      </c>
      <c r="N70" s="1886"/>
      <c r="O70" s="1886"/>
      <c r="P70" s="1931"/>
      <c r="Q70" s="1878"/>
      <c r="R70" s="1866"/>
      <c r="S70" s="1866"/>
      <c r="T70" s="1866"/>
      <c r="U70" s="1866"/>
      <c r="V70" s="1866"/>
      <c r="W70" s="1866"/>
      <c r="X70" s="1866"/>
      <c r="Y70" s="1866"/>
      <c r="Z70" s="1866"/>
      <c r="AA70" s="1866"/>
      <c r="AB70" s="1866"/>
      <c r="AC70" s="1866"/>
    </row>
    <row r="71" spans="1:29" s="1200"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200"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200"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200"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200"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200"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97</v>
      </c>
      <c r="E78" s="647">
        <f>D78-$K15</f>
        <v>94</v>
      </c>
      <c r="F78" s="647">
        <f>E78-$K15</f>
        <v>91</v>
      </c>
      <c r="G78" s="647">
        <f>F78-$K15</f>
        <v>88</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97</v>
      </c>
      <c r="E80" s="647">
        <f>D80-$K17</f>
        <v>94</v>
      </c>
      <c r="F80" s="647">
        <f>E80-$K17</f>
        <v>91</v>
      </c>
      <c r="G80" s="647">
        <f>F80-$K17</f>
        <v>88</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1839</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97</v>
      </c>
      <c r="E82" s="647">
        <f>D82-$K19</f>
        <v>94</v>
      </c>
      <c r="F82" s="647">
        <f>E82-$K19</f>
        <v>91</v>
      </c>
      <c r="G82" s="647">
        <f>F82-$K19</f>
        <v>88</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1840</v>
      </c>
      <c r="C83" s="2204" t="s">
        <v>1841</v>
      </c>
      <c r="D83" s="2204" t="s">
        <v>1842</v>
      </c>
      <c r="E83" s="2204" t="s">
        <v>1843</v>
      </c>
      <c r="F83" s="2204" t="s">
        <v>1844</v>
      </c>
      <c r="G83" s="2204" t="s">
        <v>1845</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99</v>
      </c>
      <c r="E84" s="647">
        <f>D84-$K21</f>
        <v>98</v>
      </c>
      <c r="F84" s="647">
        <f>E84-$K21</f>
        <v>97</v>
      </c>
      <c r="G84" s="647">
        <f>F84-$K21</f>
        <v>96</v>
      </c>
      <c r="H84" s="898"/>
      <c r="I84" s="898"/>
      <c r="J84" s="898"/>
      <c r="K84" s="898"/>
      <c r="L84" s="898"/>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95</v>
      </c>
      <c r="E86" s="647">
        <f>D86-$K23</f>
        <v>90</v>
      </c>
      <c r="F86" s="647">
        <f>E86-$K23</f>
        <v>85</v>
      </c>
      <c r="G86" s="647">
        <f>F86-$K23</f>
        <v>80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8" customFormat="1" ht="27.75" thickTop="1">
      <c r="A87" s="677"/>
      <c r="B87" s="641" t="s">
        <v>725</v>
      </c>
      <c r="C87" s="3673" t="s">
        <v>3275</v>
      </c>
      <c r="D87" s="3673" t="s">
        <v>3276</v>
      </c>
      <c r="E87" s="3673" t="s">
        <v>3277</v>
      </c>
      <c r="F87" s="3673" t="s">
        <v>3278</v>
      </c>
      <c r="G87" s="3673" t="s">
        <v>3279</v>
      </c>
      <c r="H87" s="3674" t="s">
        <v>3280</v>
      </c>
      <c r="I87" s="656"/>
      <c r="J87" s="656"/>
      <c r="K87" s="656"/>
      <c r="L87" s="853"/>
      <c r="M87" s="854"/>
      <c r="N87" s="1882"/>
      <c r="O87" s="1882"/>
      <c r="P87" s="1931"/>
      <c r="Q87" s="1878"/>
      <c r="R87" s="1744"/>
      <c r="S87" s="1744"/>
      <c r="T87" s="1744"/>
      <c r="U87" s="1744"/>
      <c r="V87" s="1744"/>
      <c r="W87" s="1744"/>
      <c r="X87" s="1744"/>
      <c r="Y87" s="1744"/>
      <c r="Z87" s="1744"/>
      <c r="AA87" s="1744"/>
      <c r="AB87" s="1744"/>
      <c r="AC87" s="1744"/>
    </row>
    <row r="88" spans="1:29" s="1118" customFormat="1" ht="15.75" thickBot="1">
      <c r="A88" s="677"/>
      <c r="B88" s="646"/>
      <c r="C88" s="680">
        <v>100</v>
      </c>
      <c r="D88" s="647">
        <f t="shared" ref="D88:M88" si="17">C88-$K25</f>
        <v>99</v>
      </c>
      <c r="E88" s="647">
        <f t="shared" si="17"/>
        <v>98</v>
      </c>
      <c r="F88" s="647">
        <f t="shared" si="17"/>
        <v>97</v>
      </c>
      <c r="G88" s="647">
        <f t="shared" si="17"/>
        <v>96</v>
      </c>
      <c r="H88" s="647">
        <f t="shared" si="17"/>
        <v>95</v>
      </c>
      <c r="I88" s="647">
        <f t="shared" si="17"/>
        <v>94</v>
      </c>
      <c r="J88" s="647">
        <f t="shared" si="17"/>
        <v>93</v>
      </c>
      <c r="K88" s="647">
        <f t="shared" si="17"/>
        <v>92</v>
      </c>
      <c r="L88" s="647">
        <f t="shared" si="17"/>
        <v>91</v>
      </c>
      <c r="M88" s="647">
        <f t="shared" si="17"/>
        <v>90</v>
      </c>
      <c r="N88" s="1886"/>
      <c r="O88" s="1886"/>
      <c r="P88" s="1931"/>
      <c r="Q88" s="1878"/>
      <c r="R88" s="1744"/>
      <c r="S88" s="1744"/>
      <c r="T88" s="1744"/>
      <c r="U88" s="1744"/>
      <c r="V88" s="1744"/>
      <c r="W88" s="1744"/>
      <c r="X88" s="1744"/>
      <c r="Y88" s="1744"/>
      <c r="Z88" s="1744"/>
      <c r="AA88" s="1744"/>
      <c r="AB88" s="1744"/>
      <c r="AC88" s="1744"/>
    </row>
    <row r="89" spans="1:29" s="1118" customFormat="1" ht="15.75" thickTop="1">
      <c r="A89" s="677"/>
      <c r="B89" s="641" t="str">
        <f>B27</f>
        <v>楼层</v>
      </c>
      <c r="C89" s="656"/>
      <c r="D89" s="656"/>
      <c r="E89" s="656"/>
      <c r="F89" s="855"/>
      <c r="G89" s="656"/>
      <c r="H89" s="656"/>
      <c r="I89" s="656"/>
      <c r="J89" s="656"/>
      <c r="K89" s="656"/>
      <c r="L89" s="656"/>
      <c r="M89" s="854"/>
      <c r="N89" s="1882"/>
      <c r="O89" s="1882"/>
      <c r="P89" s="1931"/>
      <c r="Q89" s="1878"/>
      <c r="R89" s="1744"/>
      <c r="S89" s="1744"/>
      <c r="T89" s="1744"/>
      <c r="U89" s="1744"/>
      <c r="V89" s="1744"/>
      <c r="W89" s="1744"/>
      <c r="X89" s="1744"/>
      <c r="Y89" s="1744"/>
      <c r="Z89" s="1744"/>
      <c r="AA89" s="1744"/>
      <c r="AB89" s="1744"/>
      <c r="AC89" s="1744"/>
    </row>
    <row r="90" spans="1:29" s="1118" customFormat="1" ht="15.75" thickBot="1">
      <c r="A90" s="677"/>
      <c r="B90" s="646"/>
      <c r="C90" s="680">
        <v>100</v>
      </c>
      <c r="D90" s="647">
        <f>C90-$K27</f>
        <v>100</v>
      </c>
      <c r="E90" s="647">
        <f t="shared" ref="E90:M90" si="18">D90-$K27</f>
        <v>100</v>
      </c>
      <c r="F90" s="647">
        <f t="shared" si="18"/>
        <v>100</v>
      </c>
      <c r="G90" s="647">
        <f t="shared" si="18"/>
        <v>100</v>
      </c>
      <c r="H90" s="647">
        <f t="shared" si="18"/>
        <v>100</v>
      </c>
      <c r="I90" s="647">
        <f t="shared" si="18"/>
        <v>100</v>
      </c>
      <c r="J90" s="647">
        <f t="shared" si="18"/>
        <v>100</v>
      </c>
      <c r="K90" s="647">
        <f t="shared" si="18"/>
        <v>100</v>
      </c>
      <c r="L90" s="647">
        <f t="shared" si="18"/>
        <v>100</v>
      </c>
      <c r="M90" s="647">
        <f t="shared" si="18"/>
        <v>100</v>
      </c>
      <c r="N90" s="1886"/>
      <c r="O90" s="1886"/>
      <c r="P90" s="1931"/>
      <c r="Q90" s="1878"/>
      <c r="R90" s="1744"/>
      <c r="S90" s="1744"/>
      <c r="T90" s="1744"/>
      <c r="U90" s="1744"/>
      <c r="V90" s="1744"/>
      <c r="W90" s="1744"/>
      <c r="X90" s="1744"/>
      <c r="Y90" s="1744"/>
      <c r="Z90" s="1744"/>
      <c r="AA90" s="1744"/>
      <c r="AB90" s="1744"/>
      <c r="AC90" s="1744"/>
    </row>
    <row r="91" spans="1:29" s="1200"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200" customFormat="1" ht="15.75" thickBot="1">
      <c r="A92" s="655"/>
      <c r="B92" s="646"/>
      <c r="C92" s="680">
        <v>100</v>
      </c>
      <c r="D92" s="647">
        <f t="shared" ref="D92:M92" si="19">C92-$K28</f>
        <v>100</v>
      </c>
      <c r="E92" s="647">
        <f t="shared" si="19"/>
        <v>100</v>
      </c>
      <c r="F92" s="647">
        <f t="shared" si="19"/>
        <v>100</v>
      </c>
      <c r="G92" s="647">
        <f t="shared" si="19"/>
        <v>100</v>
      </c>
      <c r="H92" s="647">
        <f t="shared" si="19"/>
        <v>100</v>
      </c>
      <c r="I92" s="647">
        <f t="shared" si="19"/>
        <v>100</v>
      </c>
      <c r="J92" s="647">
        <f t="shared" si="19"/>
        <v>100</v>
      </c>
      <c r="K92" s="647">
        <f t="shared" si="19"/>
        <v>100</v>
      </c>
      <c r="L92" s="647">
        <f t="shared" si="19"/>
        <v>100</v>
      </c>
      <c r="M92" s="647">
        <f t="shared" si="19"/>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3"/>
      <c r="M93" s="854"/>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6"/>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3675" t="s">
        <v>3537</v>
      </c>
      <c r="D101" s="3675" t="s">
        <v>3281</v>
      </c>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20">C102-$K33</f>
        <v>94</v>
      </c>
      <c r="E102" s="647">
        <f t="shared" si="20"/>
        <v>88</v>
      </c>
      <c r="F102" s="647">
        <f t="shared" si="20"/>
        <v>82</v>
      </c>
      <c r="G102" s="647">
        <f t="shared" si="20"/>
        <v>76</v>
      </c>
      <c r="H102" s="647">
        <f t="shared" si="20"/>
        <v>70</v>
      </c>
      <c r="I102" s="647">
        <f t="shared" si="20"/>
        <v>64</v>
      </c>
      <c r="J102" s="647">
        <f t="shared" si="20"/>
        <v>58</v>
      </c>
      <c r="K102" s="647">
        <f t="shared" si="20"/>
        <v>52</v>
      </c>
      <c r="L102" s="647">
        <f t="shared" si="20"/>
        <v>46</v>
      </c>
      <c r="M102" s="648">
        <f t="shared" si="20"/>
        <v>40</v>
      </c>
      <c r="N102" s="1886"/>
      <c r="O102" s="1886"/>
      <c r="P102" s="1931"/>
      <c r="Q102" s="1878"/>
      <c r="R102" s="1866"/>
      <c r="S102" s="1866"/>
      <c r="T102" s="1866"/>
      <c r="U102" s="1866"/>
      <c r="V102" s="1866"/>
      <c r="W102" s="1866"/>
      <c r="X102" s="1866"/>
      <c r="Y102" s="1866"/>
      <c r="Z102" s="1866"/>
      <c r="AA102" s="1866"/>
      <c r="AB102" s="1866"/>
      <c r="AC102" s="1866"/>
    </row>
    <row r="103" spans="1:29" ht="29.25" thickTop="1">
      <c r="A103" s="637"/>
      <c r="B103" s="641" t="s">
        <v>688</v>
      </c>
      <c r="C103" s="676" t="str">
        <f>C104&amp;"(含)"&amp;"-"&amp;D104</f>
        <v>0(含)-100000</v>
      </c>
      <c r="D103" s="676" t="str">
        <f t="shared" ref="D103:L103" si="21">D104&amp;"(含)"&amp;"-"&amp;E104</f>
        <v>100000(含)-200000</v>
      </c>
      <c r="E103" s="676" t="str">
        <f t="shared" si="21"/>
        <v>200000(含)-300000</v>
      </c>
      <c r="F103" s="676" t="str">
        <f t="shared" si="21"/>
        <v>300000(含)-400000</v>
      </c>
      <c r="G103" s="676" t="str">
        <f t="shared" si="21"/>
        <v>400000(含)-500000</v>
      </c>
      <c r="H103" s="676" t="str">
        <f t="shared" si="21"/>
        <v>500000(含)-600000</v>
      </c>
      <c r="I103" s="676" t="str">
        <f t="shared" si="21"/>
        <v>600000(含)-</v>
      </c>
      <c r="J103" s="676" t="str">
        <f t="shared" si="21"/>
        <v>(含)-</v>
      </c>
      <c r="K103" s="676" t="str">
        <f t="shared" si="21"/>
        <v>(含)-</v>
      </c>
      <c r="L103" s="676" t="str">
        <f t="shared" si="21"/>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200" customFormat="1">
      <c r="A104" s="696"/>
      <c r="B104" s="697"/>
      <c r="C104" s="698">
        <v>0</v>
      </c>
      <c r="D104" s="698">
        <f>C104+100000</f>
        <v>100000</v>
      </c>
      <c r="E104" s="698">
        <f t="shared" ref="E104:I104" si="22">D104+100000</f>
        <v>200000</v>
      </c>
      <c r="F104" s="698">
        <f t="shared" si="22"/>
        <v>300000</v>
      </c>
      <c r="G104" s="698">
        <f t="shared" si="22"/>
        <v>400000</v>
      </c>
      <c r="H104" s="698">
        <f t="shared" si="22"/>
        <v>500000</v>
      </c>
      <c r="I104" s="698">
        <f t="shared" si="22"/>
        <v>600000</v>
      </c>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200" customFormat="1" ht="15.75" thickBot="1">
      <c r="A105" s="655"/>
      <c r="B105" s="646"/>
      <c r="C105" s="660">
        <v>100</v>
      </c>
      <c r="D105" s="639">
        <f>C105+1</f>
        <v>101</v>
      </c>
      <c r="E105" s="639">
        <f t="shared" ref="E105:I105" si="23">D105+1</f>
        <v>102</v>
      </c>
      <c r="F105" s="639">
        <f t="shared" si="23"/>
        <v>103</v>
      </c>
      <c r="G105" s="639">
        <f t="shared" si="23"/>
        <v>104</v>
      </c>
      <c r="H105" s="639">
        <f t="shared" si="23"/>
        <v>105</v>
      </c>
      <c r="I105" s="639">
        <f t="shared" si="23"/>
        <v>106</v>
      </c>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3673" t="s">
        <v>3282</v>
      </c>
      <c r="D106" s="3673" t="s">
        <v>3283</v>
      </c>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4">C107-$K35</f>
        <v>98</v>
      </c>
      <c r="E107" s="647">
        <f t="shared" si="24"/>
        <v>96</v>
      </c>
      <c r="F107" s="647">
        <f t="shared" si="24"/>
        <v>94</v>
      </c>
      <c r="G107" s="647">
        <f t="shared" si="24"/>
        <v>92</v>
      </c>
      <c r="H107" s="647">
        <f t="shared" si="24"/>
        <v>90</v>
      </c>
      <c r="I107" s="647">
        <f t="shared" si="24"/>
        <v>88</v>
      </c>
      <c r="J107" s="647">
        <f t="shared" si="24"/>
        <v>86</v>
      </c>
      <c r="K107" s="647">
        <f t="shared" si="24"/>
        <v>84</v>
      </c>
      <c r="L107" s="647">
        <f t="shared" si="24"/>
        <v>82</v>
      </c>
      <c r="M107" s="648">
        <f t="shared" si="24"/>
        <v>80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3673" t="s">
        <v>3284</v>
      </c>
      <c r="D108" s="3673" t="s">
        <v>3285</v>
      </c>
      <c r="E108" s="3673" t="s">
        <v>3286</v>
      </c>
      <c r="F108" s="3674" t="s">
        <v>3287</v>
      </c>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5">C109-$K36</f>
        <v>98</v>
      </c>
      <c r="E109" s="647">
        <f t="shared" si="25"/>
        <v>96</v>
      </c>
      <c r="F109" s="647">
        <f t="shared" si="25"/>
        <v>94</v>
      </c>
      <c r="G109" s="647">
        <f t="shared" si="25"/>
        <v>92</v>
      </c>
      <c r="H109" s="647">
        <f t="shared" si="25"/>
        <v>90</v>
      </c>
      <c r="I109" s="647">
        <f t="shared" si="25"/>
        <v>88</v>
      </c>
      <c r="J109" s="647">
        <f t="shared" si="25"/>
        <v>86</v>
      </c>
      <c r="K109" s="647">
        <f t="shared" si="25"/>
        <v>84</v>
      </c>
      <c r="L109" s="647">
        <f t="shared" si="25"/>
        <v>82</v>
      </c>
      <c r="M109" s="648">
        <f t="shared" si="25"/>
        <v>80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7">
        <v>0.5</v>
      </c>
      <c r="D111" s="857">
        <v>0.6</v>
      </c>
      <c r="E111" s="857">
        <v>0.7</v>
      </c>
      <c r="F111" s="857">
        <v>0.8</v>
      </c>
      <c r="G111" s="857">
        <v>0.9</v>
      </c>
      <c r="H111" s="857">
        <v>1.0001</v>
      </c>
      <c r="I111" s="868"/>
      <c r="J111" s="868"/>
      <c r="K111" s="869"/>
      <c r="L111" s="870"/>
      <c r="M111" s="871"/>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101</v>
      </c>
      <c r="E112" s="647">
        <f t="shared" ref="E112:M112" si="26">D112+$K37</f>
        <v>102</v>
      </c>
      <c r="F112" s="647">
        <f t="shared" si="26"/>
        <v>103</v>
      </c>
      <c r="G112" s="647">
        <f t="shared" si="26"/>
        <v>104</v>
      </c>
      <c r="H112" s="647">
        <f t="shared" si="26"/>
        <v>105</v>
      </c>
      <c r="I112" s="647">
        <f t="shared" si="26"/>
        <v>106</v>
      </c>
      <c r="J112" s="647">
        <f t="shared" si="26"/>
        <v>107</v>
      </c>
      <c r="K112" s="647">
        <f t="shared" si="26"/>
        <v>108</v>
      </c>
      <c r="L112" s="647">
        <f t="shared" si="26"/>
        <v>109</v>
      </c>
      <c r="M112" s="647">
        <f t="shared" si="26"/>
        <v>110</v>
      </c>
      <c r="N112" s="1886"/>
      <c r="O112" s="1886"/>
      <c r="P112" s="1931"/>
      <c r="Q112" s="1878"/>
      <c r="R112" s="1866"/>
      <c r="S112" s="1866"/>
      <c r="T112" s="1866"/>
      <c r="U112" s="1866"/>
      <c r="V112" s="1866"/>
      <c r="W112" s="1866"/>
      <c r="X112" s="1866"/>
      <c r="Y112" s="1866"/>
      <c r="Z112" s="1866"/>
      <c r="AA112" s="1866"/>
      <c r="AB112" s="1866"/>
      <c r="AC112" s="1866"/>
    </row>
    <row r="113" spans="1:29" s="1200" customFormat="1" ht="15" thickTop="1">
      <c r="A113" s="696"/>
      <c r="B113" s="641" t="s">
        <v>726</v>
      </c>
      <c r="C113" s="3673" t="s">
        <v>3288</v>
      </c>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C114-$K38</f>
        <v>98</v>
      </c>
      <c r="E114" s="647">
        <f t="shared" ref="E114:M114" si="27">D114-$K38</f>
        <v>96</v>
      </c>
      <c r="F114" s="647">
        <f t="shared" si="27"/>
        <v>94</v>
      </c>
      <c r="G114" s="647">
        <f t="shared" si="27"/>
        <v>92</v>
      </c>
      <c r="H114" s="647">
        <f t="shared" si="27"/>
        <v>90</v>
      </c>
      <c r="I114" s="647">
        <f t="shared" si="27"/>
        <v>88</v>
      </c>
      <c r="J114" s="647">
        <f t="shared" si="27"/>
        <v>86</v>
      </c>
      <c r="K114" s="647">
        <f t="shared" si="27"/>
        <v>84</v>
      </c>
      <c r="L114" s="647">
        <f t="shared" si="27"/>
        <v>82</v>
      </c>
      <c r="M114" s="647">
        <f t="shared" si="27"/>
        <v>80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3673" t="s">
        <v>3289</v>
      </c>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1838</v>
      </c>
      <c r="C117" s="1233" t="s">
        <v>3290</v>
      </c>
      <c r="D117" s="1233" t="s">
        <v>3291</v>
      </c>
      <c r="E117" s="1233" t="s">
        <v>3292</v>
      </c>
      <c r="F117" s="1233" t="s">
        <v>3293</v>
      </c>
      <c r="G117" s="1233" t="s">
        <v>3294</v>
      </c>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99</v>
      </c>
      <c r="E118" s="647">
        <f>D118-$K40</f>
        <v>98</v>
      </c>
      <c r="F118" s="647">
        <f>E118-$K40</f>
        <v>97</v>
      </c>
      <c r="G118" s="647">
        <f>F118-$K40</f>
        <v>96</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80" t="s">
        <v>727</v>
      </c>
      <c r="C119" s="3674" t="s">
        <v>3295</v>
      </c>
      <c r="D119" s="686"/>
      <c r="E119" s="686"/>
      <c r="F119" s="686"/>
      <c r="G119" s="686"/>
      <c r="H119" s="686"/>
      <c r="I119" s="686"/>
      <c r="J119" s="686"/>
      <c r="K119" s="686"/>
      <c r="L119" s="881"/>
      <c r="M119" s="882"/>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97</v>
      </c>
      <c r="E120" s="647">
        <f t="shared" ref="E120:M120" si="29">D120-$K41</f>
        <v>94</v>
      </c>
      <c r="F120" s="647">
        <f t="shared" si="29"/>
        <v>91</v>
      </c>
      <c r="G120" s="647">
        <f t="shared" si="29"/>
        <v>88</v>
      </c>
      <c r="H120" s="647">
        <f t="shared" si="29"/>
        <v>85</v>
      </c>
      <c r="I120" s="647">
        <f t="shared" si="29"/>
        <v>82</v>
      </c>
      <c r="J120" s="647">
        <f t="shared" si="29"/>
        <v>79</v>
      </c>
      <c r="K120" s="647">
        <f t="shared" si="29"/>
        <v>76</v>
      </c>
      <c r="L120" s="647">
        <f t="shared" si="29"/>
        <v>73</v>
      </c>
      <c r="M120" s="647">
        <f t="shared" si="29"/>
        <v>70</v>
      </c>
      <c r="N120" s="1886"/>
      <c r="O120" s="1886"/>
      <c r="P120" s="1931"/>
      <c r="Q120" s="1878"/>
      <c r="R120" s="1866"/>
      <c r="S120" s="1866"/>
      <c r="T120" s="1866"/>
      <c r="U120" s="1866"/>
      <c r="V120" s="1866"/>
      <c r="W120" s="1866"/>
      <c r="X120" s="1866"/>
      <c r="Y120" s="1866"/>
      <c r="Z120" s="1866"/>
      <c r="AA120" s="1866"/>
      <c r="AB120" s="1866"/>
      <c r="AC120" s="1866"/>
    </row>
    <row r="121" spans="1:29" s="1200"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200"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3673" t="s">
        <v>3284</v>
      </c>
      <c r="D123" s="3673" t="s">
        <v>3285</v>
      </c>
      <c r="E123" s="3673" t="s">
        <v>3286</v>
      </c>
      <c r="F123" s="3674" t="s">
        <v>3287</v>
      </c>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30">C124-$K43</f>
        <v>98</v>
      </c>
      <c r="E124" s="647">
        <f t="shared" si="30"/>
        <v>96</v>
      </c>
      <c r="F124" s="647">
        <f t="shared" si="30"/>
        <v>94</v>
      </c>
      <c r="G124" s="647">
        <f t="shared" si="30"/>
        <v>92</v>
      </c>
      <c r="H124" s="647">
        <f t="shared" si="30"/>
        <v>90</v>
      </c>
      <c r="I124" s="647">
        <f t="shared" si="30"/>
        <v>88</v>
      </c>
      <c r="J124" s="647">
        <f t="shared" si="30"/>
        <v>86</v>
      </c>
      <c r="K124" s="647">
        <f t="shared" si="30"/>
        <v>84</v>
      </c>
      <c r="L124" s="647">
        <f t="shared" si="30"/>
        <v>82</v>
      </c>
      <c r="M124" s="648">
        <f t="shared" si="30"/>
        <v>80</v>
      </c>
      <c r="N124" s="1886"/>
      <c r="O124" s="1886"/>
      <c r="P124" s="1931"/>
      <c r="Q124" s="1878"/>
      <c r="R124" s="1866"/>
      <c r="S124" s="1866"/>
      <c r="T124" s="1866"/>
      <c r="U124" s="1866"/>
      <c r="V124" s="1866"/>
      <c r="W124" s="1866"/>
      <c r="X124" s="1866"/>
      <c r="Y124" s="1866"/>
      <c r="Z124" s="1866"/>
      <c r="AA124" s="1866"/>
      <c r="AB124" s="1866"/>
      <c r="AC124" s="1866"/>
    </row>
    <row r="125" spans="1:29" ht="1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98</v>
      </c>
      <c r="E126" s="647">
        <f>D126-$K44</f>
        <v>96</v>
      </c>
      <c r="F126" s="647">
        <f>E126-$K44</f>
        <v>94</v>
      </c>
      <c r="G126" s="647">
        <f>F126-$K44</f>
        <v>92</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200" customFormat="1" ht="15" thickTop="1">
      <c r="A127" s="696"/>
      <c r="B127" s="641" t="str">
        <f>B45</f>
        <v>房屋类型</v>
      </c>
      <c r="C127" s="3673" t="s">
        <v>3533</v>
      </c>
      <c r="D127" s="3673" t="s">
        <v>3534</v>
      </c>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200" customFormat="1" ht="15.75" thickBot="1">
      <c r="A128" s="655"/>
      <c r="B128" s="646"/>
      <c r="C128" s="660">
        <v>100</v>
      </c>
      <c r="D128" s="639">
        <v>105</v>
      </c>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6"/>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1783"/>
    </row>
    <row r="2" spans="1:29" s="1197"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7"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470</v>
      </c>
      <c r="B4" s="483"/>
      <c r="C4" s="3913" t="s">
        <v>471</v>
      </c>
      <c r="D4" s="3914"/>
      <c r="E4" s="3939" t="s">
        <v>472</v>
      </c>
      <c r="F4" s="3940"/>
      <c r="G4" s="3913" t="s">
        <v>473</v>
      </c>
      <c r="H4" s="3914"/>
      <c r="I4" s="3913" t="s">
        <v>474</v>
      </c>
      <c r="J4" s="3914"/>
      <c r="K4" s="484" t="s">
        <v>475</v>
      </c>
      <c r="L4" s="1854"/>
      <c r="M4" s="1855"/>
      <c r="N4" s="1855"/>
      <c r="O4" s="1855"/>
      <c r="P4" s="3915" t="s">
        <v>476</v>
      </c>
      <c r="Q4" s="3916"/>
      <c r="R4" s="3899" t="s">
        <v>472</v>
      </c>
      <c r="S4" s="3900"/>
      <c r="T4" s="3899" t="s">
        <v>473</v>
      </c>
      <c r="U4" s="3900"/>
      <c r="V4" s="3921" t="s">
        <v>474</v>
      </c>
      <c r="W4" s="3921"/>
      <c r="X4" s="1379"/>
      <c r="Y4" s="3899" t="s">
        <v>476</v>
      </c>
      <c r="Z4" s="3900"/>
      <c r="AA4" s="3894" t="s">
        <v>472</v>
      </c>
      <c r="AB4" s="3895" t="s">
        <v>473</v>
      </c>
      <c r="AC4" s="3894" t="s">
        <v>474</v>
      </c>
    </row>
    <row r="5" spans="1:29" ht="15">
      <c r="A5" s="485"/>
      <c r="B5" s="486"/>
      <c r="C5" s="3924" t="s">
        <v>2186</v>
      </c>
      <c r="D5" s="3925"/>
      <c r="E5" s="3941" t="s">
        <v>2187</v>
      </c>
      <c r="F5" s="3942"/>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895"/>
      <c r="AC5" s="3895"/>
    </row>
    <row r="6" spans="1:29" ht="15.75" thickBot="1">
      <c r="A6" s="487"/>
      <c r="B6" s="488"/>
      <c r="C6" s="3922" t="s">
        <v>2190</v>
      </c>
      <c r="D6" s="3923"/>
      <c r="E6" s="3943" t="s">
        <v>2190</v>
      </c>
      <c r="F6" s="3944"/>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896"/>
      <c r="AC6" s="3896"/>
    </row>
    <row r="7" spans="1:29" s="1118" customFormat="1" ht="15.75" thickBot="1">
      <c r="A7" s="2390"/>
      <c r="B7" s="2397" t="s">
        <v>478</v>
      </c>
      <c r="C7" s="489">
        <f>'数据-取费表'!B2</f>
        <v>45266</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7"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8"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40" si="3">D8/F8</f>
        <v>#DIV/0!</v>
      </c>
      <c r="AB8" s="1383" t="e">
        <f t="shared" ref="AB8:AB40" si="4">D8/H8</f>
        <v>#DIV/0!</v>
      </c>
      <c r="AC8" s="1383" t="e">
        <f t="shared" ref="AC8:AC40" si="5">D8/J8</f>
        <v>#DIV/0!</v>
      </c>
    </row>
    <row r="9" spans="1:29" s="1118" customFormat="1" ht="15">
      <c r="A9" s="2392"/>
      <c r="B9" s="2399" t="s">
        <v>2037</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905" t="s">
        <v>484</v>
      </c>
      <c r="Q9" s="1050" t="str">
        <f t="shared" ref="Q9:Q15" si="6">B9</f>
        <v>用途</v>
      </c>
      <c r="R9" s="1380" t="s">
        <v>5</v>
      </c>
      <c r="S9" s="1381">
        <f t="shared" si="0"/>
        <v>100</v>
      </c>
      <c r="T9" s="1380" t="s">
        <v>5</v>
      </c>
      <c r="U9" s="1381">
        <f t="shared" si="1"/>
        <v>100</v>
      </c>
      <c r="V9" s="1380" t="s">
        <v>5</v>
      </c>
      <c r="W9" s="1381">
        <f t="shared" si="2"/>
        <v>100</v>
      </c>
      <c r="X9" s="1382"/>
      <c r="Y9" s="3857"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05"/>
      <c r="Q11" s="1050" t="str">
        <f t="shared" si="6"/>
        <v>容积率</v>
      </c>
      <c r="R11" s="1380" t="s">
        <v>5</v>
      </c>
      <c r="S11" s="1381" t="e">
        <f t="shared" si="0"/>
        <v>#N/A</v>
      </c>
      <c r="T11" s="1380" t="s">
        <v>5</v>
      </c>
      <c r="U11" s="1381" t="e">
        <f t="shared" si="1"/>
        <v>#N/A</v>
      </c>
      <c r="V11" s="1380" t="s">
        <v>5</v>
      </c>
      <c r="W11" s="1381" t="e">
        <f t="shared" si="2"/>
        <v>#N/A</v>
      </c>
      <c r="X11" s="1382"/>
      <c r="Y11" s="3857"/>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SUMIF(64:64,E12,65:65)-SUMIF(64:64,C12,65:65)+100</f>
        <v>100</v>
      </c>
      <c r="G12" s="883"/>
      <c r="H12" s="246">
        <f>SUMIF(64:64,G12,65:65)-SUMIF(64:64,C12,65:65)+100</f>
        <v>100</v>
      </c>
      <c r="I12" s="843"/>
      <c r="J12" s="246">
        <f>SUMIF(64:64,I12,65:65)-SUMIF(64:64,C12,65:65)+100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
      <c r="A13" s="2395"/>
      <c r="B13" s="2401">
        <v>111</v>
      </c>
      <c r="C13" s="509"/>
      <c r="D13" s="510">
        <v>100</v>
      </c>
      <c r="E13" s="509"/>
      <c r="F13" s="246">
        <f>SUMIF(66:66,E13,67:67)-SUMIF(66:66,C13,67:67)+100</f>
        <v>100</v>
      </c>
      <c r="G13" s="883"/>
      <c r="H13" s="510">
        <f>SUMIF(66:66,G13,67:67)-SUMIF(66:66,C13,67:67)+100</f>
        <v>100</v>
      </c>
      <c r="I13" s="843"/>
      <c r="J13" s="510">
        <f>SUMIF(66:66,I13,67:67)-SUMIF(66:66,C13,67:67)+100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75" thickBot="1">
      <c r="A14" s="2396"/>
      <c r="B14" s="2402">
        <v>111</v>
      </c>
      <c r="C14" s="515"/>
      <c r="D14" s="516">
        <v>100</v>
      </c>
      <c r="E14" s="515"/>
      <c r="F14" s="516">
        <f>SUMIF(68:68,E14,69:69)-SUMIF(68:68,C14,69:69)+100</f>
        <v>100</v>
      </c>
      <c r="G14" s="883"/>
      <c r="H14" s="516">
        <f>SUMIF(68:68,G14,69:69)-SUMIF(68:68,C14,69:69)+100</f>
        <v>100</v>
      </c>
      <c r="I14" s="843"/>
      <c r="J14" s="516">
        <f>SUMIF(68:68,I14,69:69)-SUMIF(68:68,C14,69:69)+100</f>
        <v>100</v>
      </c>
      <c r="K14" s="551"/>
      <c r="L14" s="1863"/>
      <c r="M14" s="1855"/>
      <c r="N14" s="1855"/>
      <c r="O14" s="1862"/>
      <c r="P14" s="3905"/>
      <c r="Q14" s="1050">
        <f t="shared" si="6"/>
        <v>111</v>
      </c>
      <c r="R14" s="1380" t="s">
        <v>5</v>
      </c>
      <c r="S14" s="1381">
        <f t="shared" si="0"/>
        <v>100</v>
      </c>
      <c r="T14" s="1380" t="s">
        <v>5</v>
      </c>
      <c r="U14" s="1381">
        <f t="shared" si="1"/>
        <v>100</v>
      </c>
      <c r="V14" s="1380" t="s">
        <v>5</v>
      </c>
      <c r="W14" s="1381">
        <f t="shared" si="2"/>
        <v>100</v>
      </c>
      <c r="X14" s="1382"/>
      <c r="Y14" s="3857"/>
      <c r="Z14" s="1049">
        <f t="shared" si="7"/>
        <v>111</v>
      </c>
      <c r="AA14" s="1383">
        <f t="shared" si="3"/>
        <v>1</v>
      </c>
      <c r="AB14" s="1383">
        <f t="shared" si="4"/>
        <v>1</v>
      </c>
      <c r="AC14" s="1383">
        <f t="shared" si="5"/>
        <v>1</v>
      </c>
    </row>
    <row r="15" spans="1:29" ht="57">
      <c r="A15" s="2388"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3"/>
      <c r="M15" s="1855"/>
      <c r="N15" s="1855"/>
      <c r="O15" s="1862"/>
      <c r="P15" s="3907" t="s">
        <v>489</v>
      </c>
      <c r="Q15" s="1384" t="str">
        <f t="shared" si="6"/>
        <v>产业集聚程度</v>
      </c>
      <c r="R15" s="1385" t="s">
        <v>5</v>
      </c>
      <c r="S15" s="1386">
        <f t="shared" si="0"/>
        <v>100</v>
      </c>
      <c r="T15" s="1385" t="s">
        <v>5</v>
      </c>
      <c r="U15" s="1386">
        <f t="shared" si="1"/>
        <v>100</v>
      </c>
      <c r="V15" s="1385" t="s">
        <v>5</v>
      </c>
      <c r="W15" s="1386">
        <f t="shared" si="2"/>
        <v>100</v>
      </c>
      <c r="X15" s="1379"/>
      <c r="Y15" s="3907"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08"/>
      <c r="Q16" s="1384"/>
      <c r="R16" s="1385"/>
      <c r="S16" s="1386"/>
      <c r="T16" s="1385"/>
      <c r="U16" s="1386"/>
      <c r="V16" s="1385"/>
      <c r="W16" s="1386"/>
      <c r="X16" s="1379"/>
      <c r="Y16" s="3908"/>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3"/>
      <c r="M17" s="1855"/>
      <c r="N17" s="1855"/>
      <c r="O17" s="1862"/>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08"/>
      <c r="Q18" s="1384"/>
      <c r="R18" s="1385"/>
      <c r="S18" s="1386"/>
      <c r="T18" s="1385"/>
      <c r="U18" s="1386"/>
      <c r="V18" s="1385"/>
      <c r="W18" s="1386"/>
      <c r="X18" s="1379"/>
      <c r="Y18" s="3908"/>
      <c r="Z18" s="1387"/>
      <c r="AA18" s="1388">
        <v>1</v>
      </c>
      <c r="AB18" s="1388">
        <v>1</v>
      </c>
      <c r="AC18" s="1388">
        <v>1</v>
      </c>
    </row>
    <row r="19" spans="1:29" ht="42.75">
      <c r="A19" s="502"/>
      <c r="B19" s="2209"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3"/>
      <c r="M19" s="1855"/>
      <c r="N19" s="1855"/>
      <c r="O19" s="1862"/>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3"/>
      <c r="M20" s="1855"/>
      <c r="N20" s="1855"/>
      <c r="O20" s="1862"/>
      <c r="P20" s="3908"/>
      <c r="Q20" s="1384"/>
      <c r="R20" s="1385"/>
      <c r="S20" s="1386"/>
      <c r="T20" s="1385"/>
      <c r="U20" s="1386"/>
      <c r="V20" s="1385"/>
      <c r="W20" s="1386"/>
      <c r="X20" s="1379"/>
      <c r="Y20" s="3908"/>
      <c r="Z20" s="1387"/>
      <c r="AA20" s="1388">
        <v>1</v>
      </c>
      <c r="AB20" s="1388">
        <v>1</v>
      </c>
      <c r="AC20" s="1388">
        <v>1</v>
      </c>
    </row>
    <row r="21" spans="1:29" ht="28.5">
      <c r="A21" s="502"/>
      <c r="B21" s="2197"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3"/>
      <c r="M21" s="1855"/>
      <c r="N21" s="1855"/>
      <c r="O21" s="1862"/>
      <c r="P21" s="3908"/>
      <c r="Q21" s="2191" t="str">
        <f>B21</f>
        <v>基础设施水平</v>
      </c>
      <c r="R21" s="1385" t="s">
        <v>5</v>
      </c>
      <c r="S21" s="1386">
        <f>F21</f>
        <v>100</v>
      </c>
      <c r="T21" s="1385" t="s">
        <v>5</v>
      </c>
      <c r="U21" s="1386">
        <f>H21</f>
        <v>100</v>
      </c>
      <c r="V21" s="1385" t="s">
        <v>5</v>
      </c>
      <c r="W21" s="1386">
        <f>J21</f>
        <v>100</v>
      </c>
      <c r="X21" s="2193"/>
      <c r="Y21" s="3908"/>
      <c r="Z21" s="2192" t="str">
        <f>Q21</f>
        <v>基础设施水平</v>
      </c>
      <c r="AA21" s="1388">
        <f>D21/F21</f>
        <v>1</v>
      </c>
      <c r="AB21" s="1388">
        <f>D21/H21</f>
        <v>1</v>
      </c>
      <c r="AC21" s="1388">
        <f>D21/J21</f>
        <v>1</v>
      </c>
    </row>
    <row r="22" spans="1:29" ht="15">
      <c r="A22" s="502"/>
      <c r="B22" s="548"/>
      <c r="C22" s="836"/>
      <c r="D22" s="525"/>
      <c r="E22" s="546"/>
      <c r="F22" s="527"/>
      <c r="G22" s="546"/>
      <c r="H22" s="525"/>
      <c r="I22" s="546"/>
      <c r="J22" s="525"/>
      <c r="K22" s="2208"/>
      <c r="L22" s="1863"/>
      <c r="M22" s="1855"/>
      <c r="N22" s="1855"/>
      <c r="O22" s="1862"/>
      <c r="P22" s="3908"/>
      <c r="Q22" s="2191"/>
      <c r="R22" s="1385"/>
      <c r="S22" s="1386"/>
      <c r="T22" s="1385"/>
      <c r="U22" s="1386"/>
      <c r="V22" s="1385"/>
      <c r="W22" s="1386"/>
      <c r="X22" s="2193"/>
      <c r="Y22" s="3908"/>
      <c r="Z22" s="2192"/>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3"/>
      <c r="M23" s="1855"/>
      <c r="N23" s="1855"/>
      <c r="O23" s="1862"/>
      <c r="P23" s="3908"/>
      <c r="Q23" s="1384" t="str">
        <f>B23</f>
        <v>环境质量</v>
      </c>
      <c r="R23" s="1385" t="s">
        <v>5</v>
      </c>
      <c r="S23" s="1386">
        <f>F23</f>
        <v>100</v>
      </c>
      <c r="T23" s="1385" t="s">
        <v>5</v>
      </c>
      <c r="U23" s="1386">
        <f>H23</f>
        <v>100</v>
      </c>
      <c r="V23" s="1385" t="s">
        <v>5</v>
      </c>
      <c r="W23" s="1386">
        <f>J23</f>
        <v>100</v>
      </c>
      <c r="X23" s="1379"/>
      <c r="Y23" s="3908"/>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3"/>
      <c r="M24" s="1855"/>
      <c r="N24" s="1855"/>
      <c r="O24" s="1862"/>
      <c r="P24" s="3908"/>
      <c r="Q24" s="1384"/>
      <c r="R24" s="1385"/>
      <c r="S24" s="1386"/>
      <c r="T24" s="1385"/>
      <c r="U24" s="1386"/>
      <c r="V24" s="1385"/>
      <c r="W24" s="1386"/>
      <c r="X24" s="1379"/>
      <c r="Y24" s="3908"/>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08"/>
      <c r="Q25" s="1384">
        <f>B25</f>
        <v>111</v>
      </c>
      <c r="R25" s="1385" t="s">
        <v>5</v>
      </c>
      <c r="S25" s="1386">
        <f>F25</f>
        <v>100</v>
      </c>
      <c r="T25" s="1385" t="s">
        <v>5</v>
      </c>
      <c r="U25" s="1386">
        <f>H25</f>
        <v>100</v>
      </c>
      <c r="V25" s="1385" t="s">
        <v>5</v>
      </c>
      <c r="W25" s="1386">
        <f>J25</f>
        <v>100</v>
      </c>
      <c r="X25" s="1379"/>
      <c r="Y25" s="3908"/>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08"/>
      <c r="Q26" s="1384">
        <f t="shared" ref="Q26:Q40" si="8">B26</f>
        <v>111</v>
      </c>
      <c r="R26" s="1385" t="s">
        <v>5</v>
      </c>
      <c r="S26" s="1386">
        <f>F26</f>
        <v>100</v>
      </c>
      <c r="T26" s="1385" t="s">
        <v>5</v>
      </c>
      <c r="U26" s="1386">
        <f>H26</f>
        <v>100</v>
      </c>
      <c r="V26" s="1385" t="s">
        <v>5</v>
      </c>
      <c r="W26" s="1386">
        <f>J26</f>
        <v>100</v>
      </c>
      <c r="X26" s="1379"/>
      <c r="Y26" s="3908"/>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08"/>
      <c r="Q27" s="1050">
        <f t="shared" si="8"/>
        <v>111</v>
      </c>
      <c r="R27" s="1380" t="s">
        <v>5</v>
      </c>
      <c r="S27" s="1381">
        <f>F27</f>
        <v>100</v>
      </c>
      <c r="T27" s="1380" t="s">
        <v>5</v>
      </c>
      <c r="U27" s="1381">
        <f>H27</f>
        <v>100</v>
      </c>
      <c r="V27" s="1380" t="s">
        <v>5</v>
      </c>
      <c r="W27" s="1381">
        <f>J27</f>
        <v>100</v>
      </c>
      <c r="X27" s="1382"/>
      <c r="Y27" s="3908"/>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08"/>
      <c r="Q28" s="1384">
        <f t="shared" si="8"/>
        <v>111</v>
      </c>
      <c r="R28" s="1385" t="s">
        <v>5</v>
      </c>
      <c r="S28" s="1386">
        <f t="shared" ref="S28:S40" si="9">F28</f>
        <v>100</v>
      </c>
      <c r="T28" s="1385" t="s">
        <v>5</v>
      </c>
      <c r="U28" s="1386">
        <f t="shared" ref="U28:U40" si="10">H28</f>
        <v>100</v>
      </c>
      <c r="V28" s="1385" t="s">
        <v>5</v>
      </c>
      <c r="W28" s="1386">
        <f t="shared" ref="W28:W40" si="11">J28</f>
        <v>100</v>
      </c>
      <c r="X28" s="1379"/>
      <c r="Y28" s="3908"/>
      <c r="Z28" s="1387">
        <f t="shared" ref="Z28:Z40" si="12">Q28</f>
        <v>111</v>
      </c>
      <c r="AA28" s="1388">
        <f t="shared" si="3"/>
        <v>1</v>
      </c>
      <c r="AB28" s="1388">
        <f t="shared" si="4"/>
        <v>1</v>
      </c>
      <c r="AC28" s="1388">
        <f t="shared" si="5"/>
        <v>1</v>
      </c>
    </row>
    <row r="29" spans="1:29" ht="15">
      <c r="A29" s="2385"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3"/>
      <c r="M29" s="1855"/>
      <c r="N29" s="1855"/>
      <c r="O29" s="1862"/>
      <c r="P29" s="3909" t="s">
        <v>499</v>
      </c>
      <c r="Q29" s="1384" t="str">
        <f t="shared" si="8"/>
        <v>建筑类型</v>
      </c>
      <c r="R29" s="1385" t="s">
        <v>5</v>
      </c>
      <c r="S29" s="1386">
        <f t="shared" si="9"/>
        <v>100</v>
      </c>
      <c r="T29" s="1385" t="s">
        <v>5</v>
      </c>
      <c r="U29" s="1386">
        <f t="shared" si="10"/>
        <v>100</v>
      </c>
      <c r="V29" s="1385" t="s">
        <v>5</v>
      </c>
      <c r="W29" s="1386">
        <f t="shared" si="11"/>
        <v>100</v>
      </c>
      <c r="X29" s="1379"/>
      <c r="Y29" s="3910"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10"/>
      <c r="Q30" s="1413" t="str">
        <f t="shared" si="8"/>
        <v>项目建筑规模</v>
      </c>
      <c r="R30" s="1389" t="s">
        <v>5</v>
      </c>
      <c r="S30" s="1390" t="e">
        <f t="shared" si="9"/>
        <v>#N/A</v>
      </c>
      <c r="T30" s="1389" t="s">
        <v>5</v>
      </c>
      <c r="U30" s="1390" t="e">
        <f t="shared" si="10"/>
        <v>#N/A</v>
      </c>
      <c r="V30" s="1389" t="s">
        <v>5</v>
      </c>
      <c r="W30" s="1390" t="e">
        <f t="shared" si="11"/>
        <v>#N/A</v>
      </c>
      <c r="X30" s="1391"/>
      <c r="Y30" s="3910"/>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10"/>
      <c r="Q31" s="1384" t="str">
        <f t="shared" si="8"/>
        <v>建筑结构</v>
      </c>
      <c r="R31" s="1385" t="s">
        <v>5</v>
      </c>
      <c r="S31" s="1386">
        <f t="shared" si="9"/>
        <v>100</v>
      </c>
      <c r="T31" s="1385" t="s">
        <v>5</v>
      </c>
      <c r="U31" s="1386">
        <f t="shared" si="10"/>
        <v>100</v>
      </c>
      <c r="V31" s="1385" t="s">
        <v>5</v>
      </c>
      <c r="W31" s="1386">
        <f t="shared" si="11"/>
        <v>100</v>
      </c>
      <c r="X31" s="1379"/>
      <c r="Y31" s="3910"/>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10"/>
      <c r="Q32" s="1384" t="str">
        <f t="shared" si="8"/>
        <v>公共部分装修</v>
      </c>
      <c r="R32" s="1385" t="s">
        <v>5</v>
      </c>
      <c r="S32" s="1386">
        <f t="shared" si="9"/>
        <v>100</v>
      </c>
      <c r="T32" s="1385" t="s">
        <v>5</v>
      </c>
      <c r="U32" s="1386">
        <f t="shared" si="10"/>
        <v>100</v>
      </c>
      <c r="V32" s="1385" t="s">
        <v>5</v>
      </c>
      <c r="W32" s="1386">
        <f t="shared" si="11"/>
        <v>100</v>
      </c>
      <c r="X32" s="1379"/>
      <c r="Y32" s="3910"/>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10"/>
      <c r="Q33" s="1384" t="str">
        <f t="shared" si="8"/>
        <v>成新度</v>
      </c>
      <c r="R33" s="1385" t="s">
        <v>5</v>
      </c>
      <c r="S33" s="1386" t="e">
        <f t="shared" si="9"/>
        <v>#N/A</v>
      </c>
      <c r="T33" s="1385" t="s">
        <v>5</v>
      </c>
      <c r="U33" s="1386" t="e">
        <f t="shared" si="10"/>
        <v>#N/A</v>
      </c>
      <c r="V33" s="1385" t="s">
        <v>5</v>
      </c>
      <c r="W33" s="1386" t="e">
        <f t="shared" si="11"/>
        <v>#N/A</v>
      </c>
      <c r="X33" s="1379"/>
      <c r="Y33" s="3910"/>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10"/>
      <c r="Q34" s="1050" t="str">
        <f t="shared" si="8"/>
        <v>物业管理</v>
      </c>
      <c r="R34" s="1380" t="s">
        <v>5</v>
      </c>
      <c r="S34" s="1381">
        <f t="shared" si="9"/>
        <v>100</v>
      </c>
      <c r="T34" s="1380" t="s">
        <v>5</v>
      </c>
      <c r="U34" s="1381">
        <f t="shared" si="10"/>
        <v>100</v>
      </c>
      <c r="V34" s="1380" t="s">
        <v>5</v>
      </c>
      <c r="W34" s="1381">
        <f t="shared" si="11"/>
        <v>100</v>
      </c>
      <c r="X34" s="1382"/>
      <c r="Y34" s="3910"/>
      <c r="Z34" s="1049" t="str">
        <f t="shared" si="12"/>
        <v>物业管理</v>
      </c>
      <c r="AA34" s="1383">
        <f t="shared" si="3"/>
        <v>1</v>
      </c>
      <c r="AB34" s="1383">
        <f t="shared" si="4"/>
        <v>1</v>
      </c>
      <c r="AC34" s="1383">
        <f t="shared" si="5"/>
        <v>1</v>
      </c>
    </row>
    <row r="35" spans="1:29" ht="15">
      <c r="A35" s="564"/>
      <c r="B35" s="1649"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10" t="s">
        <v>499</v>
      </c>
      <c r="Q35" s="1384" t="str">
        <f t="shared" si="8"/>
        <v>市政基础设施</v>
      </c>
      <c r="R35" s="1385" t="s">
        <v>5</v>
      </c>
      <c r="S35" s="1386">
        <f t="shared" si="9"/>
        <v>100</v>
      </c>
      <c r="T35" s="1385" t="s">
        <v>5</v>
      </c>
      <c r="U35" s="1386">
        <f t="shared" si="10"/>
        <v>100</v>
      </c>
      <c r="V35" s="1385" t="s">
        <v>5</v>
      </c>
      <c r="W35" s="1386">
        <f t="shared" si="11"/>
        <v>100</v>
      </c>
      <c r="X35" s="1379"/>
      <c r="Y35" s="3910"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10"/>
      <c r="Q36" s="1384" t="str">
        <f t="shared" si="8"/>
        <v>内部装修</v>
      </c>
      <c r="R36" s="1385" t="s">
        <v>5</v>
      </c>
      <c r="S36" s="1386">
        <f t="shared" si="9"/>
        <v>100</v>
      </c>
      <c r="T36" s="1385" t="s">
        <v>5</v>
      </c>
      <c r="U36" s="1386">
        <f t="shared" si="10"/>
        <v>100</v>
      </c>
      <c r="V36" s="1385" t="s">
        <v>5</v>
      </c>
      <c r="W36" s="1386">
        <f t="shared" si="11"/>
        <v>100</v>
      </c>
      <c r="X36" s="1379"/>
      <c r="Y36" s="3910"/>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10"/>
      <c r="Q37" s="1384" t="str">
        <f t="shared" si="8"/>
        <v>内部装修状况</v>
      </c>
      <c r="R37" s="1385" t="s">
        <v>5</v>
      </c>
      <c r="S37" s="1386">
        <f t="shared" si="9"/>
        <v>100</v>
      </c>
      <c r="T37" s="1385" t="s">
        <v>5</v>
      </c>
      <c r="U37" s="1386">
        <f t="shared" si="10"/>
        <v>100</v>
      </c>
      <c r="V37" s="1385" t="s">
        <v>5</v>
      </c>
      <c r="W37" s="1386">
        <f t="shared" si="11"/>
        <v>100</v>
      </c>
      <c r="X37" s="1379"/>
      <c r="Y37" s="3910"/>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10"/>
      <c r="Q38" s="1413">
        <f t="shared" si="8"/>
        <v>111</v>
      </c>
      <c r="R38" s="1389" t="s">
        <v>5</v>
      </c>
      <c r="S38" s="1390">
        <f t="shared" si="9"/>
        <v>100</v>
      </c>
      <c r="T38" s="1389" t="s">
        <v>5</v>
      </c>
      <c r="U38" s="1390">
        <f t="shared" si="10"/>
        <v>100</v>
      </c>
      <c r="V38" s="1389" t="s">
        <v>5</v>
      </c>
      <c r="W38" s="1390">
        <f t="shared" si="11"/>
        <v>100</v>
      </c>
      <c r="X38" s="1391"/>
      <c r="Y38" s="3910"/>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10"/>
      <c r="Q39" s="1384">
        <f t="shared" si="8"/>
        <v>111</v>
      </c>
      <c r="R39" s="1385" t="s">
        <v>5</v>
      </c>
      <c r="S39" s="1386">
        <f t="shared" si="9"/>
        <v>100</v>
      </c>
      <c r="T39" s="1385" t="s">
        <v>5</v>
      </c>
      <c r="U39" s="1386">
        <f t="shared" si="10"/>
        <v>100</v>
      </c>
      <c r="V39" s="1385" t="s">
        <v>5</v>
      </c>
      <c r="W39" s="1386">
        <f t="shared" si="11"/>
        <v>100</v>
      </c>
      <c r="X39" s="1379"/>
      <c r="Y39" s="3910"/>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22"/>
      <c r="Q40" s="1384">
        <f t="shared" si="8"/>
        <v>111</v>
      </c>
      <c r="R40" s="1385" t="s">
        <v>5</v>
      </c>
      <c r="S40" s="1386">
        <f t="shared" si="9"/>
        <v>100</v>
      </c>
      <c r="T40" s="1385" t="s">
        <v>5</v>
      </c>
      <c r="U40" s="1386">
        <f t="shared" si="10"/>
        <v>100</v>
      </c>
      <c r="V40" s="1385" t="s">
        <v>5</v>
      </c>
      <c r="W40" s="1386">
        <f t="shared" si="11"/>
        <v>100</v>
      </c>
      <c r="X40" s="1379"/>
      <c r="Y40" s="4022"/>
      <c r="Z40" s="1387">
        <f t="shared" si="12"/>
        <v>111</v>
      </c>
      <c r="AA40" s="1388">
        <f t="shared" si="3"/>
        <v>1</v>
      </c>
      <c r="AB40" s="1388">
        <f t="shared" si="4"/>
        <v>1</v>
      </c>
      <c r="AC40" s="1388">
        <f t="shared" si="5"/>
        <v>1</v>
      </c>
    </row>
    <row r="41" spans="1:29" ht="15">
      <c r="A41" s="577" t="s">
        <v>683</v>
      </c>
      <c r="B41" s="850"/>
      <c r="C41" s="2232" t="s">
        <v>0</v>
      </c>
      <c r="D41" s="2233"/>
      <c r="E41" s="2234"/>
      <c r="F41" s="2235"/>
      <c r="G41" s="2236"/>
      <c r="H41" s="2237"/>
      <c r="I41" s="2234"/>
      <c r="J41" s="2237"/>
      <c r="K41" s="1418"/>
      <c r="L41" s="1865"/>
      <c r="M41" s="1866"/>
      <c r="N41" s="1855"/>
      <c r="O41" s="1866"/>
      <c r="P41" s="3905" t="str">
        <f>A41</f>
        <v>成交单价（元/平方米）</v>
      </c>
      <c r="Q41" s="3905"/>
      <c r="R41" s="4021">
        <f>E41</f>
        <v>0</v>
      </c>
      <c r="S41" s="4021"/>
      <c r="T41" s="4021">
        <f>G41</f>
        <v>0</v>
      </c>
      <c r="U41" s="4021"/>
      <c r="V41" s="4021">
        <f>I41</f>
        <v>0</v>
      </c>
      <c r="W41" s="4021"/>
      <c r="X41" s="1374"/>
      <c r="Y41" s="1393"/>
      <c r="Z41" s="1374"/>
      <c r="AA41" s="1374"/>
      <c r="AB41" s="1374"/>
      <c r="AC41" s="1374"/>
    </row>
    <row r="42" spans="1:29" ht="15.75" thickBot="1">
      <c r="A42" s="585" t="s">
        <v>2041</v>
      </c>
      <c r="B42" s="851"/>
      <c r="C42" s="2238" t="e">
        <f>R43</f>
        <v>#DIV/0!</v>
      </c>
      <c r="D42" s="2754" t="s">
        <v>2255</v>
      </c>
      <c r="E42" s="2239" t="e">
        <f>R42</f>
        <v>#DIV/0!</v>
      </c>
      <c r="F42" s="2755"/>
      <c r="G42" s="2238" t="e">
        <f>T42</f>
        <v>#DIV/0!</v>
      </c>
      <c r="H42" s="2755"/>
      <c r="I42" s="2239" t="e">
        <f>V42</f>
        <v>#DIV/0!</v>
      </c>
      <c r="J42" s="2755"/>
      <c r="K42" s="2763">
        <f>F42+H42+J42</f>
        <v>0</v>
      </c>
      <c r="L42" s="1865"/>
      <c r="M42" s="1866"/>
      <c r="N42" s="1855"/>
      <c r="O42" s="1866"/>
      <c r="P42" s="3905" t="str">
        <f>A42</f>
        <v>比较价格（元/平方米）</v>
      </c>
      <c r="Q42" s="3905"/>
      <c r="R42" s="4021" t="e">
        <f>IF(F1="售价",ROUND(PRODUCT(R41,AA7:AA40),0),ROUND(PRODUCT(R41,AA7:AA40),1))</f>
        <v>#DIV/0!</v>
      </c>
      <c r="S42" s="4021"/>
      <c r="T42" s="4021" t="e">
        <f>IF(F1="售价",ROUND(PRODUCT(T41,AB7:AB40),0),ROUND(PRODUCT(T41,AB7:AB40),1))</f>
        <v>#DIV/0!</v>
      </c>
      <c r="U42" s="4021"/>
      <c r="V42" s="4021" t="e">
        <f>IF(F1="售价",ROUND(PRODUCT(V41,AC7:AC40),0),ROUND(PRODUCT(V41,AC7:AC40),1))</f>
        <v>#DIV/0!</v>
      </c>
      <c r="W42" s="4021"/>
      <c r="X42" s="1374"/>
      <c r="Y42" s="1374"/>
      <c r="Z42" s="1374"/>
      <c r="AA42" s="1374"/>
      <c r="AB42" s="1374"/>
      <c r="AC42" s="1374"/>
    </row>
    <row r="43" spans="1:29" ht="15.75" thickBot="1">
      <c r="A43" s="589" t="s">
        <v>2192</v>
      </c>
      <c r="B43" s="590"/>
      <c r="C43" s="2240" t="e">
        <f>R43</f>
        <v>#DIV/0!</v>
      </c>
      <c r="D43" s="2240"/>
      <c r="E43" s="2240"/>
      <c r="F43" s="2240"/>
      <c r="G43" s="2240"/>
      <c r="H43" s="2240"/>
      <c r="I43" s="2240"/>
      <c r="J43" s="2240"/>
      <c r="K43" s="1419"/>
      <c r="L43" s="1865"/>
      <c r="M43" s="1866"/>
      <c r="N43" s="1866"/>
      <c r="O43" s="1866"/>
      <c r="P43" s="3911" t="str">
        <f>A43</f>
        <v>估价对象XX用房的比较价格（楼面单价，元/平方米）</v>
      </c>
      <c r="Q43" s="3912"/>
      <c r="R43" s="4020" t="e">
        <f>IF(F1="售价",ROUND(IF(D42="简单平均",AVERAGE(R42:V42),R42*F42+T42*H42+V42*J42),0),ROUND(IF(D42="简单平均",AVERAGE(R42:V42),R42*F42+T42*H42+V42*J42),1))</f>
        <v>#DIV/0!</v>
      </c>
      <c r="S43" s="4020"/>
      <c r="T43" s="4020"/>
      <c r="U43" s="4020"/>
      <c r="V43" s="4020"/>
      <c r="W43" s="4020"/>
      <c r="X43" s="1374"/>
      <c r="Y43" s="1374"/>
      <c r="Z43" s="1374"/>
      <c r="AA43" s="1374"/>
      <c r="AB43" s="1374"/>
      <c r="AC43" s="1374"/>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5" customFormat="1" ht="13.5" customHeight="1">
      <c r="A48" s="2953"/>
      <c r="B48" s="2953"/>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5"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6" t="s">
        <v>522</v>
      </c>
      <c r="B51" s="1374"/>
      <c r="C51" s="1395"/>
      <c r="D51" s="1395"/>
      <c r="E51" s="1395"/>
      <c r="F51" s="1397"/>
      <c r="G51" s="1397"/>
      <c r="H51" s="1395"/>
      <c r="I51" s="1395"/>
      <c r="J51" s="1395"/>
      <c r="K51" s="1398"/>
      <c r="L51" s="1394"/>
      <c r="M51" s="1395"/>
      <c r="N51" s="1877"/>
      <c r="O51" s="1877"/>
      <c r="P51" s="1877"/>
      <c r="Q51" s="1878"/>
      <c r="R51" s="1866"/>
      <c r="S51" s="1866"/>
      <c r="T51" s="1866"/>
      <c r="U51" s="1866"/>
      <c r="V51" s="1866"/>
      <c r="W51" s="1866"/>
      <c r="X51" s="1866"/>
      <c r="Y51" s="1866"/>
      <c r="Z51" s="1866"/>
      <c r="AA51" s="1866"/>
      <c r="AB51" s="1866"/>
      <c r="AC51" s="1866"/>
    </row>
    <row r="52" spans="1:29" s="1207" customFormat="1" ht="15">
      <c r="A52" s="613" t="s">
        <v>478</v>
      </c>
      <c r="B52" s="614"/>
      <c r="C52" s="2280" t="str">
        <f>YEAR(C7)&amp;"-"&amp;MONTH(C7)</f>
        <v>2023-12</v>
      </c>
      <c r="D52" s="2282">
        <f>EDATE(C52,-1)</f>
        <v>45231</v>
      </c>
      <c r="E52" s="2282">
        <f t="shared" ref="E52:O52" si="13">EDATE(D52,-1)</f>
        <v>45200</v>
      </c>
      <c r="F52" s="2282">
        <f t="shared" si="13"/>
        <v>45170</v>
      </c>
      <c r="G52" s="2282">
        <f t="shared" si="13"/>
        <v>45139</v>
      </c>
      <c r="H52" s="2282">
        <f t="shared" si="13"/>
        <v>45108</v>
      </c>
      <c r="I52" s="2282">
        <f t="shared" si="13"/>
        <v>45078</v>
      </c>
      <c r="J52" s="2282">
        <f t="shared" si="13"/>
        <v>45047</v>
      </c>
      <c r="K52" s="2282">
        <f t="shared" si="13"/>
        <v>45017</v>
      </c>
      <c r="L52" s="2282">
        <f t="shared" si="13"/>
        <v>44986</v>
      </c>
      <c r="M52" s="2282">
        <f t="shared" si="13"/>
        <v>44958</v>
      </c>
      <c r="N52" s="2282">
        <f t="shared" si="13"/>
        <v>44927</v>
      </c>
      <c r="O52" s="2282">
        <f t="shared" si="13"/>
        <v>44896</v>
      </c>
      <c r="P52" s="1880"/>
      <c r="Q52" s="1881"/>
      <c r="R52" s="1881"/>
      <c r="S52" s="1881"/>
      <c r="T52" s="1881"/>
      <c r="U52" s="1881"/>
      <c r="V52" s="1881"/>
      <c r="W52" s="1881"/>
      <c r="X52" s="1881"/>
      <c r="Y52" s="1881"/>
      <c r="Z52" s="1881"/>
      <c r="AA52" s="1881"/>
      <c r="AB52" s="1881"/>
      <c r="AC52" s="1881"/>
    </row>
    <row r="53" spans="1:29" s="1118"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8"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8"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8"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200"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200"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200"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200"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200"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200"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1839</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1840</v>
      </c>
      <c r="C76" s="2204" t="s">
        <v>1841</v>
      </c>
      <c r="D76" s="2204" t="s">
        <v>1842</v>
      </c>
      <c r="E76" s="2204" t="s">
        <v>1843</v>
      </c>
      <c r="F76" s="2204" t="s">
        <v>1844</v>
      </c>
      <c r="G76" s="2204" t="s">
        <v>1845</v>
      </c>
      <c r="H76" s="898"/>
      <c r="I76" s="898"/>
      <c r="J76" s="898"/>
      <c r="K76" s="898"/>
      <c r="L76" s="898"/>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8" customFormat="1" ht="15.75" thickTop="1">
      <c r="A80" s="677"/>
      <c r="B80" s="641">
        <f>B25</f>
        <v>111</v>
      </c>
      <c r="C80" s="656"/>
      <c r="D80" s="656"/>
      <c r="E80" s="656"/>
      <c r="F80" s="656"/>
      <c r="G80" s="656"/>
      <c r="H80" s="656"/>
      <c r="I80" s="656"/>
      <c r="J80" s="656"/>
      <c r="K80" s="656"/>
      <c r="L80" s="853"/>
      <c r="M80" s="854"/>
      <c r="N80" s="1882"/>
      <c r="O80" s="1882"/>
      <c r="P80" s="1885"/>
      <c r="Q80" s="1878"/>
      <c r="R80" s="1744"/>
      <c r="S80" s="1744"/>
      <c r="T80" s="1744"/>
      <c r="U80" s="1744"/>
      <c r="V80" s="1744"/>
      <c r="W80" s="1744"/>
      <c r="X80" s="1744"/>
      <c r="Y80" s="1744"/>
      <c r="Z80" s="1744"/>
      <c r="AA80" s="1744"/>
      <c r="AB80" s="1744"/>
      <c r="AC80" s="1744"/>
    </row>
    <row r="81" spans="1:29" s="1118"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8" customFormat="1" ht="15.75" thickTop="1">
      <c r="A82" s="677"/>
      <c r="B82" s="641">
        <f>B26</f>
        <v>111</v>
      </c>
      <c r="C82" s="656"/>
      <c r="D82" s="656"/>
      <c r="E82" s="656"/>
      <c r="F82" s="656"/>
      <c r="G82" s="656"/>
      <c r="H82" s="656"/>
      <c r="I82" s="656"/>
      <c r="J82" s="656"/>
      <c r="K82" s="656"/>
      <c r="L82" s="853"/>
      <c r="M82" s="854"/>
      <c r="N82" s="1882"/>
      <c r="O82" s="1882"/>
      <c r="P82" s="1885"/>
      <c r="Q82" s="1878"/>
      <c r="R82" s="1744"/>
      <c r="S82" s="1744"/>
      <c r="T82" s="1744"/>
      <c r="U82" s="1744"/>
      <c r="V82" s="1744"/>
      <c r="W82" s="1744"/>
      <c r="X82" s="1744"/>
      <c r="Y82" s="1744"/>
      <c r="Z82" s="1744"/>
      <c r="AA82" s="1744"/>
      <c r="AB82" s="1744"/>
      <c r="AC82" s="1744"/>
    </row>
    <row r="83" spans="1:29" s="1118"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200" customFormat="1" ht="15.75" thickTop="1">
      <c r="A84" s="655"/>
      <c r="B84" s="641">
        <f>B27</f>
        <v>111</v>
      </c>
      <c r="C84" s="656"/>
      <c r="D84" s="656"/>
      <c r="E84" s="656"/>
      <c r="F84" s="656"/>
      <c r="G84" s="656"/>
      <c r="H84" s="656"/>
      <c r="I84" s="656"/>
      <c r="J84" s="656"/>
      <c r="K84" s="656"/>
      <c r="L84" s="853"/>
      <c r="M84" s="854"/>
      <c r="N84" s="1887"/>
      <c r="O84" s="1887"/>
      <c r="P84" s="1888"/>
      <c r="Q84" s="1889"/>
      <c r="R84" s="1890"/>
      <c r="S84" s="1890"/>
      <c r="T84" s="1890"/>
      <c r="U84" s="1890"/>
      <c r="V84" s="1890"/>
      <c r="W84" s="1890"/>
      <c r="X84" s="1890"/>
      <c r="Y84" s="1890"/>
      <c r="Z84" s="1890"/>
      <c r="AA84" s="1890"/>
      <c r="AB84" s="1890"/>
      <c r="AC84" s="1890"/>
    </row>
    <row r="85" spans="1:29" s="1200"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6"/>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200"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7">
        <v>0.5</v>
      </c>
      <c r="D98" s="857">
        <v>0.6</v>
      </c>
      <c r="E98" s="857">
        <v>0.7</v>
      </c>
      <c r="F98" s="857">
        <v>0.8</v>
      </c>
      <c r="G98" s="857">
        <v>0.9</v>
      </c>
      <c r="H98" s="857">
        <v>1.0001</v>
      </c>
      <c r="I98" s="868"/>
      <c r="J98" s="868"/>
      <c r="K98" s="869"/>
      <c r="L98" s="870"/>
      <c r="M98" s="871"/>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200"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1838</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15" thickTop="1">
      <c r="A106" s="703"/>
      <c r="B106" s="880"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200"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200"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6"/>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IF(B37="元/平方米",C39,ROUND(B2*10000/D3,0))</f>
        <v>#DIV/0!</v>
      </c>
      <c r="C3" s="817" t="s">
        <v>736</v>
      </c>
      <c r="D3" s="816">
        <f>SUMIF('数据-汇总表'!$C19:$C33,D1,'数据-汇总表'!$E19:$E33)</f>
        <v>0</v>
      </c>
      <c r="E3" s="1632" t="s">
        <v>1593</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913" t="s">
        <v>738</v>
      </c>
      <c r="D4" s="3914"/>
      <c r="E4" s="3913" t="s">
        <v>739</v>
      </c>
      <c r="F4" s="3914"/>
      <c r="G4" s="3913" t="s">
        <v>740</v>
      </c>
      <c r="H4" s="3914"/>
      <c r="I4" s="3913" t="s">
        <v>741</v>
      </c>
      <c r="J4" s="3914"/>
      <c r="K4" s="484" t="s">
        <v>742</v>
      </c>
      <c r="L4" s="1854"/>
      <c r="M4" s="1855"/>
      <c r="N4" s="1855"/>
      <c r="O4" s="1855"/>
      <c r="P4" s="3915" t="s">
        <v>743</v>
      </c>
      <c r="Q4" s="3916"/>
      <c r="R4" s="3899" t="s">
        <v>739</v>
      </c>
      <c r="S4" s="3900"/>
      <c r="T4" s="3899" t="s">
        <v>740</v>
      </c>
      <c r="U4" s="3900"/>
      <c r="V4" s="3921" t="s">
        <v>741</v>
      </c>
      <c r="W4" s="3921"/>
      <c r="X4" s="1379"/>
      <c r="Y4" s="3899" t="s">
        <v>743</v>
      </c>
      <c r="Z4" s="3900"/>
      <c r="AA4" s="3894" t="s">
        <v>739</v>
      </c>
      <c r="AB4" s="3895" t="s">
        <v>740</v>
      </c>
      <c r="AC4" s="3894" t="s">
        <v>741</v>
      </c>
    </row>
    <row r="5" spans="1:29" ht="15">
      <c r="A5" s="485"/>
      <c r="B5" s="486"/>
      <c r="C5" s="3924" t="s">
        <v>2186</v>
      </c>
      <c r="D5" s="3925"/>
      <c r="E5" s="3924" t="s">
        <v>2187</v>
      </c>
      <c r="F5" s="3925"/>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895"/>
      <c r="AC5" s="3895"/>
    </row>
    <row r="6" spans="1:29" ht="15.75" thickBot="1">
      <c r="A6" s="487"/>
      <c r="B6" s="488"/>
      <c r="C6" s="3922" t="s">
        <v>2190</v>
      </c>
      <c r="D6" s="3923"/>
      <c r="E6" s="3926" t="s">
        <v>2190</v>
      </c>
      <c r="F6" s="3927"/>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896"/>
      <c r="AC6" s="3896"/>
    </row>
    <row r="7" spans="1:29" s="1118" customFormat="1" ht="15.75" thickBot="1">
      <c r="A7" s="2390"/>
      <c r="B7" s="2397" t="s">
        <v>478</v>
      </c>
      <c r="C7" s="489">
        <f>'数据-取费表'!B2</f>
        <v>45266</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7" t="s">
        <v>479</v>
      </c>
      <c r="Q7" s="3906"/>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36" si="3">D8/F8</f>
        <v>#DIV/0!</v>
      </c>
      <c r="AB8" s="1383" t="e">
        <f t="shared" ref="AB8:AB36" si="4">D8/H8</f>
        <v>#DIV/0!</v>
      </c>
      <c r="AC8" s="1383" t="e">
        <f t="shared" ref="AC8:AC36" si="5">D8/J8</f>
        <v>#DIV/0!</v>
      </c>
    </row>
    <row r="9" spans="1:29" s="1118" customFormat="1" ht="15">
      <c r="A9" s="2392"/>
      <c r="B9" s="2399" t="s">
        <v>2037</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905" t="s">
        <v>484</v>
      </c>
      <c r="Q9" s="1050" t="str">
        <f t="shared" ref="Q9:Q14" si="6">B9</f>
        <v>用途</v>
      </c>
      <c r="R9" s="1380" t="s">
        <v>5</v>
      </c>
      <c r="S9" s="1381">
        <f t="shared" si="0"/>
        <v>100</v>
      </c>
      <c r="T9" s="1380" t="s">
        <v>5</v>
      </c>
      <c r="U9" s="1381">
        <f t="shared" si="1"/>
        <v>100</v>
      </c>
      <c r="V9" s="1380" t="s">
        <v>5</v>
      </c>
      <c r="W9" s="1381">
        <f t="shared" si="2"/>
        <v>100</v>
      </c>
      <c r="X9" s="1382"/>
      <c r="Y9" s="3857"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05"/>
      <c r="Q11" s="1050">
        <f t="shared" si="6"/>
        <v>111</v>
      </c>
      <c r="R11" s="1380" t="s">
        <v>5</v>
      </c>
      <c r="S11" s="1381">
        <f t="shared" si="0"/>
        <v>100</v>
      </c>
      <c r="T11" s="1380" t="s">
        <v>5</v>
      </c>
      <c r="U11" s="1381">
        <f t="shared" si="1"/>
        <v>100</v>
      </c>
      <c r="V11" s="1380" t="s">
        <v>5</v>
      </c>
      <c r="W11" s="1381">
        <f t="shared" si="2"/>
        <v>100</v>
      </c>
      <c r="X11" s="1382"/>
      <c r="Y11" s="3857"/>
      <c r="Z11" s="1049">
        <f t="shared" si="7"/>
        <v>111</v>
      </c>
      <c r="AA11" s="1383">
        <f t="shared" si="3"/>
        <v>1</v>
      </c>
      <c r="AB11" s="1383">
        <f t="shared" si="4"/>
        <v>1</v>
      </c>
      <c r="AC11" s="1383">
        <f t="shared" si="5"/>
        <v>1</v>
      </c>
    </row>
    <row r="12" spans="1:29" s="1118"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
      <c r="A14" s="2388"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3"/>
      <c r="M14" s="1855"/>
      <c r="N14" s="1855"/>
      <c r="O14" s="1862"/>
      <c r="P14" s="3907" t="s">
        <v>489</v>
      </c>
      <c r="Q14" s="1384" t="str">
        <f t="shared" si="6"/>
        <v>交通便捷度</v>
      </c>
      <c r="R14" s="1385" t="s">
        <v>5</v>
      </c>
      <c r="S14" s="1386">
        <f t="shared" si="0"/>
        <v>100</v>
      </c>
      <c r="T14" s="1385" t="s">
        <v>5</v>
      </c>
      <c r="U14" s="1386">
        <f t="shared" si="1"/>
        <v>100</v>
      </c>
      <c r="V14" s="1385" t="s">
        <v>5</v>
      </c>
      <c r="W14" s="1386">
        <f t="shared" si="2"/>
        <v>100</v>
      </c>
      <c r="X14" s="1379"/>
      <c r="Y14" s="3907"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3"/>
      <c r="M15" s="1855"/>
      <c r="N15" s="1855"/>
      <c r="O15" s="1862"/>
      <c r="P15" s="3908"/>
      <c r="Q15" s="1384"/>
      <c r="R15" s="1385"/>
      <c r="S15" s="1386"/>
      <c r="T15" s="1385"/>
      <c r="U15" s="1386"/>
      <c r="V15" s="1385"/>
      <c r="W15" s="1386"/>
      <c r="X15" s="1379"/>
      <c r="Y15" s="3908"/>
      <c r="Z15" s="1387"/>
      <c r="AA15" s="1388">
        <v>1</v>
      </c>
      <c r="AB15" s="1388">
        <v>1</v>
      </c>
      <c r="AC15" s="1388">
        <v>1</v>
      </c>
    </row>
    <row r="16" spans="1:29" ht="15">
      <c r="A16" s="485"/>
      <c r="B16" s="2209"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3"/>
      <c r="M16" s="1855"/>
      <c r="N16" s="1855"/>
      <c r="O16" s="1862"/>
      <c r="P16" s="3908"/>
      <c r="Q16" s="1384" t="str">
        <f>B16</f>
        <v>公共配套设施</v>
      </c>
      <c r="R16" s="1385" t="s">
        <v>5</v>
      </c>
      <c r="S16" s="1386">
        <f>F16</f>
        <v>100</v>
      </c>
      <c r="T16" s="1385" t="s">
        <v>5</v>
      </c>
      <c r="U16" s="1386">
        <f>H16</f>
        <v>100</v>
      </c>
      <c r="V16" s="1385" t="s">
        <v>5</v>
      </c>
      <c r="W16" s="1386">
        <f>J16</f>
        <v>100</v>
      </c>
      <c r="X16" s="1379"/>
      <c r="Y16" s="3908"/>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3"/>
      <c r="M17" s="1855"/>
      <c r="N17" s="1855"/>
      <c r="O17" s="1862"/>
      <c r="P17" s="3908"/>
      <c r="Q17" s="1384"/>
      <c r="R17" s="1385"/>
      <c r="S17" s="1386"/>
      <c r="T17" s="1385"/>
      <c r="U17" s="1386"/>
      <c r="V17" s="1385"/>
      <c r="W17" s="1386"/>
      <c r="X17" s="1379"/>
      <c r="Y17" s="3908"/>
      <c r="Z17" s="1387"/>
      <c r="AA17" s="1388">
        <v>1</v>
      </c>
      <c r="AB17" s="1388">
        <v>1</v>
      </c>
      <c r="AC17" s="1388">
        <v>1</v>
      </c>
    </row>
    <row r="18" spans="1:29" ht="15">
      <c r="A18" s="485"/>
      <c r="B18" s="2197" t="s">
        <v>1840</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3"/>
      <c r="M18" s="1855"/>
      <c r="N18" s="1855"/>
      <c r="O18" s="1862"/>
      <c r="P18" s="3908"/>
      <c r="Q18" s="2191" t="str">
        <f>B18</f>
        <v>基础设施水平</v>
      </c>
      <c r="R18" s="1385" t="s">
        <v>5</v>
      </c>
      <c r="S18" s="1386">
        <f>F18</f>
        <v>100</v>
      </c>
      <c r="T18" s="1385" t="s">
        <v>5</v>
      </c>
      <c r="U18" s="1386">
        <f>H18</f>
        <v>100</v>
      </c>
      <c r="V18" s="1385" t="s">
        <v>5</v>
      </c>
      <c r="W18" s="1386">
        <f>J18</f>
        <v>100</v>
      </c>
      <c r="X18" s="2193"/>
      <c r="Y18" s="3908"/>
      <c r="Z18" s="2192" t="str">
        <f>Q18</f>
        <v>基础设施水平</v>
      </c>
      <c r="AA18" s="1388">
        <f>D18/F18</f>
        <v>1</v>
      </c>
      <c r="AB18" s="1388">
        <f>D18/H18</f>
        <v>1</v>
      </c>
      <c r="AC18" s="1388">
        <f>D18/J18</f>
        <v>1</v>
      </c>
    </row>
    <row r="19" spans="1:29" ht="15">
      <c r="A19" s="485"/>
      <c r="B19" s="548"/>
      <c r="C19" s="836"/>
      <c r="D19" s="529"/>
      <c r="E19" s="546"/>
      <c r="F19" s="527"/>
      <c r="G19" s="546"/>
      <c r="H19" s="525"/>
      <c r="I19" s="546"/>
      <c r="J19" s="525"/>
      <c r="K19" s="2208"/>
      <c r="L19" s="1863"/>
      <c r="M19" s="1855"/>
      <c r="N19" s="1855"/>
      <c r="O19" s="1862"/>
      <c r="P19" s="3908"/>
      <c r="Q19" s="2191"/>
      <c r="R19" s="1385"/>
      <c r="S19" s="1386"/>
      <c r="T19" s="1385"/>
      <c r="U19" s="1386"/>
      <c r="V19" s="1385"/>
      <c r="W19" s="1386"/>
      <c r="X19" s="2193"/>
      <c r="Y19" s="3908"/>
      <c r="Z19" s="2192"/>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3"/>
      <c r="M20" s="1855"/>
      <c r="N20" s="1855"/>
      <c r="O20" s="1862"/>
      <c r="P20" s="3908"/>
      <c r="Q20" s="1384" t="str">
        <f>B20</f>
        <v>自然及人文环境</v>
      </c>
      <c r="R20" s="1385" t="s">
        <v>5</v>
      </c>
      <c r="S20" s="1386">
        <f>F20</f>
        <v>100</v>
      </c>
      <c r="T20" s="1385" t="s">
        <v>5</v>
      </c>
      <c r="U20" s="1386">
        <f>H20</f>
        <v>100</v>
      </c>
      <c r="V20" s="1385" t="s">
        <v>5</v>
      </c>
      <c r="W20" s="1386">
        <f>J20</f>
        <v>100</v>
      </c>
      <c r="X20" s="1379"/>
      <c r="Y20" s="3908"/>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3"/>
      <c r="M21" s="1855"/>
      <c r="N21" s="1855"/>
      <c r="O21" s="1862"/>
      <c r="P21" s="3908"/>
      <c r="Q21" s="1384"/>
      <c r="R21" s="1385"/>
      <c r="S21" s="1386"/>
      <c r="T21" s="1385"/>
      <c r="U21" s="1386"/>
      <c r="V21" s="1385"/>
      <c r="W21" s="1386"/>
      <c r="X21" s="1379"/>
      <c r="Y21" s="3908"/>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08"/>
      <c r="Q22" s="1384" t="str">
        <f>B22</f>
        <v>楼层</v>
      </c>
      <c r="R22" s="1385" t="s">
        <v>5</v>
      </c>
      <c r="S22" s="1386">
        <f>F22</f>
        <v>100</v>
      </c>
      <c r="T22" s="1385" t="s">
        <v>5</v>
      </c>
      <c r="U22" s="1386">
        <f>H22</f>
        <v>100</v>
      </c>
      <c r="V22" s="1385" t="s">
        <v>5</v>
      </c>
      <c r="W22" s="1386">
        <f>J22</f>
        <v>100</v>
      </c>
      <c r="X22" s="1379"/>
      <c r="Y22" s="3908"/>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08"/>
      <c r="Q23" s="1384">
        <f>B23</f>
        <v>111</v>
      </c>
      <c r="R23" s="1385" t="s">
        <v>5</v>
      </c>
      <c r="S23" s="1386">
        <f>F23</f>
        <v>100</v>
      </c>
      <c r="T23" s="1385" t="s">
        <v>5</v>
      </c>
      <c r="U23" s="1386">
        <f>H23</f>
        <v>100</v>
      </c>
      <c r="V23" s="1385" t="s">
        <v>5</v>
      </c>
      <c r="W23" s="1386">
        <f>J23</f>
        <v>100</v>
      </c>
      <c r="X23" s="1379"/>
      <c r="Y23" s="3908"/>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08"/>
      <c r="Q24" s="1384">
        <f t="shared" ref="Q24:Q36" si="8">B24</f>
        <v>111</v>
      </c>
      <c r="R24" s="1385" t="s">
        <v>5</v>
      </c>
      <c r="S24" s="1386">
        <f>F24</f>
        <v>100</v>
      </c>
      <c r="T24" s="1385" t="s">
        <v>5</v>
      </c>
      <c r="U24" s="1386">
        <f>H24</f>
        <v>100</v>
      </c>
      <c r="V24" s="1385" t="s">
        <v>5</v>
      </c>
      <c r="W24" s="1386">
        <f>J24</f>
        <v>100</v>
      </c>
      <c r="X24" s="1379"/>
      <c r="Y24" s="3908"/>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6"/>
      <c r="M25" s="1857"/>
      <c r="N25" s="1857"/>
      <c r="O25" s="1858"/>
      <c r="P25" s="3908"/>
      <c r="Q25" s="1050">
        <f t="shared" si="8"/>
        <v>111</v>
      </c>
      <c r="R25" s="1380" t="s">
        <v>5</v>
      </c>
      <c r="S25" s="1381">
        <f>F25</f>
        <v>100</v>
      </c>
      <c r="T25" s="1380" t="s">
        <v>5</v>
      </c>
      <c r="U25" s="1381">
        <f>H25</f>
        <v>100</v>
      </c>
      <c r="V25" s="1380" t="s">
        <v>5</v>
      </c>
      <c r="W25" s="1381">
        <f>J25</f>
        <v>100</v>
      </c>
      <c r="X25" s="1382"/>
      <c r="Y25" s="3908"/>
      <c r="Z25" s="1049">
        <f>Q25</f>
        <v>111</v>
      </c>
      <c r="AA25" s="1388">
        <f>D25/F25</f>
        <v>1</v>
      </c>
      <c r="AB25" s="1388">
        <f>D25/H25</f>
        <v>1</v>
      </c>
      <c r="AC25" s="1388">
        <f>D25/J25</f>
        <v>1</v>
      </c>
    </row>
    <row r="26" spans="1:29" ht="15">
      <c r="A26" s="2385"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0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0"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1"/>
      <c r="M27" s="1891"/>
      <c r="N27" s="1891"/>
      <c r="O27" s="1864"/>
      <c r="P27" s="3910"/>
      <c r="Q27" s="1413" t="str">
        <f t="shared" si="8"/>
        <v>项目停车位配比</v>
      </c>
      <c r="R27" s="1389" t="s">
        <v>5</v>
      </c>
      <c r="S27" s="1390">
        <f t="shared" si="9"/>
        <v>100</v>
      </c>
      <c r="T27" s="1389" t="s">
        <v>5</v>
      </c>
      <c r="U27" s="1390">
        <f t="shared" si="10"/>
        <v>100</v>
      </c>
      <c r="V27" s="1389" t="s">
        <v>5</v>
      </c>
      <c r="W27" s="1390">
        <f t="shared" si="11"/>
        <v>100</v>
      </c>
      <c r="X27" s="1391"/>
      <c r="Y27" s="3910"/>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10"/>
      <c r="Q28" s="1384" t="str">
        <f t="shared" si="8"/>
        <v>公共部分装修</v>
      </c>
      <c r="R28" s="1385" t="s">
        <v>5</v>
      </c>
      <c r="S28" s="1386">
        <f t="shared" si="9"/>
        <v>100</v>
      </c>
      <c r="T28" s="1385" t="s">
        <v>5</v>
      </c>
      <c r="U28" s="1386">
        <f t="shared" si="10"/>
        <v>100</v>
      </c>
      <c r="V28" s="1385" t="s">
        <v>5</v>
      </c>
      <c r="W28" s="1386">
        <f t="shared" si="11"/>
        <v>100</v>
      </c>
      <c r="X28" s="1379"/>
      <c r="Y28" s="3910"/>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3"/>
      <c r="M29" s="1855"/>
      <c r="N29" s="1855"/>
      <c r="O29" s="1862"/>
      <c r="P29" s="3910"/>
      <c r="Q29" s="1384" t="str">
        <f t="shared" si="8"/>
        <v>成新率</v>
      </c>
      <c r="R29" s="1385" t="s">
        <v>5</v>
      </c>
      <c r="S29" s="1386" t="e">
        <f t="shared" si="9"/>
        <v>#N/A</v>
      </c>
      <c r="T29" s="1385" t="s">
        <v>5</v>
      </c>
      <c r="U29" s="1386" t="e">
        <f t="shared" si="10"/>
        <v>#N/A</v>
      </c>
      <c r="V29" s="1385" t="s">
        <v>5</v>
      </c>
      <c r="W29" s="1386" t="e">
        <f t="shared" si="11"/>
        <v>#N/A</v>
      </c>
      <c r="X29" s="1379"/>
      <c r="Y29" s="3910"/>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3"/>
      <c r="M30" s="1855"/>
      <c r="N30" s="1855"/>
      <c r="O30" s="1862"/>
      <c r="P30" s="3910"/>
      <c r="Q30" s="1384" t="str">
        <f t="shared" si="8"/>
        <v>物业等级</v>
      </c>
      <c r="R30" s="1385" t="s">
        <v>5</v>
      </c>
      <c r="S30" s="1386">
        <f t="shared" si="9"/>
        <v>100</v>
      </c>
      <c r="T30" s="1385" t="s">
        <v>5</v>
      </c>
      <c r="U30" s="1386">
        <f t="shared" si="10"/>
        <v>100</v>
      </c>
      <c r="V30" s="1385" t="s">
        <v>5</v>
      </c>
      <c r="W30" s="1386">
        <f t="shared" si="11"/>
        <v>100</v>
      </c>
      <c r="X30" s="1379"/>
      <c r="Y30" s="3910"/>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6"/>
      <c r="M31" s="1857"/>
      <c r="N31" s="1857"/>
      <c r="O31" s="1858"/>
      <c r="P31" s="3910"/>
      <c r="Q31" s="1050" t="str">
        <f t="shared" si="8"/>
        <v>停车位面积</v>
      </c>
      <c r="R31" s="1380" t="s">
        <v>5</v>
      </c>
      <c r="S31" s="1381" t="e">
        <f t="shared" si="9"/>
        <v>#N/A</v>
      </c>
      <c r="T31" s="1380" t="s">
        <v>5</v>
      </c>
      <c r="U31" s="1381" t="e">
        <f t="shared" si="10"/>
        <v>#N/A</v>
      </c>
      <c r="V31" s="1380" t="s">
        <v>5</v>
      </c>
      <c r="W31" s="1381" t="e">
        <f t="shared" si="11"/>
        <v>#N/A</v>
      </c>
      <c r="X31" s="1382"/>
      <c r="Y31" s="3910"/>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10" t="s">
        <v>499</v>
      </c>
      <c r="Q32" s="1384" t="str">
        <f t="shared" si="8"/>
        <v>车位类型</v>
      </c>
      <c r="R32" s="1385" t="s">
        <v>5</v>
      </c>
      <c r="S32" s="1386">
        <f t="shared" si="9"/>
        <v>100</v>
      </c>
      <c r="T32" s="1385" t="s">
        <v>5</v>
      </c>
      <c r="U32" s="1386">
        <f t="shared" si="10"/>
        <v>100</v>
      </c>
      <c r="V32" s="1385" t="s">
        <v>5</v>
      </c>
      <c r="W32" s="1386">
        <f t="shared" si="11"/>
        <v>100</v>
      </c>
      <c r="X32" s="1379"/>
      <c r="Y32" s="3910"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10"/>
      <c r="Q33" s="1384" t="str">
        <f t="shared" si="8"/>
        <v>是否直接入户</v>
      </c>
      <c r="R33" s="1385" t="s">
        <v>5</v>
      </c>
      <c r="S33" s="1386">
        <f t="shared" si="9"/>
        <v>100</v>
      </c>
      <c r="T33" s="1385" t="s">
        <v>5</v>
      </c>
      <c r="U33" s="1386">
        <f t="shared" si="10"/>
        <v>100</v>
      </c>
      <c r="V33" s="1385" t="s">
        <v>5</v>
      </c>
      <c r="W33" s="1386">
        <f t="shared" si="11"/>
        <v>100</v>
      </c>
      <c r="X33" s="1379"/>
      <c r="Y33" s="3910"/>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10"/>
      <c r="Q34" s="1384">
        <f t="shared" si="8"/>
        <v>111</v>
      </c>
      <c r="R34" s="1385" t="s">
        <v>5</v>
      </c>
      <c r="S34" s="1386">
        <f t="shared" si="9"/>
        <v>100</v>
      </c>
      <c r="T34" s="1385" t="s">
        <v>5</v>
      </c>
      <c r="U34" s="1386">
        <f t="shared" si="10"/>
        <v>100</v>
      </c>
      <c r="V34" s="1385" t="s">
        <v>5</v>
      </c>
      <c r="W34" s="1386">
        <f t="shared" si="11"/>
        <v>100</v>
      </c>
      <c r="X34" s="1379"/>
      <c r="Y34" s="3910"/>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10"/>
      <c r="Q35" s="1413">
        <f t="shared" si="8"/>
        <v>111</v>
      </c>
      <c r="R35" s="1389" t="s">
        <v>5</v>
      </c>
      <c r="S35" s="1390">
        <f t="shared" si="9"/>
        <v>100</v>
      </c>
      <c r="T35" s="1389" t="s">
        <v>5</v>
      </c>
      <c r="U35" s="1390">
        <f t="shared" si="10"/>
        <v>100</v>
      </c>
      <c r="V35" s="1389" t="s">
        <v>5</v>
      </c>
      <c r="W35" s="1390">
        <f t="shared" si="11"/>
        <v>100</v>
      </c>
      <c r="X35" s="1391"/>
      <c r="Y35" s="3910"/>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10"/>
      <c r="Q36" s="1384">
        <f t="shared" si="8"/>
        <v>111</v>
      </c>
      <c r="R36" s="1385" t="s">
        <v>5</v>
      </c>
      <c r="S36" s="1386">
        <f t="shared" si="9"/>
        <v>100</v>
      </c>
      <c r="T36" s="1385" t="s">
        <v>5</v>
      </c>
      <c r="U36" s="1386">
        <f t="shared" si="10"/>
        <v>100</v>
      </c>
      <c r="V36" s="1385" t="s">
        <v>5</v>
      </c>
      <c r="W36" s="1386">
        <f t="shared" si="11"/>
        <v>100</v>
      </c>
      <c r="X36" s="1379"/>
      <c r="Y36" s="3910"/>
      <c r="Z36" s="1387">
        <f t="shared" si="12"/>
        <v>111</v>
      </c>
      <c r="AA36" s="1388">
        <f t="shared" si="3"/>
        <v>1</v>
      </c>
      <c r="AB36" s="1388">
        <f t="shared" si="4"/>
        <v>1</v>
      </c>
      <c r="AC36" s="1388">
        <f t="shared" si="5"/>
        <v>1</v>
      </c>
    </row>
    <row r="37" spans="1:29" ht="15">
      <c r="A37" s="1630" t="s">
        <v>1594</v>
      </c>
      <c r="B37" s="1631" t="s">
        <v>1595</v>
      </c>
      <c r="C37" s="2232" t="s">
        <v>0</v>
      </c>
      <c r="D37" s="2233"/>
      <c r="E37" s="2234"/>
      <c r="F37" s="2235"/>
      <c r="G37" s="2236"/>
      <c r="H37" s="2237"/>
      <c r="I37" s="2234"/>
      <c r="J37" s="2237"/>
      <c r="K37" s="1418"/>
      <c r="L37" s="1865"/>
      <c r="M37" s="1866"/>
      <c r="N37" s="1855"/>
      <c r="O37" s="1866"/>
      <c r="P37" s="3905" t="str">
        <f>A37</f>
        <v>成交单价</v>
      </c>
      <c r="Q37" s="3905"/>
      <c r="R37" s="4021">
        <f>E37</f>
        <v>0</v>
      </c>
      <c r="S37" s="4021"/>
      <c r="T37" s="4021">
        <f>G37</f>
        <v>0</v>
      </c>
      <c r="U37" s="4021"/>
      <c r="V37" s="4021">
        <f>I37</f>
        <v>0</v>
      </c>
      <c r="W37" s="4021"/>
      <c r="X37" s="1374"/>
      <c r="Y37" s="1393"/>
      <c r="Z37" s="1374"/>
      <c r="AA37" s="1374"/>
      <c r="AB37" s="1374"/>
      <c r="AC37" s="1374"/>
    </row>
    <row r="38" spans="1:29" ht="15.75" thickBot="1">
      <c r="A38" s="585" t="s">
        <v>2041</v>
      </c>
      <c r="B38" s="851"/>
      <c r="C38" s="2238" t="e">
        <f>R39</f>
        <v>#DIV/0!</v>
      </c>
      <c r="D38" s="2754" t="s">
        <v>2255</v>
      </c>
      <c r="E38" s="2239" t="e">
        <f>R38</f>
        <v>#DIV/0!</v>
      </c>
      <c r="F38" s="2755"/>
      <c r="G38" s="2238" t="e">
        <f>T38</f>
        <v>#DIV/0!</v>
      </c>
      <c r="H38" s="2755"/>
      <c r="I38" s="2239" t="e">
        <f>V38</f>
        <v>#DIV/0!</v>
      </c>
      <c r="J38" s="2755"/>
      <c r="K38" s="2763">
        <f>F38+H38+J38</f>
        <v>0</v>
      </c>
      <c r="L38" s="1865"/>
      <c r="M38" s="1866"/>
      <c r="N38" s="1866"/>
      <c r="O38" s="1866"/>
      <c r="P38" s="3905" t="str">
        <f>A38</f>
        <v>比较价格（元/平方米）</v>
      </c>
      <c r="Q38" s="3905"/>
      <c r="R38" s="4021" t="e">
        <f>IF(F1="售价",ROUND(PRODUCT(R37,AA7:AA36),0),ROUND(PRODUCT(R37,AA7:AA36),1))</f>
        <v>#DIV/0!</v>
      </c>
      <c r="S38" s="4021"/>
      <c r="T38" s="4021" t="e">
        <f>IF(F1="售价",ROUND(PRODUCT(T37,AB7:AB36),0),ROUND(PRODUCT(T37,AB7:AB36),1))</f>
        <v>#DIV/0!</v>
      </c>
      <c r="U38" s="4021"/>
      <c r="V38" s="4021" t="e">
        <f>IF(F1="售价",ROUND(PRODUCT(V37,AC7:AC36),0),ROUND(PRODUCT(V37,AC7:AC36),1))</f>
        <v>#DIV/0!</v>
      </c>
      <c r="W38" s="4021"/>
      <c r="X38" s="1374"/>
      <c r="Y38" s="1374"/>
      <c r="Z38" s="1374"/>
      <c r="AA38" s="1374"/>
      <c r="AB38" s="1374"/>
      <c r="AC38" s="1374"/>
    </row>
    <row r="39" spans="1:29" ht="15.75" thickBot="1">
      <c r="A39" s="589" t="s">
        <v>2192</v>
      </c>
      <c r="B39" s="590"/>
      <c r="C39" s="2240" t="e">
        <f>R39</f>
        <v>#DIV/0!</v>
      </c>
      <c r="D39" s="2240"/>
      <c r="E39" s="2240"/>
      <c r="F39" s="2240"/>
      <c r="G39" s="2240"/>
      <c r="H39" s="2240"/>
      <c r="I39" s="2240"/>
      <c r="J39" s="2240"/>
      <c r="K39" s="1419"/>
      <c r="L39" s="1865"/>
      <c r="M39" s="1866"/>
      <c r="N39" s="1866"/>
      <c r="O39" s="1866"/>
      <c r="P39" s="3911" t="str">
        <f>A39</f>
        <v>估价对象XX用房的比较价格（楼面单价，元/平方米）</v>
      </c>
      <c r="Q39" s="3912"/>
      <c r="R39" s="4020" t="e">
        <f>IF(F1="售价",ROUND(IF(D38="简单平均",AVERAGE(R38:W38),R38*F38+T38*H38+V38*J38),0),ROUND(IF(D38="简单平均",AVERAGE(R38:V38),R38*F38+T38*H38+V38*J38),1))</f>
        <v>#DIV/0!</v>
      </c>
      <c r="S39" s="4020"/>
      <c r="T39" s="4020"/>
      <c r="U39" s="4020"/>
      <c r="V39" s="4020"/>
      <c r="W39" s="4020"/>
      <c r="X39" s="1374"/>
      <c r="Y39" s="1374"/>
      <c r="Z39" s="1374"/>
      <c r="AA39" s="1374"/>
      <c r="AB39" s="1374"/>
      <c r="AC39" s="1374"/>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5" customFormat="1" ht="13.5" customHeight="1">
      <c r="A44" s="2953"/>
      <c r="B44" s="2953"/>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5"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6" t="s">
        <v>522</v>
      </c>
      <c r="B47" s="1374"/>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7" customFormat="1" ht="15">
      <c r="A48" s="613" t="s">
        <v>478</v>
      </c>
      <c r="B48" s="614"/>
      <c r="C48" s="2280" t="str">
        <f>YEAR(C7)&amp;"-"&amp;MONTH(C7)</f>
        <v>2023-12</v>
      </c>
      <c r="D48" s="2282">
        <f>EDATE(C48,-1)</f>
        <v>45231</v>
      </c>
      <c r="E48" s="2282">
        <f t="shared" ref="E48:O48" si="13">EDATE(D48,-1)</f>
        <v>45200</v>
      </c>
      <c r="F48" s="2282">
        <f t="shared" si="13"/>
        <v>45170</v>
      </c>
      <c r="G48" s="2282">
        <f t="shared" si="13"/>
        <v>45139</v>
      </c>
      <c r="H48" s="2282">
        <f t="shared" si="13"/>
        <v>45108</v>
      </c>
      <c r="I48" s="2282">
        <f t="shared" si="13"/>
        <v>45078</v>
      </c>
      <c r="J48" s="2282">
        <f t="shared" si="13"/>
        <v>45047</v>
      </c>
      <c r="K48" s="2282">
        <f t="shared" si="13"/>
        <v>45017</v>
      </c>
      <c r="L48" s="2282">
        <f t="shared" si="13"/>
        <v>44986</v>
      </c>
      <c r="M48" s="2282">
        <f t="shared" si="13"/>
        <v>44958</v>
      </c>
      <c r="N48" s="2282">
        <f t="shared" si="13"/>
        <v>44927</v>
      </c>
      <c r="O48" s="2282">
        <f t="shared" si="13"/>
        <v>44896</v>
      </c>
      <c r="P48" s="1880"/>
      <c r="Q48" s="1881"/>
      <c r="R48" s="1881"/>
      <c r="S48" s="1881"/>
      <c r="T48" s="1881"/>
      <c r="U48" s="1881"/>
      <c r="V48" s="1881"/>
      <c r="W48" s="1881"/>
      <c r="X48" s="1881"/>
      <c r="Y48" s="1881"/>
      <c r="Z48" s="1881"/>
      <c r="AA48" s="1881"/>
      <c r="AB48" s="1881"/>
      <c r="AC48" s="1881"/>
    </row>
    <row r="49" spans="1:29" s="1118"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8"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8"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8"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8">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200"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200"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200"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200"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1839</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1840</v>
      </c>
      <c r="C67" s="2204" t="s">
        <v>1841</v>
      </c>
      <c r="D67" s="2204" t="s">
        <v>1842</v>
      </c>
      <c r="E67" s="2204" t="s">
        <v>1843</v>
      </c>
      <c r="F67" s="2204" t="s">
        <v>1844</v>
      </c>
      <c r="G67" s="2204" t="s">
        <v>1845</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8" customFormat="1" ht="15.75" thickTop="1">
      <c r="A73" s="677"/>
      <c r="B73" s="641">
        <f>B23</f>
        <v>111</v>
      </c>
      <c r="C73" s="511"/>
      <c r="D73" s="511"/>
      <c r="E73" s="511"/>
      <c r="F73" s="511"/>
      <c r="G73" s="656"/>
      <c r="H73" s="656"/>
      <c r="I73" s="656"/>
      <c r="J73" s="656"/>
      <c r="K73" s="656"/>
      <c r="L73" s="853"/>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8" customFormat="1" ht="15.75" thickTop="1">
      <c r="A75" s="677"/>
      <c r="B75" s="641">
        <f>B24</f>
        <v>111</v>
      </c>
      <c r="C75" s="511"/>
      <c r="D75" s="511"/>
      <c r="E75" s="511"/>
      <c r="F75" s="511"/>
      <c r="G75" s="656"/>
      <c r="H75" s="656"/>
      <c r="I75" s="656"/>
      <c r="J75" s="656"/>
      <c r="K75" s="656"/>
      <c r="L75" s="656"/>
      <c r="M75" s="854"/>
      <c r="N75" s="1882"/>
      <c r="O75" s="1882"/>
      <c r="P75" s="1885"/>
      <c r="Q75" s="1878"/>
      <c r="R75" s="1744"/>
      <c r="S75" s="1744"/>
      <c r="T75" s="1744"/>
      <c r="U75" s="1744"/>
      <c r="V75" s="1744"/>
      <c r="W75" s="1744"/>
      <c r="X75" s="1744"/>
      <c r="Y75" s="1744"/>
      <c r="Z75" s="1744"/>
      <c r="AA75" s="1744"/>
      <c r="AB75" s="1744"/>
      <c r="AC75" s="1744"/>
    </row>
    <row r="76" spans="1:29" s="1118"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200"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200"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9"/>
      <c r="D81" s="899"/>
      <c r="E81" s="899"/>
      <c r="F81" s="899"/>
      <c r="G81" s="899"/>
      <c r="H81" s="899"/>
      <c r="I81" s="899"/>
      <c r="J81" s="899"/>
      <c r="K81" s="900"/>
      <c r="L81" s="901"/>
      <c r="M81" s="902"/>
      <c r="N81" s="1882"/>
      <c r="O81" s="1882"/>
      <c r="P81" s="1885"/>
      <c r="Q81" s="1878"/>
      <c r="R81" s="1866"/>
      <c r="S81" s="1866"/>
      <c r="T81" s="1866"/>
      <c r="U81" s="1866"/>
      <c r="V81" s="1866"/>
      <c r="W81" s="1866"/>
      <c r="X81" s="1866"/>
      <c r="Y81" s="1866"/>
      <c r="Z81" s="1866"/>
      <c r="AA81" s="1866"/>
      <c r="AB81" s="1866"/>
      <c r="AC81" s="1866"/>
    </row>
    <row r="82" spans="1:29" s="1200"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7">
        <v>0.5</v>
      </c>
      <c r="D86" s="857">
        <v>0.6</v>
      </c>
      <c r="E86" s="857">
        <v>0.7</v>
      </c>
      <c r="F86" s="857">
        <v>0.8</v>
      </c>
      <c r="G86" s="857">
        <v>0.9</v>
      </c>
      <c r="H86" s="857">
        <v>1.0001</v>
      </c>
      <c r="I86" s="868"/>
      <c r="J86" s="868"/>
      <c r="K86" s="869"/>
      <c r="L86" s="870"/>
      <c r="M86" s="871"/>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200"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80">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200"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200"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913" t="s">
        <v>738</v>
      </c>
      <c r="D4" s="3914"/>
      <c r="E4" s="3939" t="s">
        <v>739</v>
      </c>
      <c r="F4" s="3940"/>
      <c r="G4" s="3913" t="s">
        <v>740</v>
      </c>
      <c r="H4" s="3914"/>
      <c r="I4" s="3913" t="s">
        <v>741</v>
      </c>
      <c r="J4" s="3914"/>
      <c r="K4" s="484" t="s">
        <v>742</v>
      </c>
      <c r="L4" s="1854"/>
      <c r="M4" s="1855"/>
      <c r="N4" s="1855"/>
      <c r="O4" s="1855"/>
      <c r="P4" s="3915" t="s">
        <v>743</v>
      </c>
      <c r="Q4" s="3916"/>
      <c r="R4" s="3899" t="s">
        <v>739</v>
      </c>
      <c r="S4" s="3900"/>
      <c r="T4" s="3899" t="s">
        <v>740</v>
      </c>
      <c r="U4" s="3900"/>
      <c r="V4" s="3921" t="s">
        <v>741</v>
      </c>
      <c r="W4" s="3921"/>
      <c r="X4" s="1379"/>
      <c r="Y4" s="3899" t="s">
        <v>743</v>
      </c>
      <c r="Z4" s="3900"/>
      <c r="AA4" s="3894" t="s">
        <v>739</v>
      </c>
      <c r="AB4" s="3895" t="s">
        <v>740</v>
      </c>
      <c r="AC4" s="3894" t="s">
        <v>741</v>
      </c>
    </row>
    <row r="5" spans="1:29" ht="15">
      <c r="A5" s="485"/>
      <c r="B5" s="486"/>
      <c r="C5" s="3924" t="s">
        <v>2186</v>
      </c>
      <c r="D5" s="3925"/>
      <c r="E5" s="3941" t="s">
        <v>2187</v>
      </c>
      <c r="F5" s="3942"/>
      <c r="G5" s="3924" t="s">
        <v>2188</v>
      </c>
      <c r="H5" s="3925"/>
      <c r="I5" s="3924" t="s">
        <v>2189</v>
      </c>
      <c r="J5" s="3925"/>
      <c r="K5" s="484"/>
      <c r="L5" s="1854"/>
      <c r="M5" s="1855"/>
      <c r="N5" s="1855"/>
      <c r="O5" s="1855"/>
      <c r="P5" s="3917"/>
      <c r="Q5" s="3918"/>
      <c r="R5" s="3901"/>
      <c r="S5" s="3902"/>
      <c r="T5" s="3901"/>
      <c r="U5" s="3902"/>
      <c r="V5" s="3921"/>
      <c r="W5" s="3921"/>
      <c r="X5" s="1379"/>
      <c r="Y5" s="3901"/>
      <c r="Z5" s="3902"/>
      <c r="AA5" s="3895"/>
      <c r="AB5" s="3895"/>
      <c r="AC5" s="3895"/>
    </row>
    <row r="6" spans="1:29" ht="15.75" thickBot="1">
      <c r="A6" s="487"/>
      <c r="B6" s="488"/>
      <c r="C6" s="3922" t="s">
        <v>2190</v>
      </c>
      <c r="D6" s="3923"/>
      <c r="E6" s="3943" t="s">
        <v>2190</v>
      </c>
      <c r="F6" s="3944"/>
      <c r="G6" s="3922" t="s">
        <v>2190</v>
      </c>
      <c r="H6" s="3923"/>
      <c r="I6" s="3922" t="s">
        <v>2190</v>
      </c>
      <c r="J6" s="3923"/>
      <c r="K6" s="484" t="s">
        <v>477</v>
      </c>
      <c r="L6" s="1854"/>
      <c r="M6" s="1855"/>
      <c r="N6" s="1855"/>
      <c r="O6" s="1855"/>
      <c r="P6" s="3919"/>
      <c r="Q6" s="3920"/>
      <c r="R6" s="3901"/>
      <c r="S6" s="3902"/>
      <c r="T6" s="3903"/>
      <c r="U6" s="3904"/>
      <c r="V6" s="3921"/>
      <c r="W6" s="3921"/>
      <c r="X6" s="1379"/>
      <c r="Y6" s="3903"/>
      <c r="Z6" s="3904"/>
      <c r="AA6" s="3896"/>
      <c r="AB6" s="3896"/>
      <c r="AC6" s="3896"/>
    </row>
    <row r="7" spans="1:29" s="1118" customFormat="1" ht="15.75" thickBot="1">
      <c r="A7" s="2390"/>
      <c r="B7" s="2397" t="s">
        <v>478</v>
      </c>
      <c r="C7" s="489">
        <f>'数据-取费表'!B2</f>
        <v>45266</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7" t="s">
        <v>479</v>
      </c>
      <c r="Q7" s="3906"/>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8"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7" t="s">
        <v>482</v>
      </c>
      <c r="Q8" s="3898"/>
      <c r="R8" s="1380" t="s">
        <v>5</v>
      </c>
      <c r="S8" s="1381">
        <f t="shared" si="0"/>
        <v>0</v>
      </c>
      <c r="T8" s="1380" t="s">
        <v>5</v>
      </c>
      <c r="U8" s="1381">
        <f t="shared" si="1"/>
        <v>0</v>
      </c>
      <c r="V8" s="1380" t="s">
        <v>5</v>
      </c>
      <c r="W8" s="1381">
        <f t="shared" si="2"/>
        <v>0</v>
      </c>
      <c r="X8" s="1382"/>
      <c r="Y8" s="3897" t="s">
        <v>482</v>
      </c>
      <c r="Z8" s="3898"/>
      <c r="AA8" s="1383" t="e">
        <f t="shared" ref="AA8:AA34" si="3">D8/F8</f>
        <v>#DIV/0!</v>
      </c>
      <c r="AB8" s="1383" t="e">
        <f t="shared" ref="AB8:AB34" si="4">D8/H8</f>
        <v>#DIV/0!</v>
      </c>
      <c r="AC8" s="1383" t="e">
        <f t="shared" ref="AC8:AC34" si="5">D8/J8</f>
        <v>#DIV/0!</v>
      </c>
    </row>
    <row r="9" spans="1:29" s="1118" customFormat="1" ht="15">
      <c r="A9" s="2392"/>
      <c r="B9" s="2399" t="s">
        <v>2037</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905" t="s">
        <v>484</v>
      </c>
      <c r="Q9" s="1050" t="str">
        <f t="shared" ref="Q9:Q14" si="6">B9</f>
        <v>用途</v>
      </c>
      <c r="R9" s="1380" t="s">
        <v>5</v>
      </c>
      <c r="S9" s="1381">
        <f t="shared" si="0"/>
        <v>100</v>
      </c>
      <c r="T9" s="1380" t="s">
        <v>5</v>
      </c>
      <c r="U9" s="1381">
        <f t="shared" si="1"/>
        <v>100</v>
      </c>
      <c r="V9" s="1380" t="s">
        <v>5</v>
      </c>
      <c r="W9" s="1381">
        <f t="shared" si="2"/>
        <v>100</v>
      </c>
      <c r="X9" s="1382"/>
      <c r="Y9" s="3857"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05"/>
      <c r="Q10" s="1050" t="str">
        <f t="shared" si="6"/>
        <v>土地使用年限（年）</v>
      </c>
      <c r="R10" s="1380" t="s">
        <v>5</v>
      </c>
      <c r="S10" s="1381">
        <f t="shared" si="0"/>
        <v>100</v>
      </c>
      <c r="T10" s="1380" t="s">
        <v>5</v>
      </c>
      <c r="U10" s="1381">
        <f t="shared" si="1"/>
        <v>100</v>
      </c>
      <c r="V10" s="1380" t="s">
        <v>5</v>
      </c>
      <c r="W10" s="1381">
        <f t="shared" si="2"/>
        <v>100</v>
      </c>
      <c r="X10" s="1382"/>
      <c r="Y10" s="3857"/>
      <c r="Z10" s="1049" t="str">
        <f t="shared" si="7"/>
        <v>土地使用年限（年）</v>
      </c>
      <c r="AA10" s="1383">
        <f t="shared" si="3"/>
        <v>1</v>
      </c>
      <c r="AB10" s="1383">
        <f t="shared" si="4"/>
        <v>1</v>
      </c>
      <c r="AC10" s="1383">
        <f t="shared" si="5"/>
        <v>1</v>
      </c>
    </row>
    <row r="11" spans="1:29" ht="15">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905"/>
      <c r="Q11" s="1050">
        <f t="shared" si="6"/>
        <v>111</v>
      </c>
      <c r="R11" s="1380" t="s">
        <v>5</v>
      </c>
      <c r="S11" s="1381">
        <f t="shared" si="0"/>
        <v>100</v>
      </c>
      <c r="T11" s="1380" t="s">
        <v>5</v>
      </c>
      <c r="U11" s="1381">
        <f t="shared" si="1"/>
        <v>100</v>
      </c>
      <c r="V11" s="1380" t="s">
        <v>5</v>
      </c>
      <c r="W11" s="1381">
        <f t="shared" si="2"/>
        <v>100</v>
      </c>
      <c r="X11" s="1382"/>
      <c r="Y11" s="3857"/>
      <c r="Z11" s="1049">
        <f t="shared" si="7"/>
        <v>111</v>
      </c>
      <c r="AA11" s="1383">
        <f t="shared" si="3"/>
        <v>1</v>
      </c>
      <c r="AB11" s="1383">
        <f t="shared" si="4"/>
        <v>1</v>
      </c>
      <c r="AC11" s="1383">
        <f t="shared" si="5"/>
        <v>1</v>
      </c>
    </row>
    <row r="12" spans="1:29" s="1118" customFormat="1" ht="15">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905"/>
      <c r="Q12" s="1050">
        <f t="shared" si="6"/>
        <v>111</v>
      </c>
      <c r="R12" s="1380" t="s">
        <v>5</v>
      </c>
      <c r="S12" s="1381">
        <f t="shared" si="0"/>
        <v>100</v>
      </c>
      <c r="T12" s="1380" t="s">
        <v>5</v>
      </c>
      <c r="U12" s="1381">
        <f t="shared" si="1"/>
        <v>100</v>
      </c>
      <c r="V12" s="1380" t="s">
        <v>5</v>
      </c>
      <c r="W12" s="1381">
        <f t="shared" si="2"/>
        <v>100</v>
      </c>
      <c r="X12" s="1382"/>
      <c r="Y12" s="3857"/>
      <c r="Z12" s="1049">
        <f t="shared" si="7"/>
        <v>111</v>
      </c>
      <c r="AA12" s="1383">
        <f>D12/F12</f>
        <v>1</v>
      </c>
      <c r="AB12" s="1383">
        <f>D12/H12</f>
        <v>1</v>
      </c>
      <c r="AC12" s="1383">
        <f>D12/J12</f>
        <v>1</v>
      </c>
    </row>
    <row r="13" spans="1:29" ht="15.75"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905"/>
      <c r="Q13" s="1050">
        <f t="shared" si="6"/>
        <v>111</v>
      </c>
      <c r="R13" s="1380" t="s">
        <v>5</v>
      </c>
      <c r="S13" s="1381">
        <f t="shared" si="0"/>
        <v>100</v>
      </c>
      <c r="T13" s="1380" t="s">
        <v>5</v>
      </c>
      <c r="U13" s="1381">
        <f t="shared" si="1"/>
        <v>100</v>
      </c>
      <c r="V13" s="1380" t="s">
        <v>5</v>
      </c>
      <c r="W13" s="1381">
        <f t="shared" si="2"/>
        <v>100</v>
      </c>
      <c r="X13" s="1382"/>
      <c r="Y13" s="3857"/>
      <c r="Z13" s="1049">
        <f t="shared" si="7"/>
        <v>111</v>
      </c>
      <c r="AA13" s="1383">
        <f t="shared" si="3"/>
        <v>1</v>
      </c>
      <c r="AB13" s="1383">
        <f t="shared" si="4"/>
        <v>1</v>
      </c>
      <c r="AC13" s="1383">
        <f t="shared" si="5"/>
        <v>1</v>
      </c>
    </row>
    <row r="14" spans="1:29" ht="15">
      <c r="A14" s="2388"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3"/>
      <c r="M14" s="1855"/>
      <c r="N14" s="1855"/>
      <c r="O14" s="1862"/>
      <c r="P14" s="3907" t="s">
        <v>489</v>
      </c>
      <c r="Q14" s="1384" t="str">
        <f t="shared" si="6"/>
        <v>交通便捷度</v>
      </c>
      <c r="R14" s="1385" t="s">
        <v>5</v>
      </c>
      <c r="S14" s="1386">
        <f t="shared" si="0"/>
        <v>100</v>
      </c>
      <c r="T14" s="1385" t="s">
        <v>5</v>
      </c>
      <c r="U14" s="1386">
        <f t="shared" si="1"/>
        <v>100</v>
      </c>
      <c r="V14" s="1385" t="s">
        <v>5</v>
      </c>
      <c r="W14" s="1386">
        <f t="shared" si="2"/>
        <v>100</v>
      </c>
      <c r="X14" s="1379"/>
      <c r="Y14" s="3907"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3"/>
      <c r="M15" s="1855"/>
      <c r="N15" s="1855"/>
      <c r="O15" s="1862"/>
      <c r="P15" s="3908"/>
      <c r="Q15" s="1384"/>
      <c r="R15" s="1385"/>
      <c r="S15" s="1386"/>
      <c r="T15" s="1385"/>
      <c r="U15" s="1386"/>
      <c r="V15" s="1385"/>
      <c r="W15" s="1386"/>
      <c r="X15" s="1379"/>
      <c r="Y15" s="3908"/>
      <c r="Z15" s="1387"/>
      <c r="AA15" s="1388">
        <v>1</v>
      </c>
      <c r="AB15" s="1388">
        <v>1</v>
      </c>
      <c r="AC15" s="1388">
        <v>1</v>
      </c>
    </row>
    <row r="16" spans="1:29" ht="15">
      <c r="A16" s="502"/>
      <c r="B16" s="2209"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3"/>
      <c r="M16" s="1855"/>
      <c r="N16" s="1855"/>
      <c r="O16" s="1862"/>
      <c r="P16" s="3908"/>
      <c r="Q16" s="1384" t="str">
        <f>B16</f>
        <v>公共配套设施</v>
      </c>
      <c r="R16" s="1385" t="s">
        <v>5</v>
      </c>
      <c r="S16" s="1386">
        <f>F16</f>
        <v>100</v>
      </c>
      <c r="T16" s="1385" t="s">
        <v>5</v>
      </c>
      <c r="U16" s="1386">
        <f>H16</f>
        <v>100</v>
      </c>
      <c r="V16" s="1385" t="s">
        <v>5</v>
      </c>
      <c r="W16" s="1386">
        <f>J16</f>
        <v>100</v>
      </c>
      <c r="X16" s="1379"/>
      <c r="Y16" s="3908"/>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3"/>
      <c r="M17" s="1855"/>
      <c r="N17" s="1855"/>
      <c r="O17" s="1862"/>
      <c r="P17" s="3908"/>
      <c r="Q17" s="1384"/>
      <c r="R17" s="1385"/>
      <c r="S17" s="1386"/>
      <c r="T17" s="1385"/>
      <c r="U17" s="1386"/>
      <c r="V17" s="1385"/>
      <c r="W17" s="1386"/>
      <c r="X17" s="1379"/>
      <c r="Y17" s="3908"/>
      <c r="Z17" s="1387"/>
      <c r="AA17" s="1388">
        <v>1</v>
      </c>
      <c r="AB17" s="1388">
        <v>1</v>
      </c>
      <c r="AC17" s="1388">
        <v>1</v>
      </c>
    </row>
    <row r="18" spans="1:29" ht="15">
      <c r="A18" s="502"/>
      <c r="B18" s="2197" t="s">
        <v>1840</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3"/>
      <c r="M18" s="1855"/>
      <c r="N18" s="1855"/>
      <c r="O18" s="1862"/>
      <c r="P18" s="3908"/>
      <c r="Q18" s="2191" t="str">
        <f>B18</f>
        <v>基础设施水平</v>
      </c>
      <c r="R18" s="1385" t="s">
        <v>5</v>
      </c>
      <c r="S18" s="1386">
        <f>F18</f>
        <v>100</v>
      </c>
      <c r="T18" s="1385" t="s">
        <v>5</v>
      </c>
      <c r="U18" s="1386">
        <f>H18</f>
        <v>100</v>
      </c>
      <c r="V18" s="1385" t="s">
        <v>5</v>
      </c>
      <c r="W18" s="1386">
        <f>J18</f>
        <v>100</v>
      </c>
      <c r="X18" s="2193"/>
      <c r="Y18" s="3908"/>
      <c r="Z18" s="2192" t="str">
        <f>Q18</f>
        <v>基础设施水平</v>
      </c>
      <c r="AA18" s="1388">
        <f>D18/F18</f>
        <v>1</v>
      </c>
      <c r="AB18" s="1388">
        <f>D18/H18</f>
        <v>1</v>
      </c>
      <c r="AC18" s="1388">
        <f>D18/J18</f>
        <v>1</v>
      </c>
    </row>
    <row r="19" spans="1:29" ht="15">
      <c r="A19" s="502"/>
      <c r="B19" s="548"/>
      <c r="C19" s="836"/>
      <c r="D19" s="529"/>
      <c r="E19" s="836"/>
      <c r="F19" s="533"/>
      <c r="G19" s="836"/>
      <c r="H19" s="525"/>
      <c r="I19" s="546"/>
      <c r="J19" s="525"/>
      <c r="K19" s="2208"/>
      <c r="L19" s="1863"/>
      <c r="M19" s="1855"/>
      <c r="N19" s="1855"/>
      <c r="O19" s="1862"/>
      <c r="P19" s="3908"/>
      <c r="Q19" s="2191"/>
      <c r="R19" s="1385"/>
      <c r="S19" s="1386"/>
      <c r="T19" s="1385"/>
      <c r="U19" s="1386"/>
      <c r="V19" s="1385"/>
      <c r="W19" s="1386"/>
      <c r="X19" s="2193"/>
      <c r="Y19" s="3908"/>
      <c r="Z19" s="2192"/>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3"/>
      <c r="M20" s="1855"/>
      <c r="N20" s="1855"/>
      <c r="O20" s="1862"/>
      <c r="P20" s="3908"/>
      <c r="Q20" s="1384" t="str">
        <f>B20</f>
        <v>自然及人文环境</v>
      </c>
      <c r="R20" s="1385" t="s">
        <v>5</v>
      </c>
      <c r="S20" s="1386">
        <f>F20</f>
        <v>100</v>
      </c>
      <c r="T20" s="1385" t="s">
        <v>5</v>
      </c>
      <c r="U20" s="1386">
        <f>H20</f>
        <v>100</v>
      </c>
      <c r="V20" s="1385" t="s">
        <v>5</v>
      </c>
      <c r="W20" s="1386">
        <f>J20</f>
        <v>100</v>
      </c>
      <c r="X20" s="1379"/>
      <c r="Y20" s="3908"/>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3"/>
      <c r="M21" s="1855"/>
      <c r="N21" s="1855"/>
      <c r="O21" s="1862"/>
      <c r="P21" s="3908"/>
      <c r="Q21" s="1384"/>
      <c r="R21" s="1385"/>
      <c r="S21" s="1386"/>
      <c r="T21" s="1385"/>
      <c r="U21" s="1386"/>
      <c r="V21" s="1385"/>
      <c r="W21" s="1386"/>
      <c r="X21" s="1379"/>
      <c r="Y21" s="3908"/>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08"/>
      <c r="Q22" s="1384" t="str">
        <f>B22</f>
        <v>楼层</v>
      </c>
      <c r="R22" s="1385" t="s">
        <v>5</v>
      </c>
      <c r="S22" s="1386">
        <f>F22</f>
        <v>100</v>
      </c>
      <c r="T22" s="1385" t="s">
        <v>5</v>
      </c>
      <c r="U22" s="1386">
        <f>H22</f>
        <v>100</v>
      </c>
      <c r="V22" s="1385" t="s">
        <v>5</v>
      </c>
      <c r="W22" s="1386">
        <f>J22</f>
        <v>100</v>
      </c>
      <c r="X22" s="1379"/>
      <c r="Y22" s="3908"/>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08"/>
      <c r="Q23" s="1384">
        <f>B23</f>
        <v>111</v>
      </c>
      <c r="R23" s="1385" t="s">
        <v>5</v>
      </c>
      <c r="S23" s="1386">
        <f>F23</f>
        <v>100</v>
      </c>
      <c r="T23" s="1385" t="s">
        <v>5</v>
      </c>
      <c r="U23" s="1386">
        <f>H23</f>
        <v>100</v>
      </c>
      <c r="V23" s="1385" t="s">
        <v>5</v>
      </c>
      <c r="W23" s="1386">
        <f>J23</f>
        <v>100</v>
      </c>
      <c r="X23" s="1379"/>
      <c r="Y23" s="3908"/>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08"/>
      <c r="Q24" s="1384">
        <f t="shared" ref="Q24:Q34" si="8">B24</f>
        <v>111</v>
      </c>
      <c r="R24" s="1385" t="s">
        <v>5</v>
      </c>
      <c r="S24" s="1386">
        <f>F24</f>
        <v>100</v>
      </c>
      <c r="T24" s="1385" t="s">
        <v>5</v>
      </c>
      <c r="U24" s="1386">
        <f>H24</f>
        <v>100</v>
      </c>
      <c r="V24" s="1385" t="s">
        <v>5</v>
      </c>
      <c r="W24" s="1386">
        <f>J24</f>
        <v>100</v>
      </c>
      <c r="X24" s="1379"/>
      <c r="Y24" s="3908"/>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6"/>
      <c r="M25" s="1857"/>
      <c r="N25" s="1857"/>
      <c r="O25" s="1858"/>
      <c r="P25" s="3908"/>
      <c r="Q25" s="1050">
        <f t="shared" si="8"/>
        <v>111</v>
      </c>
      <c r="R25" s="1380" t="s">
        <v>5</v>
      </c>
      <c r="S25" s="1381">
        <f>F25</f>
        <v>100</v>
      </c>
      <c r="T25" s="1380" t="s">
        <v>5</v>
      </c>
      <c r="U25" s="1381">
        <f>H25</f>
        <v>100</v>
      </c>
      <c r="V25" s="1380" t="s">
        <v>5</v>
      </c>
      <c r="W25" s="1381">
        <f>J25</f>
        <v>100</v>
      </c>
      <c r="X25" s="1382"/>
      <c r="Y25" s="3908"/>
      <c r="Z25" s="1049">
        <f>Q25</f>
        <v>111</v>
      </c>
      <c r="AA25" s="1388">
        <f>D25/F25</f>
        <v>1</v>
      </c>
      <c r="AB25" s="1388">
        <f>D25/H25</f>
        <v>1</v>
      </c>
      <c r="AC25" s="1388">
        <f>D25/J25</f>
        <v>1</v>
      </c>
    </row>
    <row r="26" spans="1:29" ht="15">
      <c r="A26" s="2385"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3"/>
      <c r="M26" s="1855"/>
      <c r="N26" s="1855"/>
      <c r="O26" s="1862"/>
      <c r="P26" s="390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0"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1"/>
      <c r="M27" s="1891"/>
      <c r="N27" s="1891"/>
      <c r="O27" s="1864"/>
      <c r="P27" s="3910"/>
      <c r="Q27" s="1413" t="str">
        <f t="shared" si="8"/>
        <v>成新率</v>
      </c>
      <c r="R27" s="1389" t="s">
        <v>5</v>
      </c>
      <c r="S27" s="1390" t="e">
        <f t="shared" si="9"/>
        <v>#N/A</v>
      </c>
      <c r="T27" s="1389" t="s">
        <v>5</v>
      </c>
      <c r="U27" s="1390" t="e">
        <f t="shared" si="10"/>
        <v>#N/A</v>
      </c>
      <c r="V27" s="1389" t="s">
        <v>5</v>
      </c>
      <c r="W27" s="1390" t="e">
        <f t="shared" si="11"/>
        <v>#N/A</v>
      </c>
      <c r="X27" s="1391"/>
      <c r="Y27" s="3910"/>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10"/>
      <c r="Q28" s="1384" t="str">
        <f t="shared" si="8"/>
        <v>物业等级</v>
      </c>
      <c r="R28" s="1385" t="s">
        <v>5</v>
      </c>
      <c r="S28" s="1386">
        <f t="shared" si="9"/>
        <v>100</v>
      </c>
      <c r="T28" s="1385" t="s">
        <v>5</v>
      </c>
      <c r="U28" s="1386">
        <f t="shared" si="10"/>
        <v>100</v>
      </c>
      <c r="V28" s="1385" t="s">
        <v>5</v>
      </c>
      <c r="W28" s="1386">
        <f t="shared" si="11"/>
        <v>100</v>
      </c>
      <c r="X28" s="1379"/>
      <c r="Y28" s="3910"/>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3"/>
      <c r="M29" s="1855"/>
      <c r="N29" s="1855"/>
      <c r="O29" s="1862"/>
      <c r="P29" s="3910"/>
      <c r="Q29" s="1384" t="str">
        <f t="shared" si="8"/>
        <v>有无电梯</v>
      </c>
      <c r="R29" s="1385" t="s">
        <v>5</v>
      </c>
      <c r="S29" s="1386">
        <f t="shared" si="9"/>
        <v>100</v>
      </c>
      <c r="T29" s="1385" t="s">
        <v>5</v>
      </c>
      <c r="U29" s="1386">
        <f t="shared" si="10"/>
        <v>100</v>
      </c>
      <c r="V29" s="1385" t="s">
        <v>5</v>
      </c>
      <c r="W29" s="1386">
        <f t="shared" si="11"/>
        <v>100</v>
      </c>
      <c r="X29" s="1379"/>
      <c r="Y29" s="3910"/>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10"/>
      <c r="Q30" s="1384" t="str">
        <f t="shared" si="8"/>
        <v>建筑面积</v>
      </c>
      <c r="R30" s="1385" t="s">
        <v>5</v>
      </c>
      <c r="S30" s="1386" t="e">
        <f t="shared" si="9"/>
        <v>#N/A</v>
      </c>
      <c r="T30" s="1385" t="s">
        <v>5</v>
      </c>
      <c r="U30" s="1386" t="e">
        <f t="shared" si="10"/>
        <v>#N/A</v>
      </c>
      <c r="V30" s="1385" t="s">
        <v>5</v>
      </c>
      <c r="W30" s="1386" t="e">
        <f t="shared" si="11"/>
        <v>#N/A</v>
      </c>
      <c r="X30" s="1379"/>
      <c r="Y30" s="3910"/>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6"/>
      <c r="M31" s="1857"/>
      <c r="N31" s="1857"/>
      <c r="O31" s="1858"/>
      <c r="P31" s="3910"/>
      <c r="Q31" s="1050" t="str">
        <f t="shared" si="8"/>
        <v>是否封闭</v>
      </c>
      <c r="R31" s="1380" t="s">
        <v>5</v>
      </c>
      <c r="S31" s="1381">
        <f t="shared" si="9"/>
        <v>100</v>
      </c>
      <c r="T31" s="1380" t="s">
        <v>5</v>
      </c>
      <c r="U31" s="1381">
        <f t="shared" si="10"/>
        <v>100</v>
      </c>
      <c r="V31" s="1380" t="s">
        <v>5</v>
      </c>
      <c r="W31" s="1381">
        <f t="shared" si="11"/>
        <v>100</v>
      </c>
      <c r="X31" s="1382"/>
      <c r="Y31" s="3910"/>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10" t="s">
        <v>499</v>
      </c>
      <c r="Q32" s="1384">
        <f t="shared" si="8"/>
        <v>111</v>
      </c>
      <c r="R32" s="1385" t="s">
        <v>5</v>
      </c>
      <c r="S32" s="1386">
        <f t="shared" si="9"/>
        <v>100</v>
      </c>
      <c r="T32" s="1385" t="s">
        <v>5</v>
      </c>
      <c r="U32" s="1386">
        <f t="shared" si="10"/>
        <v>100</v>
      </c>
      <c r="V32" s="1385" t="s">
        <v>5</v>
      </c>
      <c r="W32" s="1386">
        <f t="shared" si="11"/>
        <v>100</v>
      </c>
      <c r="X32" s="1379"/>
      <c r="Y32" s="3910"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10"/>
      <c r="Q33" s="1384">
        <f t="shared" si="8"/>
        <v>111</v>
      </c>
      <c r="R33" s="1385" t="s">
        <v>5</v>
      </c>
      <c r="S33" s="1386">
        <f t="shared" si="9"/>
        <v>100</v>
      </c>
      <c r="T33" s="1385" t="s">
        <v>5</v>
      </c>
      <c r="U33" s="1386">
        <f t="shared" si="10"/>
        <v>100</v>
      </c>
      <c r="V33" s="1385" t="s">
        <v>5</v>
      </c>
      <c r="W33" s="1386">
        <f t="shared" si="11"/>
        <v>100</v>
      </c>
      <c r="X33" s="1379"/>
      <c r="Y33" s="3910"/>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3"/>
      <c r="M34" s="1855"/>
      <c r="N34" s="1855"/>
      <c r="O34" s="1862"/>
      <c r="P34" s="3910"/>
      <c r="Q34" s="1384">
        <f t="shared" si="8"/>
        <v>111</v>
      </c>
      <c r="R34" s="1385" t="s">
        <v>5</v>
      </c>
      <c r="S34" s="1386">
        <f t="shared" si="9"/>
        <v>100</v>
      </c>
      <c r="T34" s="1385" t="s">
        <v>5</v>
      </c>
      <c r="U34" s="1386">
        <f t="shared" si="10"/>
        <v>100</v>
      </c>
      <c r="V34" s="1385" t="s">
        <v>5</v>
      </c>
      <c r="W34" s="1386">
        <f t="shared" si="11"/>
        <v>100</v>
      </c>
      <c r="X34" s="1379"/>
      <c r="Y34" s="3910"/>
      <c r="Z34" s="1387">
        <f t="shared" si="12"/>
        <v>111</v>
      </c>
      <c r="AA34" s="1388">
        <f t="shared" si="3"/>
        <v>1</v>
      </c>
      <c r="AB34" s="1388">
        <f t="shared" si="4"/>
        <v>1</v>
      </c>
      <c r="AC34" s="1388">
        <f t="shared" si="5"/>
        <v>1</v>
      </c>
    </row>
    <row r="35" spans="1:29" ht="15">
      <c r="A35" s="577" t="s">
        <v>683</v>
      </c>
      <c r="B35" s="850"/>
      <c r="C35" s="2232" t="s">
        <v>0</v>
      </c>
      <c r="D35" s="2233"/>
      <c r="E35" s="2234"/>
      <c r="F35" s="2235"/>
      <c r="G35" s="2236"/>
      <c r="H35" s="2237"/>
      <c r="I35" s="2234"/>
      <c r="J35" s="2237"/>
      <c r="K35" s="1418"/>
      <c r="L35" s="1865"/>
      <c r="M35" s="1866"/>
      <c r="N35" s="1855"/>
      <c r="O35" s="1866"/>
      <c r="P35" s="3905" t="str">
        <f>A35</f>
        <v>成交单价（元/平方米）</v>
      </c>
      <c r="Q35" s="3905"/>
      <c r="R35" s="4021">
        <f>E35</f>
        <v>0</v>
      </c>
      <c r="S35" s="4021"/>
      <c r="T35" s="4021">
        <f>G35</f>
        <v>0</v>
      </c>
      <c r="U35" s="4021"/>
      <c r="V35" s="4021">
        <f>I35</f>
        <v>0</v>
      </c>
      <c r="W35" s="4021"/>
      <c r="X35" s="1374"/>
      <c r="Y35" s="1393"/>
      <c r="Z35" s="1374"/>
      <c r="AA35" s="1374"/>
      <c r="AB35" s="1374"/>
      <c r="AC35" s="1374"/>
    </row>
    <row r="36" spans="1:29" ht="15.75" thickBot="1">
      <c r="A36" s="585" t="s">
        <v>2041</v>
      </c>
      <c r="B36" s="851"/>
      <c r="C36" s="2238" t="e">
        <f>R37</f>
        <v>#DIV/0!</v>
      </c>
      <c r="D36" s="2754" t="s">
        <v>2256</v>
      </c>
      <c r="E36" s="2239" t="e">
        <f>R36</f>
        <v>#DIV/0!</v>
      </c>
      <c r="F36" s="2755"/>
      <c r="G36" s="2238" t="e">
        <f>T36</f>
        <v>#DIV/0!</v>
      </c>
      <c r="H36" s="2755"/>
      <c r="I36" s="2239" t="e">
        <f>V36</f>
        <v>#DIV/0!</v>
      </c>
      <c r="J36" s="2755"/>
      <c r="K36" s="2763">
        <f>F36+H36+J36</f>
        <v>0</v>
      </c>
      <c r="L36" s="1865"/>
      <c r="M36" s="1866"/>
      <c r="N36" s="1855"/>
      <c r="O36" s="1866"/>
      <c r="P36" s="3905" t="str">
        <f>A36</f>
        <v>比较价格（元/平方米）</v>
      </c>
      <c r="Q36" s="3905"/>
      <c r="R36" s="4021" t="e">
        <f>IF(F1="售价",ROUND(PRODUCT(R35,AA7:AA34),0),ROUND(PRODUCT(R35,AA7:AA34),1))</f>
        <v>#DIV/0!</v>
      </c>
      <c r="S36" s="4021"/>
      <c r="T36" s="4021" t="e">
        <f>IF(F1="售价",ROUND(PRODUCT(T35,AB7:AB34),0),ROUND(PRODUCT(T35,AB7:AB34),1))</f>
        <v>#DIV/0!</v>
      </c>
      <c r="U36" s="4021"/>
      <c r="V36" s="4021" t="e">
        <f>IF(F1="售价",ROUND(PRODUCT(V35,AC7:AC34),0),ROUND(PRODUCT(V35,AC7:AC34),1))</f>
        <v>#DIV/0!</v>
      </c>
      <c r="W36" s="4021"/>
      <c r="X36" s="1374"/>
      <c r="Y36" s="1374"/>
      <c r="Z36" s="1374"/>
      <c r="AA36" s="1374"/>
      <c r="AB36" s="1374"/>
      <c r="AC36" s="1374"/>
    </row>
    <row r="37" spans="1:29" ht="15.75" thickBot="1">
      <c r="A37" s="589" t="s">
        <v>2192</v>
      </c>
      <c r="B37" s="590"/>
      <c r="C37" s="2240" t="e">
        <f>R37</f>
        <v>#DIV/0!</v>
      </c>
      <c r="D37" s="2240"/>
      <c r="E37" s="2240"/>
      <c r="F37" s="2240"/>
      <c r="G37" s="2240"/>
      <c r="H37" s="2240"/>
      <c r="I37" s="2240"/>
      <c r="J37" s="2240"/>
      <c r="K37" s="1419"/>
      <c r="L37" s="1865"/>
      <c r="M37" s="1866"/>
      <c r="N37" s="1866"/>
      <c r="O37" s="1866"/>
      <c r="P37" s="3911" t="str">
        <f>A37</f>
        <v>估价对象XX用房的比较价格（楼面单价，元/平方米）</v>
      </c>
      <c r="Q37" s="3912"/>
      <c r="R37" s="4020" t="e">
        <f>IF(F1="售价",ROUND(IF(D36="简单平均",AVERAGE(R36:W36),R36*F36+T36*H36+V36*J36),0),ROUND(IF(D36="简单平均",AVERAGE(R36:V36),R36*F36+T36*H36+V36*J36),1))</f>
        <v>#DIV/0!</v>
      </c>
      <c r="S37" s="4020"/>
      <c r="T37" s="4020"/>
      <c r="U37" s="4020"/>
      <c r="V37" s="4020"/>
      <c r="W37" s="4020"/>
      <c r="X37" s="1374"/>
      <c r="Y37" s="1374"/>
      <c r="Z37" s="1374"/>
      <c r="AA37" s="1374"/>
      <c r="AB37" s="1374"/>
      <c r="AC37" s="1374"/>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5" customFormat="1" ht="13.5" customHeight="1">
      <c r="A42" s="2953"/>
      <c r="B42" s="2953"/>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5"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6" t="s">
        <v>522</v>
      </c>
      <c r="B45" s="1374"/>
      <c r="C45" s="1395"/>
      <c r="D45" s="1395"/>
      <c r="E45" s="1395"/>
      <c r="F45" s="1397"/>
      <c r="G45" s="1397"/>
      <c r="H45" s="1395"/>
      <c r="I45" s="1395"/>
      <c r="J45" s="1395"/>
      <c r="K45" s="1398"/>
      <c r="L45" s="1394"/>
      <c r="M45" s="1395"/>
      <c r="N45" s="1877"/>
      <c r="O45" s="1877"/>
      <c r="P45" s="1877"/>
      <c r="Q45" s="1878"/>
      <c r="R45" s="1866"/>
      <c r="S45" s="1866"/>
      <c r="T45" s="1866"/>
      <c r="U45" s="1866"/>
      <c r="V45" s="1866"/>
      <c r="W45" s="1866"/>
      <c r="X45" s="1866"/>
      <c r="Y45" s="1866"/>
      <c r="Z45" s="1866"/>
      <c r="AA45" s="1866"/>
      <c r="AB45" s="1866"/>
      <c r="AC45" s="1866"/>
    </row>
    <row r="46" spans="1:29" s="1207" customFormat="1" ht="15">
      <c r="A46" s="613" t="s">
        <v>478</v>
      </c>
      <c r="B46" s="614"/>
      <c r="C46" s="2280" t="str">
        <f>YEAR(C7)&amp;"-"&amp;MONTH(C7)</f>
        <v>2023-12</v>
      </c>
      <c r="D46" s="2282">
        <f>EDATE(C46,-1)</f>
        <v>45231</v>
      </c>
      <c r="E46" s="2282">
        <f t="shared" ref="E46:O46" si="13">EDATE(D46,-1)</f>
        <v>45200</v>
      </c>
      <c r="F46" s="2282">
        <f t="shared" si="13"/>
        <v>45170</v>
      </c>
      <c r="G46" s="2282">
        <f t="shared" si="13"/>
        <v>45139</v>
      </c>
      <c r="H46" s="2282">
        <f t="shared" si="13"/>
        <v>45108</v>
      </c>
      <c r="I46" s="2282">
        <f t="shared" si="13"/>
        <v>45078</v>
      </c>
      <c r="J46" s="2282">
        <f t="shared" si="13"/>
        <v>45047</v>
      </c>
      <c r="K46" s="2282">
        <f t="shared" si="13"/>
        <v>45017</v>
      </c>
      <c r="L46" s="2282">
        <f t="shared" si="13"/>
        <v>44986</v>
      </c>
      <c r="M46" s="2282">
        <f t="shared" si="13"/>
        <v>44958</v>
      </c>
      <c r="N46" s="2282">
        <f t="shared" si="13"/>
        <v>44927</v>
      </c>
      <c r="O46" s="2282">
        <f t="shared" si="13"/>
        <v>44896</v>
      </c>
      <c r="P46" s="1880"/>
      <c r="Q46" s="1881"/>
      <c r="R46" s="1881"/>
      <c r="S46" s="1881"/>
      <c r="T46" s="1881"/>
      <c r="U46" s="1881"/>
      <c r="V46" s="1881"/>
      <c r="W46" s="1881"/>
      <c r="X46" s="1881"/>
      <c r="Y46" s="1881"/>
      <c r="Z46" s="1881"/>
      <c r="AA46" s="1881"/>
      <c r="AB46" s="1881"/>
      <c r="AC46" s="1881"/>
    </row>
    <row r="47" spans="1:29" s="1118"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8"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8"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8"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8">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200"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200"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200"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200"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1839</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1840</v>
      </c>
      <c r="C65" s="2204" t="s">
        <v>1841</v>
      </c>
      <c r="D65" s="2204" t="s">
        <v>1842</v>
      </c>
      <c r="E65" s="2204" t="s">
        <v>1843</v>
      </c>
      <c r="F65" s="2204" t="s">
        <v>1844</v>
      </c>
      <c r="G65" s="2204" t="s">
        <v>1845</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8" customFormat="1" ht="15.75" thickTop="1">
      <c r="A71" s="677"/>
      <c r="B71" s="641">
        <f>B23</f>
        <v>111</v>
      </c>
      <c r="C71" s="511"/>
      <c r="D71" s="511"/>
      <c r="E71" s="511"/>
      <c r="F71" s="511"/>
      <c r="G71" s="656"/>
      <c r="H71" s="656"/>
      <c r="I71" s="656"/>
      <c r="J71" s="656"/>
      <c r="K71" s="656"/>
      <c r="L71" s="853"/>
      <c r="M71" s="854"/>
      <c r="N71" s="1882"/>
      <c r="O71" s="1882"/>
      <c r="P71" s="1885"/>
      <c r="Q71" s="1878"/>
      <c r="R71" s="1744"/>
      <c r="S71" s="1744"/>
      <c r="T71" s="1744"/>
      <c r="U71" s="1744"/>
      <c r="V71" s="1744"/>
      <c r="W71" s="1744"/>
      <c r="X71" s="1744"/>
      <c r="Y71" s="1744"/>
      <c r="Z71" s="1744"/>
      <c r="AA71" s="1744"/>
      <c r="AB71" s="1744"/>
      <c r="AC71" s="1744"/>
    </row>
    <row r="72" spans="1:29" s="1118"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8" customFormat="1" ht="15.75" thickTop="1">
      <c r="A73" s="677"/>
      <c r="B73" s="641">
        <f>B24</f>
        <v>111</v>
      </c>
      <c r="C73" s="511"/>
      <c r="D73" s="511"/>
      <c r="E73" s="511"/>
      <c r="F73" s="511"/>
      <c r="G73" s="656"/>
      <c r="H73" s="656"/>
      <c r="I73" s="656"/>
      <c r="J73" s="656"/>
      <c r="K73" s="656"/>
      <c r="L73" s="656"/>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200"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200"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7">
        <v>0.5</v>
      </c>
      <c r="D80" s="857">
        <v>0.6</v>
      </c>
      <c r="E80" s="857">
        <v>0.7</v>
      </c>
      <c r="F80" s="857">
        <v>0.8</v>
      </c>
      <c r="G80" s="857">
        <v>0.9</v>
      </c>
      <c r="H80" s="857">
        <v>1.0001</v>
      </c>
      <c r="I80" s="898"/>
      <c r="J80" s="898"/>
      <c r="K80" s="908"/>
      <c r="L80" s="909"/>
      <c r="M80" s="910"/>
      <c r="N80" s="1882"/>
      <c r="O80" s="1882"/>
      <c r="P80" s="1885"/>
      <c r="Q80" s="1878"/>
      <c r="R80" s="1866"/>
      <c r="S80" s="1866"/>
      <c r="T80" s="1866"/>
      <c r="U80" s="1866"/>
      <c r="V80" s="1866"/>
      <c r="W80" s="1866"/>
      <c r="X80" s="1866"/>
      <c r="Y80" s="1866"/>
      <c r="Z80" s="1866"/>
      <c r="AA80" s="1866"/>
      <c r="AB80" s="1866"/>
      <c r="AC80" s="1866"/>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200" customFormat="1" ht="15" thickTop="1">
      <c r="A89" s="696"/>
      <c r="B89" s="641" t="s">
        <v>767</v>
      </c>
      <c r="C89" s="656"/>
      <c r="D89" s="656"/>
      <c r="E89" s="656"/>
      <c r="F89" s="656"/>
      <c r="G89" s="656"/>
      <c r="H89" s="656"/>
      <c r="I89" s="656"/>
      <c r="J89" s="656"/>
      <c r="K89" s="656"/>
      <c r="L89" s="656"/>
      <c r="M89" s="854"/>
      <c r="N89" s="1887"/>
      <c r="O89" s="1887"/>
      <c r="P89" s="1888"/>
      <c r="Q89" s="1889"/>
      <c r="R89" s="1890"/>
      <c r="S89" s="1890"/>
      <c r="T89" s="1890"/>
      <c r="U89" s="1890"/>
      <c r="V89" s="1890"/>
      <c r="W89" s="1890"/>
      <c r="X89" s="1890"/>
      <c r="Y89" s="1890"/>
      <c r="Z89" s="1890"/>
      <c r="AA89" s="1890"/>
      <c r="AB89" s="1890"/>
      <c r="AC89" s="1890"/>
    </row>
    <row r="90" spans="1:29" s="1200"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80">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1" t="s">
        <v>1659</v>
      </c>
      <c r="C1" s="4033" t="s">
        <v>1660</v>
      </c>
      <c r="D1" s="4034"/>
      <c r="E1" s="4034"/>
      <c r="F1" s="4034"/>
      <c r="G1" s="4034"/>
      <c r="H1" s="4034"/>
      <c r="I1" s="4034"/>
      <c r="J1" s="4034"/>
      <c r="K1" s="4034"/>
      <c r="L1" s="4034"/>
      <c r="M1" s="4034"/>
      <c r="N1" s="4034"/>
      <c r="O1" s="4034"/>
      <c r="P1" s="4034"/>
      <c r="Q1" s="4034"/>
      <c r="R1" s="4034"/>
      <c r="S1" s="4035"/>
      <c r="T1" s="1951" t="s">
        <v>1661</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3" t="str">
        <f>S3&amp;"(含)"&amp;"-"</f>
        <v>(含)-</v>
      </c>
      <c r="T2" s="914"/>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5"/>
      <c r="C3" s="916"/>
      <c r="D3" s="917"/>
      <c r="E3" s="917"/>
      <c r="F3" s="917"/>
      <c r="G3" s="917"/>
      <c r="H3" s="917"/>
      <c r="I3" s="917"/>
      <c r="J3" s="918"/>
      <c r="K3" s="918"/>
      <c r="L3" s="919"/>
      <c r="M3" s="1956"/>
      <c r="N3" s="1957"/>
      <c r="O3" s="917"/>
      <c r="P3" s="917"/>
      <c r="Q3" s="917"/>
      <c r="R3" s="917"/>
      <c r="S3" s="1958"/>
      <c r="T3" s="920"/>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2185</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2184</v>
      </c>
      <c r="C7" s="1714"/>
      <c r="D7" s="1715"/>
      <c r="E7" s="1715"/>
      <c r="F7" s="1715"/>
      <c r="G7" s="1715"/>
      <c r="H7" s="1715"/>
      <c r="I7" s="1715"/>
      <c r="J7" s="1715"/>
      <c r="K7" s="1715"/>
      <c r="L7" s="1715"/>
      <c r="M7" s="1976"/>
      <c r="N7" s="1977"/>
      <c r="O7" s="1978"/>
      <c r="P7" s="1979"/>
      <c r="Q7" s="1980"/>
      <c r="R7" s="1981"/>
      <c r="S7" s="1982"/>
      <c r="T7" s="921"/>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2183</v>
      </c>
      <c r="C9" s="1714"/>
      <c r="D9" s="1715"/>
      <c r="E9" s="1715"/>
      <c r="F9" s="1715"/>
      <c r="G9" s="1715"/>
      <c r="H9" s="1715"/>
      <c r="I9" s="1715"/>
      <c r="J9" s="1715"/>
      <c r="K9" s="1715"/>
      <c r="L9" s="1716"/>
      <c r="M9" s="1976"/>
      <c r="N9" s="1977"/>
      <c r="O9" s="1978"/>
      <c r="P9" s="1979"/>
      <c r="Q9" s="1980"/>
      <c r="R9" s="1981"/>
      <c r="S9" s="1982"/>
      <c r="T9" s="921"/>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2196</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2182</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2181</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1663</v>
      </c>
      <c r="B17" s="1995" t="s">
        <v>1664</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1"/>
      <c r="C19" s="1741"/>
      <c r="D19" s="1741"/>
      <c r="E19" s="1741"/>
      <c r="F19" s="1741"/>
      <c r="G19" s="1741"/>
      <c r="H19" s="1741"/>
      <c r="I19" s="1741"/>
      <c r="J19" s="1741"/>
      <c r="K19" s="1741"/>
      <c r="L19" s="1741"/>
      <c r="M19" s="1741"/>
      <c r="N19" s="1741"/>
      <c r="O19" s="1741"/>
      <c r="P19" s="1741"/>
      <c r="Q19" s="1741"/>
      <c r="R19" s="1942"/>
      <c r="S19" s="1750"/>
    </row>
    <row r="20" spans="1:45" ht="15.75">
      <c r="A20" s="922"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2"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30" t="s">
        <v>14</v>
      </c>
      <c r="D22" s="4031"/>
      <c r="E22" s="4031"/>
      <c r="F22" s="4031"/>
      <c r="G22" s="4031"/>
      <c r="H22" s="4031"/>
      <c r="I22" s="4031"/>
      <c r="J22" s="4031"/>
      <c r="K22" s="4031"/>
      <c r="L22" s="4031"/>
      <c r="M22" s="4031"/>
      <c r="N22" s="4031"/>
      <c r="O22" s="4031"/>
      <c r="P22" s="4031"/>
      <c r="Q22" s="4032"/>
      <c r="R22" s="467" t="e">
        <f>ROUND(S22*10000/B22,0)</f>
        <v>#DIV/0!</v>
      </c>
      <c r="S22" s="51">
        <f>SUM(S24:S10000)</f>
        <v>0</v>
      </c>
    </row>
    <row r="23" spans="1:45" s="1420" customFormat="1" ht="24">
      <c r="A23" s="15" t="s">
        <v>770</v>
      </c>
      <c r="B23" s="2611"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3">
        <v>1</v>
      </c>
      <c r="D24" s="3014"/>
      <c r="E24" s="3013">
        <v>1</v>
      </c>
      <c r="F24" s="3014"/>
      <c r="G24" s="3013">
        <v>1</v>
      </c>
      <c r="H24" s="3014"/>
      <c r="I24" s="3013">
        <v>1</v>
      </c>
      <c r="J24" s="3014"/>
      <c r="K24" s="3013">
        <v>1</v>
      </c>
      <c r="L24" s="3014"/>
      <c r="M24" s="3013">
        <v>1</v>
      </c>
      <c r="N24" s="3014"/>
      <c r="O24" s="3013">
        <v>1</v>
      </c>
      <c r="P24" s="3014"/>
      <c r="Q24" s="3013">
        <v>1</v>
      </c>
      <c r="R24" s="926"/>
      <c r="S24" s="924">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19" sqref="E19"/>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2064</v>
      </c>
      <c r="C1" s="2480">
        <f>项目基本情况!D3</f>
        <v>45266</v>
      </c>
      <c r="H1" s="2415">
        <f>IF(C1&gt;C13,0,MATCH(C1,C$13:C$111,-1))+IF(SUMIF(C13:C111,C1,D13:D111)=0,13,12)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2095</v>
      </c>
      <c r="C2" s="2481">
        <f>'数据-取费表'!B22</f>
        <v>2</v>
      </c>
      <c r="D2" s="2476" t="s">
        <v>2065</v>
      </c>
      <c r="E2" s="2479">
        <f ca="1">INDIRECT("I"&amp;$I$1)/100</f>
        <v>3.4500000000000003E-2</v>
      </c>
      <c r="G2" s="2417"/>
      <c r="H2" s="2417"/>
      <c r="I2" s="2417" t="s">
        <v>2066</v>
      </c>
      <c r="K2" s="2417"/>
      <c r="L2" s="2417"/>
      <c r="M2" s="2417"/>
      <c r="N2" s="2417" t="s">
        <v>2067</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2097</v>
      </c>
      <c r="C3" s="2478">
        <f>'数据-取费表'!B19</f>
        <v>0</v>
      </c>
      <c r="D3" s="2476" t="s">
        <v>2065</v>
      </c>
      <c r="E3" s="2479">
        <f ca="1">INDIRECT("J"&amp;$J$1)/100</f>
        <v>0</v>
      </c>
      <c r="G3" s="2419" t="s">
        <v>2068</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2096</v>
      </c>
      <c r="C4" s="2479">
        <f ca="1">N4/100</f>
        <v>1.4999999999999999E-2</v>
      </c>
      <c r="G4" s="2425" t="s">
        <v>2069</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2070</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2071</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2072</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2073</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2074</v>
      </c>
      <c r="C10" s="2444"/>
      <c r="D10" s="2444"/>
      <c r="E10" s="2444"/>
      <c r="F10" s="2444"/>
      <c r="G10" s="2444"/>
      <c r="H10" s="2444"/>
      <c r="I10" s="2418"/>
      <c r="J10" s="2418"/>
      <c r="K10" s="2444"/>
      <c r="L10" s="2445" t="s">
        <v>2075</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2076</v>
      </c>
      <c r="C11" s="2449" t="s">
        <v>2077</v>
      </c>
      <c r="D11" s="2450" t="s">
        <v>2078</v>
      </c>
      <c r="E11" s="2451"/>
      <c r="F11" s="2450" t="s">
        <v>2079</v>
      </c>
      <c r="G11" s="2452"/>
      <c r="H11" s="2451"/>
      <c r="I11" s="2450" t="s">
        <v>2080</v>
      </c>
      <c r="J11" s="2451"/>
      <c r="K11" s="2447"/>
      <c r="L11" s="2448" t="s">
        <v>2076</v>
      </c>
      <c r="M11" s="2449" t="s">
        <v>2077</v>
      </c>
      <c r="N11" s="2448" t="s">
        <v>2081</v>
      </c>
      <c r="O11" s="2450" t="s">
        <v>2082</v>
      </c>
      <c r="P11" s="2452"/>
      <c r="Q11" s="2452"/>
      <c r="R11" s="2452"/>
      <c r="S11" s="2452"/>
      <c r="T11" s="2451"/>
      <c r="U11" s="2450" t="s">
        <v>2083</v>
      </c>
      <c r="V11" s="2452"/>
      <c r="W11" s="2451"/>
      <c r="X11" s="2448" t="s">
        <v>2084</v>
      </c>
      <c r="Y11" s="2448" t="s">
        <v>2085</v>
      </c>
      <c r="Z11" s="2448" t="s">
        <v>2086</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2087</v>
      </c>
      <c r="E12" s="2457" t="s">
        <v>2088</v>
      </c>
      <c r="F12" s="2457" t="s">
        <v>2089</v>
      </c>
      <c r="G12" s="2457" t="s">
        <v>2090</v>
      </c>
      <c r="H12" s="2457" t="s">
        <v>2072</v>
      </c>
      <c r="I12" s="2458" t="s">
        <v>2091</v>
      </c>
      <c r="J12" s="2458" t="s">
        <v>2091</v>
      </c>
      <c r="K12" s="2454"/>
      <c r="L12" s="2455"/>
      <c r="M12" s="2456"/>
      <c r="N12" s="2455"/>
      <c r="O12" s="2458" t="s">
        <v>2092</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2093</v>
      </c>
      <c r="C13" s="2462">
        <v>45159</v>
      </c>
      <c r="D13" s="2463">
        <v>3.45</v>
      </c>
      <c r="E13" s="2463">
        <f>D13</f>
        <v>3.45</v>
      </c>
      <c r="F13" s="2463">
        <f>D13</f>
        <v>3.45</v>
      </c>
      <c r="G13" s="2463">
        <f>D13</f>
        <v>3.45</v>
      </c>
      <c r="H13" s="2463">
        <v>4.2</v>
      </c>
      <c r="I13" s="2463"/>
      <c r="J13" s="2463"/>
      <c r="K13" s="2460"/>
      <c r="L13" s="2461" t="s">
        <v>2093</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45097</v>
      </c>
      <c r="D14" s="2467">
        <v>3.55</v>
      </c>
      <c r="E14" s="2467">
        <f>D14</f>
        <v>3.55</v>
      </c>
      <c r="F14" s="2467">
        <f>D14</f>
        <v>3.55</v>
      </c>
      <c r="G14" s="2467">
        <f>D14</f>
        <v>3.55</v>
      </c>
      <c r="H14" s="2467">
        <v>4.2</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44795</v>
      </c>
      <c r="D15" s="2467">
        <v>3.65</v>
      </c>
      <c r="E15" s="2467">
        <v>3.65</v>
      </c>
      <c r="F15" s="2467">
        <v>3.65</v>
      </c>
      <c r="G15" s="2467">
        <v>3.65</v>
      </c>
      <c r="H15" s="2467">
        <v>4.3</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44701</v>
      </c>
      <c r="D16" s="2467">
        <v>3.7</v>
      </c>
      <c r="E16" s="2467">
        <f>D16</f>
        <v>3.7</v>
      </c>
      <c r="F16" s="2467">
        <f>D16</f>
        <v>3.7</v>
      </c>
      <c r="G16" s="2467">
        <f>D16</f>
        <v>3.7</v>
      </c>
      <c r="H16" s="2467">
        <v>4.45</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44581</v>
      </c>
      <c r="D17" s="2467">
        <v>3.7</v>
      </c>
      <c r="E17" s="2467">
        <f>D17</f>
        <v>3.7</v>
      </c>
      <c r="F17" s="2467">
        <f>D17</f>
        <v>3.7</v>
      </c>
      <c r="G17" s="2467">
        <f>D17</f>
        <v>3.7</v>
      </c>
      <c r="H17" s="2467">
        <v>4.5999999999999996</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1"/>
      <c r="C18" s="2468">
        <v>44550</v>
      </c>
      <c r="D18" s="2467">
        <v>3.8</v>
      </c>
      <c r="E18" s="2467">
        <f>D18</f>
        <v>3.8</v>
      </c>
      <c r="F18" s="2467">
        <f>D18</f>
        <v>3.8</v>
      </c>
      <c r="G18" s="2467">
        <f>D18</f>
        <v>3.8</v>
      </c>
      <c r="H18" s="2467">
        <v>4.6500000000000004</v>
      </c>
      <c r="I18" s="2463"/>
      <c r="J18" s="2463"/>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43941</v>
      </c>
      <c r="D19" s="2467">
        <v>3.85</v>
      </c>
      <c r="E19" s="2467">
        <v>3.85</v>
      </c>
      <c r="F19" s="2467">
        <v>3.85</v>
      </c>
      <c r="G19" s="2467">
        <v>3.85</v>
      </c>
      <c r="H19" s="2467">
        <v>4.6500000000000004</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43881</v>
      </c>
      <c r="D20" s="2467">
        <v>4.05</v>
      </c>
      <c r="E20" s="2467">
        <v>4.05</v>
      </c>
      <c r="F20" s="2467">
        <v>4.05</v>
      </c>
      <c r="G20" s="2467">
        <v>4.05</v>
      </c>
      <c r="H20" s="2467">
        <v>4.75</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43789</v>
      </c>
      <c r="D21" s="2467">
        <v>4.1500000000000004</v>
      </c>
      <c r="E21" s="2467">
        <v>4.1500000000000004</v>
      </c>
      <c r="F21" s="2467">
        <v>4.1500000000000004</v>
      </c>
      <c r="G21" s="2467">
        <v>4.1500000000000004</v>
      </c>
      <c r="H21" s="2467">
        <v>4.8</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7"/>
      <c r="C22" s="2468">
        <v>43728</v>
      </c>
      <c r="D22" s="2467">
        <v>4.2</v>
      </c>
      <c r="E22" s="2467">
        <v>4.2</v>
      </c>
      <c r="F22" s="2467">
        <v>4.2</v>
      </c>
      <c r="G22" s="2467">
        <v>4.2</v>
      </c>
      <c r="H22" s="2467">
        <v>4.8499999999999996</v>
      </c>
      <c r="I22" s="2467"/>
      <c r="J22" s="2467"/>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2461" t="s">
        <v>2284</v>
      </c>
      <c r="C23" s="2469">
        <v>43697</v>
      </c>
      <c r="D23" s="3015">
        <v>4.25</v>
      </c>
      <c r="E23" s="3015">
        <v>4.25</v>
      </c>
      <c r="F23" s="3015">
        <v>4.25</v>
      </c>
      <c r="G23" s="3015">
        <v>4.25</v>
      </c>
      <c r="H23" s="3015">
        <v>4.8499999999999996</v>
      </c>
      <c r="I23" s="3015"/>
      <c r="J23" s="3015"/>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ht="14.25">
      <c r="B24" s="3019"/>
      <c r="C24" s="3020">
        <v>42301</v>
      </c>
      <c r="D24" s="3021">
        <v>4.3499999999999996</v>
      </c>
      <c r="E24" s="3021">
        <v>4.3499999999999996</v>
      </c>
      <c r="F24" s="3021">
        <v>4.75</v>
      </c>
      <c r="G24" s="3021">
        <v>4.75</v>
      </c>
      <c r="H24" s="3021">
        <v>4.9000000000000004</v>
      </c>
      <c r="I24" s="3021"/>
      <c r="J24" s="3021"/>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42242</v>
      </c>
      <c r="D25" s="2467">
        <v>4.5999999999999996</v>
      </c>
      <c r="E25" s="2467">
        <v>4.5999999999999996</v>
      </c>
      <c r="F25" s="2467">
        <v>5</v>
      </c>
      <c r="G25" s="2467">
        <v>5</v>
      </c>
      <c r="H25" s="2467">
        <v>5.15</v>
      </c>
      <c r="I25" s="2467">
        <v>2.75</v>
      </c>
      <c r="J25" s="2467">
        <v>3.25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42183</v>
      </c>
      <c r="D26" s="2467">
        <v>4.8499999999999996</v>
      </c>
      <c r="E26" s="2467">
        <v>4.8499999999999996</v>
      </c>
      <c r="F26" s="2467">
        <v>5.25</v>
      </c>
      <c r="G26" s="2467">
        <v>5.25</v>
      </c>
      <c r="H26" s="2467">
        <v>5.4</v>
      </c>
      <c r="I26" s="2467">
        <v>3</v>
      </c>
      <c r="J26" s="2467">
        <v>3.5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42135</v>
      </c>
      <c r="D27" s="2467">
        <v>5.0999999999999996</v>
      </c>
      <c r="E27" s="2467">
        <v>5.0999999999999996</v>
      </c>
      <c r="F27" s="2467">
        <v>5.5</v>
      </c>
      <c r="G27" s="2467">
        <v>5.5</v>
      </c>
      <c r="H27" s="2467">
        <v>5.65</v>
      </c>
      <c r="I27" s="2467">
        <v>3.25</v>
      </c>
      <c r="J27" s="2467">
        <v>3.75</v>
      </c>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42064</v>
      </c>
      <c r="D28" s="2467">
        <v>5.35</v>
      </c>
      <c r="E28" s="2467">
        <v>5.35</v>
      </c>
      <c r="F28" s="2467">
        <v>5.75</v>
      </c>
      <c r="G28" s="2467">
        <v>5.75</v>
      </c>
      <c r="H28" s="2467">
        <v>5.9</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41965</v>
      </c>
      <c r="D29" s="2467">
        <v>5.6</v>
      </c>
      <c r="E29" s="2467">
        <v>5.6</v>
      </c>
      <c r="F29" s="2467">
        <v>6</v>
      </c>
      <c r="G29" s="2467">
        <v>6</v>
      </c>
      <c r="H29" s="2467">
        <v>6.15</v>
      </c>
      <c r="I29" s="2467"/>
      <c r="J29" s="2467"/>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41096</v>
      </c>
      <c r="D30" s="2467">
        <v>5.6</v>
      </c>
      <c r="E30" s="2467">
        <v>6</v>
      </c>
      <c r="F30" s="2467">
        <v>6.15</v>
      </c>
      <c r="G30" s="2467">
        <v>6.4</v>
      </c>
      <c r="H30" s="2467">
        <v>6.55</v>
      </c>
      <c r="I30" s="2467">
        <v>4</v>
      </c>
      <c r="J30" s="2467">
        <v>4.5</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41068</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40731</v>
      </c>
      <c r="D32" s="2467">
        <v>6.1</v>
      </c>
      <c r="E32" s="2467">
        <v>6.56</v>
      </c>
      <c r="F32" s="2467">
        <v>6.65</v>
      </c>
      <c r="G32" s="2467">
        <v>6.9</v>
      </c>
      <c r="H32" s="2467">
        <v>7.05</v>
      </c>
      <c r="I32" s="2467">
        <v>4.45</v>
      </c>
      <c r="J32" s="2467">
        <v>4.9000000000000004</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40639</v>
      </c>
      <c r="D33" s="2467">
        <v>5.85</v>
      </c>
      <c r="E33" s="2467">
        <v>6.31</v>
      </c>
      <c r="F33" s="2467">
        <v>6.4</v>
      </c>
      <c r="G33" s="2467">
        <v>6.65</v>
      </c>
      <c r="H33" s="2467">
        <v>6.8</v>
      </c>
      <c r="I33" s="2467">
        <v>4.2</v>
      </c>
      <c r="J33" s="2467">
        <v>4.7</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40583</v>
      </c>
      <c r="D34" s="2467">
        <v>5.6</v>
      </c>
      <c r="E34" s="2467">
        <v>6.06</v>
      </c>
      <c r="F34" s="2467">
        <v>6.1</v>
      </c>
      <c r="G34" s="2467">
        <v>6.45</v>
      </c>
      <c r="H34" s="2467">
        <v>6.6</v>
      </c>
      <c r="I34" s="2467">
        <v>4</v>
      </c>
      <c r="J34" s="2467">
        <v>4.5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40538</v>
      </c>
      <c r="D35" s="2467">
        <v>5.35</v>
      </c>
      <c r="E35" s="2467">
        <v>5.81</v>
      </c>
      <c r="F35" s="2467">
        <v>5.85</v>
      </c>
      <c r="G35" s="2467">
        <v>6.22</v>
      </c>
      <c r="H35" s="2467">
        <v>6.4</v>
      </c>
      <c r="I35" s="2467">
        <v>3.75</v>
      </c>
      <c r="J35" s="2467">
        <v>4.3</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40471</v>
      </c>
      <c r="D36" s="2467">
        <v>5.0999999999999996</v>
      </c>
      <c r="E36" s="2467">
        <v>5.56</v>
      </c>
      <c r="F36" s="2467">
        <v>5.6</v>
      </c>
      <c r="G36" s="2467">
        <v>5.96</v>
      </c>
      <c r="H36" s="2467">
        <v>6.14</v>
      </c>
      <c r="I36" s="2467">
        <v>3.5</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39805</v>
      </c>
      <c r="D37" s="2467">
        <v>4.8600000000000003</v>
      </c>
      <c r="E37" s="2467">
        <v>5.31</v>
      </c>
      <c r="F37" s="2467">
        <v>5.4</v>
      </c>
      <c r="G37" s="2467">
        <v>5.76</v>
      </c>
      <c r="H37" s="2467">
        <v>5.94</v>
      </c>
      <c r="I37" s="2467">
        <v>3.33</v>
      </c>
      <c r="J37" s="2467">
        <v>3.87</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39779</v>
      </c>
      <c r="D38" s="2467">
        <v>5.04</v>
      </c>
      <c r="E38" s="2467">
        <v>5.58</v>
      </c>
      <c r="F38" s="2467">
        <v>5.67</v>
      </c>
      <c r="G38" s="2467">
        <v>5.94</v>
      </c>
      <c r="H38" s="2467">
        <v>6.12</v>
      </c>
      <c r="I38" s="2467">
        <v>3.51</v>
      </c>
      <c r="J38" s="2467">
        <v>4.05</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39751</v>
      </c>
      <c r="D39" s="2467">
        <v>6.03</v>
      </c>
      <c r="E39" s="2467">
        <v>6.66</v>
      </c>
      <c r="F39" s="2467">
        <v>6.75</v>
      </c>
      <c r="G39" s="2467">
        <v>7.02</v>
      </c>
      <c r="H39" s="2467">
        <v>7.2</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9">
        <v>39748</v>
      </c>
      <c r="D40" s="2467">
        <v>6.12</v>
      </c>
      <c r="E40" s="2467">
        <v>6.93</v>
      </c>
      <c r="F40" s="2467">
        <v>7.02</v>
      </c>
      <c r="G40" s="2467">
        <v>7.29</v>
      </c>
      <c r="H40" s="2467">
        <v>7.47</v>
      </c>
      <c r="I40" s="2467">
        <v>4.05</v>
      </c>
      <c r="J40" s="2467">
        <v>4.59</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39730</v>
      </c>
      <c r="D41" s="2467">
        <v>6.12</v>
      </c>
      <c r="E41" s="2467">
        <v>6.93</v>
      </c>
      <c r="F41" s="2467">
        <v>7.02</v>
      </c>
      <c r="G41" s="2467">
        <v>7.29</v>
      </c>
      <c r="H41" s="2467">
        <v>7.47</v>
      </c>
      <c r="I41" s="2467">
        <v>4.32</v>
      </c>
      <c r="J41" s="2467">
        <v>4.8600000000000003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39707</v>
      </c>
      <c r="D42" s="2467">
        <v>6.21</v>
      </c>
      <c r="E42" s="2467">
        <v>7.2</v>
      </c>
      <c r="F42" s="2467">
        <v>7.29</v>
      </c>
      <c r="G42" s="2467">
        <v>7.56</v>
      </c>
      <c r="H42" s="2467">
        <v>7.74</v>
      </c>
      <c r="I42" s="2467">
        <v>4.59</v>
      </c>
      <c r="J42" s="2467">
        <v>5.13</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2094</v>
      </c>
      <c r="Y42" s="2467" t="s">
        <v>2094</v>
      </c>
      <c r="Z42" s="2467" t="s">
        <v>2094</v>
      </c>
    </row>
    <row r="43" spans="2:26">
      <c r="B43" s="2467"/>
      <c r="C43" s="2468">
        <v>39437</v>
      </c>
      <c r="D43" s="2467">
        <v>6.57</v>
      </c>
      <c r="E43" s="2467">
        <v>7.47</v>
      </c>
      <c r="F43" s="2467">
        <v>7.56</v>
      </c>
      <c r="G43" s="2467">
        <v>7.74</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2094</v>
      </c>
      <c r="Y43" s="2467" t="s">
        <v>2094</v>
      </c>
      <c r="Z43" s="2467" t="s">
        <v>2094</v>
      </c>
    </row>
    <row r="44" spans="2:26">
      <c r="B44" s="2467"/>
      <c r="C44" s="2468">
        <v>39340</v>
      </c>
      <c r="D44" s="2467">
        <v>6.48</v>
      </c>
      <c r="E44" s="2467">
        <v>7.29</v>
      </c>
      <c r="F44" s="2467">
        <v>7.47</v>
      </c>
      <c r="G44" s="2467">
        <v>7.65</v>
      </c>
      <c r="H44" s="2467">
        <v>7.83</v>
      </c>
      <c r="I44" s="2467">
        <v>4.7699999999999996</v>
      </c>
      <c r="J44" s="2467">
        <v>5.22</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2094</v>
      </c>
      <c r="Y44" s="2467" t="s">
        <v>2094</v>
      </c>
      <c r="Z44" s="2467" t="s">
        <v>2094</v>
      </c>
    </row>
    <row r="45" spans="2:26">
      <c r="B45" s="2467"/>
      <c r="C45" s="2468">
        <v>39316</v>
      </c>
      <c r="D45" s="2467">
        <v>6.21</v>
      </c>
      <c r="E45" s="2467">
        <v>7.02</v>
      </c>
      <c r="F45" s="2467">
        <v>7.2</v>
      </c>
      <c r="G45" s="2467">
        <v>7.38</v>
      </c>
      <c r="H45" s="2467">
        <v>7.56</v>
      </c>
      <c r="I45" s="2467">
        <v>4.59</v>
      </c>
      <c r="J45" s="2467">
        <v>5.04</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2094</v>
      </c>
      <c r="Y45" s="2467" t="s">
        <v>2094</v>
      </c>
      <c r="Z45" s="2467" t="s">
        <v>2094</v>
      </c>
    </row>
    <row r="46" spans="2:26">
      <c r="B46" s="2467"/>
      <c r="C46" s="2468">
        <v>39284</v>
      </c>
      <c r="D46" s="2467">
        <v>6.03</v>
      </c>
      <c r="E46" s="2467">
        <v>6.84</v>
      </c>
      <c r="F46" s="2467">
        <v>7.02</v>
      </c>
      <c r="G46" s="2467">
        <v>7.2</v>
      </c>
      <c r="H46" s="2467">
        <v>7.38</v>
      </c>
      <c r="I46" s="2467">
        <v>4.5</v>
      </c>
      <c r="J46" s="2467">
        <v>4.95</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2094</v>
      </c>
      <c r="Y46" s="2467" t="s">
        <v>2094</v>
      </c>
      <c r="Z46" s="2467" t="s">
        <v>2094</v>
      </c>
    </row>
    <row r="47" spans="2:26">
      <c r="B47" s="2467"/>
      <c r="C47" s="2468">
        <v>39221</v>
      </c>
      <c r="D47" s="2467">
        <v>5.85</v>
      </c>
      <c r="E47" s="2467">
        <v>6.57</v>
      </c>
      <c r="F47" s="2467">
        <v>6.75</v>
      </c>
      <c r="G47" s="2467">
        <v>6.93</v>
      </c>
      <c r="H47" s="2467">
        <v>7.2</v>
      </c>
      <c r="I47" s="2467">
        <v>4.41</v>
      </c>
      <c r="J47" s="2467">
        <v>4.8600000000000003</v>
      </c>
      <c r="L47" s="2467"/>
      <c r="M47" s="2468">
        <v>34161</v>
      </c>
      <c r="N47" s="2467">
        <v>3.15</v>
      </c>
      <c r="O47" s="2467">
        <v>6.66</v>
      </c>
      <c r="P47" s="2467">
        <v>9</v>
      </c>
      <c r="Q47" s="2467">
        <v>10.98</v>
      </c>
      <c r="R47" s="2467">
        <v>11.7</v>
      </c>
      <c r="S47" s="2467">
        <v>12.24</v>
      </c>
      <c r="T47" s="2467">
        <v>13.86</v>
      </c>
      <c r="U47" s="2467">
        <v>9</v>
      </c>
      <c r="V47" s="2467">
        <v>10.98</v>
      </c>
      <c r="W47" s="2467">
        <v>12.24</v>
      </c>
      <c r="X47" s="2467" t="s">
        <v>2094</v>
      </c>
      <c r="Y47" s="2467" t="s">
        <v>2094</v>
      </c>
      <c r="Z47" s="2467" t="s">
        <v>2094</v>
      </c>
    </row>
    <row r="48" spans="2:26">
      <c r="B48" s="2467"/>
      <c r="C48" s="2468">
        <v>39159</v>
      </c>
      <c r="D48" s="2467">
        <v>5.67</v>
      </c>
      <c r="E48" s="2467">
        <v>6.39</v>
      </c>
      <c r="F48" s="2467">
        <v>6.57</v>
      </c>
      <c r="G48" s="2467">
        <v>6.75</v>
      </c>
      <c r="H48" s="2467">
        <v>7.11</v>
      </c>
      <c r="I48" s="2467">
        <v>4.32</v>
      </c>
      <c r="J48" s="2467">
        <v>4.7699999999999996</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2094</v>
      </c>
      <c r="Y48" s="2467" t="s">
        <v>2094</v>
      </c>
      <c r="Z48" s="2467" t="s">
        <v>2094</v>
      </c>
    </row>
    <row r="49" spans="2:26">
      <c r="B49" s="2467"/>
      <c r="C49" s="2468">
        <v>38948</v>
      </c>
      <c r="D49" s="2467">
        <v>5.58</v>
      </c>
      <c r="E49" s="2467">
        <v>6.12</v>
      </c>
      <c r="F49" s="2467">
        <v>6.3</v>
      </c>
      <c r="G49" s="2467">
        <v>6.48</v>
      </c>
      <c r="H49" s="2467">
        <v>6.84</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2094</v>
      </c>
      <c r="Y49" s="2467" t="s">
        <v>2094</v>
      </c>
      <c r="Z49" s="2467" t="s">
        <v>2094</v>
      </c>
    </row>
    <row r="50" spans="2:26">
      <c r="B50" s="2467"/>
      <c r="C50" s="2468">
        <v>38835</v>
      </c>
      <c r="D50" s="2467">
        <v>5.4</v>
      </c>
      <c r="E50" s="2467">
        <v>5.85</v>
      </c>
      <c r="F50" s="2467">
        <v>6.03</v>
      </c>
      <c r="G50" s="2467">
        <v>6.12</v>
      </c>
      <c r="H50" s="2467">
        <v>6.39</v>
      </c>
      <c r="I50" s="2467">
        <v>4.1399999999999997</v>
      </c>
      <c r="J50" s="2467">
        <v>4.59</v>
      </c>
      <c r="L50" s="2467"/>
      <c r="M50" s="2468">
        <v>33106</v>
      </c>
      <c r="N50" s="2467">
        <v>2.16</v>
      </c>
      <c r="O50" s="2467">
        <v>4.32</v>
      </c>
      <c r="P50" s="2467">
        <v>6.48</v>
      </c>
      <c r="Q50" s="2467">
        <v>8.64</v>
      </c>
      <c r="R50" s="2467">
        <v>9.36</v>
      </c>
      <c r="S50" s="2467">
        <v>10.08</v>
      </c>
      <c r="T50" s="2467">
        <v>11.52</v>
      </c>
      <c r="U50" s="2467">
        <v>7.2</v>
      </c>
      <c r="V50" s="2467">
        <v>8.64</v>
      </c>
      <c r="W50" s="2467">
        <v>10.08</v>
      </c>
      <c r="X50" s="2467" t="s">
        <v>2094</v>
      </c>
      <c r="Y50" s="2467" t="s">
        <v>2094</v>
      </c>
      <c r="Z50" s="2467" t="s">
        <v>2094</v>
      </c>
    </row>
    <row r="51" spans="2:26">
      <c r="B51" s="2467"/>
      <c r="C51" s="2468">
        <v>38428</v>
      </c>
      <c r="D51" s="2467">
        <v>5.22</v>
      </c>
      <c r="E51" s="2467">
        <v>5.58</v>
      </c>
      <c r="F51" s="2467">
        <v>5.76</v>
      </c>
      <c r="G51" s="2467">
        <v>5.85</v>
      </c>
      <c r="H51" s="2467">
        <v>6.12</v>
      </c>
      <c r="I51" s="2467">
        <v>3.96</v>
      </c>
      <c r="J51" s="2467">
        <v>4.41</v>
      </c>
      <c r="L51" s="2467"/>
      <c r="M51" s="2468">
        <v>32978</v>
      </c>
      <c r="N51" s="2467">
        <v>2.88</v>
      </c>
      <c r="O51" s="2467">
        <v>6.3</v>
      </c>
      <c r="P51" s="2467">
        <v>7.74</v>
      </c>
      <c r="Q51" s="2467">
        <v>10.08</v>
      </c>
      <c r="R51" s="2467">
        <v>10.98</v>
      </c>
      <c r="S51" s="2467">
        <v>11.88</v>
      </c>
      <c r="T51" s="2467">
        <v>13.68</v>
      </c>
      <c r="U51" s="2467" t="s">
        <v>2094</v>
      </c>
      <c r="V51" s="2467" t="s">
        <v>2094</v>
      </c>
      <c r="W51" s="2467" t="s">
        <v>2094</v>
      </c>
      <c r="X51" s="2467" t="s">
        <v>2094</v>
      </c>
      <c r="Y51" s="2467" t="s">
        <v>2094</v>
      </c>
      <c r="Z51" s="2467" t="s">
        <v>2094</v>
      </c>
    </row>
    <row r="52" spans="2:26">
      <c r="B52" s="2467"/>
      <c r="C52" s="2468">
        <v>38289</v>
      </c>
      <c r="D52" s="2467">
        <v>5.22</v>
      </c>
      <c r="E52" s="2467">
        <v>5.58</v>
      </c>
      <c r="F52" s="2467">
        <v>5.76</v>
      </c>
      <c r="G52" s="2467">
        <v>5.85</v>
      </c>
      <c r="H52" s="2467">
        <v>6.12</v>
      </c>
      <c r="I52" s="2467">
        <v>3.78</v>
      </c>
      <c r="J52" s="2467">
        <v>4.2300000000000004</v>
      </c>
      <c r="L52" s="2467"/>
      <c r="M52" s="2468"/>
      <c r="N52" s="2467"/>
      <c r="O52" s="2467"/>
      <c r="P52" s="2467"/>
      <c r="Q52" s="2467"/>
      <c r="R52" s="2467"/>
      <c r="S52" s="2467"/>
      <c r="T52" s="2467"/>
      <c r="U52" s="2467"/>
      <c r="V52" s="2467"/>
      <c r="W52" s="2467"/>
      <c r="X52" s="2467"/>
      <c r="Y52" s="2467"/>
      <c r="Z52" s="2467"/>
    </row>
    <row r="53" spans="2:26">
      <c r="B53" s="2467"/>
      <c r="C53" s="2468">
        <v>37308</v>
      </c>
      <c r="D53" s="2467">
        <v>5.04</v>
      </c>
      <c r="E53" s="2467">
        <v>5.31</v>
      </c>
      <c r="F53" s="2467">
        <v>5.49</v>
      </c>
      <c r="G53" s="2467">
        <v>5.58</v>
      </c>
      <c r="H53" s="2467">
        <v>5.76</v>
      </c>
      <c r="I53" s="2467">
        <v>3.6</v>
      </c>
      <c r="J53" s="2467">
        <v>4.05</v>
      </c>
      <c r="L53" s="2467"/>
      <c r="M53" s="2468"/>
      <c r="N53" s="2467"/>
      <c r="O53" s="2467"/>
      <c r="P53" s="2467"/>
      <c r="Q53" s="2467"/>
      <c r="R53" s="2467"/>
      <c r="S53" s="2467"/>
      <c r="T53" s="2467"/>
      <c r="U53" s="2467"/>
      <c r="V53" s="2467"/>
      <c r="W53" s="2467"/>
      <c r="X53" s="2467"/>
      <c r="Y53" s="2467"/>
      <c r="Z53" s="2467"/>
    </row>
    <row r="54" spans="2:26">
      <c r="B54" s="2467"/>
      <c r="C54" s="2468">
        <v>36321</v>
      </c>
      <c r="D54" s="2467">
        <v>5.58</v>
      </c>
      <c r="E54" s="2467">
        <v>5.85</v>
      </c>
      <c r="F54" s="2467">
        <v>5.94</v>
      </c>
      <c r="G54" s="2467">
        <v>6.03</v>
      </c>
      <c r="H54" s="2467">
        <v>6.21</v>
      </c>
      <c r="I54" s="2467">
        <v>4.1399999999999997</v>
      </c>
      <c r="J54" s="2467">
        <v>4.59</v>
      </c>
      <c r="L54" s="2467"/>
      <c r="M54" s="2468"/>
      <c r="N54" s="2467"/>
      <c r="O54" s="2467"/>
      <c r="P54" s="2467"/>
      <c r="Q54" s="2467"/>
      <c r="R54" s="2467"/>
      <c r="S54" s="2467"/>
      <c r="T54" s="2467"/>
      <c r="U54" s="2467"/>
      <c r="V54" s="2467"/>
      <c r="W54" s="2467"/>
      <c r="X54" s="2467"/>
      <c r="Y54" s="2467"/>
      <c r="Z54" s="2467"/>
    </row>
    <row r="55" spans="2:26">
      <c r="B55" s="2467"/>
      <c r="C55" s="2468">
        <v>36136</v>
      </c>
      <c r="D55" s="2467">
        <v>6.12</v>
      </c>
      <c r="E55" s="2467">
        <v>6.39</v>
      </c>
      <c r="F55" s="2467">
        <v>6.66</v>
      </c>
      <c r="G55" s="2467">
        <v>7.2</v>
      </c>
      <c r="H55" s="2467">
        <v>7.56</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35977</v>
      </c>
      <c r="D56" s="2467">
        <v>6.57</v>
      </c>
      <c r="E56" s="2467">
        <v>6.93</v>
      </c>
      <c r="F56" s="2467">
        <v>7.11</v>
      </c>
      <c r="G56" s="2467">
        <v>7.65</v>
      </c>
      <c r="H56" s="2467">
        <v>8.01</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35879</v>
      </c>
      <c r="D57" s="2467">
        <v>7.02</v>
      </c>
      <c r="E57" s="2467">
        <v>7.92</v>
      </c>
      <c r="F57" s="2467">
        <v>9</v>
      </c>
      <c r="G57" s="2467">
        <v>9.7200000000000006</v>
      </c>
      <c r="H57" s="2467">
        <v>10.35</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35726</v>
      </c>
      <c r="D58" s="2467">
        <v>7.65</v>
      </c>
      <c r="E58" s="2467">
        <v>8.64</v>
      </c>
      <c r="F58" s="2467">
        <v>9.36</v>
      </c>
      <c r="G58" s="2467">
        <v>9.9</v>
      </c>
      <c r="H58" s="2467">
        <v>10.53</v>
      </c>
      <c r="I58" s="2467">
        <v>0</v>
      </c>
      <c r="J58" s="2467">
        <v>0</v>
      </c>
    </row>
    <row r="59" spans="2:26">
      <c r="B59" s="2467"/>
      <c r="C59" s="2468">
        <v>35300</v>
      </c>
      <c r="D59" s="2467">
        <v>9.18</v>
      </c>
      <c r="E59" s="2467">
        <v>10.08</v>
      </c>
      <c r="F59" s="2467">
        <v>10.98</v>
      </c>
      <c r="G59" s="2467">
        <v>11.7</v>
      </c>
      <c r="H59" s="2467">
        <v>12.42</v>
      </c>
      <c r="I59" s="2467">
        <v>0</v>
      </c>
      <c r="J59" s="2467">
        <v>0</v>
      </c>
    </row>
    <row r="60" spans="2:26">
      <c r="B60" s="2467"/>
      <c r="C60" s="2468">
        <v>35186</v>
      </c>
      <c r="D60" s="2467">
        <v>9.7200000000000006</v>
      </c>
      <c r="E60" s="2467">
        <v>10.98</v>
      </c>
      <c r="F60" s="2467">
        <v>13.14</v>
      </c>
      <c r="G60" s="2467">
        <v>14.94</v>
      </c>
      <c r="H60" s="2467">
        <v>15.12</v>
      </c>
      <c r="I60" s="2467">
        <v>0</v>
      </c>
      <c r="J60" s="2467">
        <v>0</v>
      </c>
    </row>
    <row r="61" spans="2:26">
      <c r="B61" s="2467"/>
      <c r="C61" s="2468">
        <v>34881</v>
      </c>
      <c r="D61" s="2467">
        <v>10.08</v>
      </c>
      <c r="E61" s="2467">
        <v>12.06</v>
      </c>
      <c r="F61" s="2467">
        <v>13.5</v>
      </c>
      <c r="G61" s="2467">
        <v>15.12</v>
      </c>
      <c r="H61" s="2467">
        <v>15.3</v>
      </c>
      <c r="I61" s="2467">
        <v>0</v>
      </c>
      <c r="J61" s="2467">
        <v>0</v>
      </c>
    </row>
    <row r="62" spans="2:26">
      <c r="B62" s="2467"/>
      <c r="C62" s="2468">
        <v>34700</v>
      </c>
      <c r="D62" s="2467">
        <v>9</v>
      </c>
      <c r="E62" s="2467">
        <v>10.98</v>
      </c>
      <c r="F62" s="2467">
        <v>12.96</v>
      </c>
      <c r="G62" s="2467">
        <v>14.58</v>
      </c>
      <c r="H62" s="2467">
        <v>14.76</v>
      </c>
      <c r="I62" s="2467">
        <v>0</v>
      </c>
      <c r="J62" s="2467">
        <v>0</v>
      </c>
    </row>
    <row r="63" spans="2:26">
      <c r="B63" s="2467"/>
      <c r="C63" s="2468">
        <v>34161</v>
      </c>
      <c r="D63" s="2467">
        <v>9</v>
      </c>
      <c r="E63" s="2467">
        <v>10.98</v>
      </c>
      <c r="F63" s="2467">
        <v>12.24</v>
      </c>
      <c r="G63" s="2467">
        <v>13.86</v>
      </c>
      <c r="H63" s="2467">
        <v>14.04</v>
      </c>
      <c r="I63" s="2467">
        <v>0</v>
      </c>
      <c r="J63" s="2467">
        <v>0</v>
      </c>
    </row>
    <row r="64" spans="2:26">
      <c r="B64" s="2467"/>
      <c r="C64" s="2468">
        <v>34104</v>
      </c>
      <c r="D64" s="2467">
        <v>8.82</v>
      </c>
      <c r="E64" s="2467">
        <v>9.36</v>
      </c>
      <c r="F64" s="2467">
        <v>10.8</v>
      </c>
      <c r="G64" s="2467">
        <v>12.06</v>
      </c>
      <c r="H64" s="2467">
        <v>12.24</v>
      </c>
      <c r="I64" s="2467">
        <v>0</v>
      </c>
      <c r="J64" s="2467">
        <v>0</v>
      </c>
    </row>
    <row r="65" spans="2:10">
      <c r="B65" s="2467"/>
      <c r="C65" s="2468">
        <v>33349</v>
      </c>
      <c r="D65" s="2467">
        <v>8.1</v>
      </c>
      <c r="E65" s="2467">
        <v>8.64</v>
      </c>
      <c r="F65" s="2467">
        <v>9</v>
      </c>
      <c r="G65" s="2467">
        <v>9.5399999999999991</v>
      </c>
      <c r="H65" s="2467">
        <v>9.7200000000000006</v>
      </c>
      <c r="I65" s="2467">
        <v>0</v>
      </c>
      <c r="J65" s="2467">
        <v>0</v>
      </c>
    </row>
    <row r="66" spans="2:10">
      <c r="B66" s="2467"/>
      <c r="C66" s="2468">
        <v>33318</v>
      </c>
      <c r="D66" s="2467">
        <v>9</v>
      </c>
      <c r="E66" s="2467">
        <v>10.08</v>
      </c>
      <c r="F66" s="2467">
        <v>10.8</v>
      </c>
      <c r="G66" s="2467">
        <v>11.52</v>
      </c>
      <c r="H66" s="2467">
        <v>11.88</v>
      </c>
      <c r="I66" s="2467" t="s">
        <v>2094</v>
      </c>
      <c r="J66" s="2467" t="s">
        <v>2094</v>
      </c>
    </row>
    <row r="67" spans="2:10">
      <c r="B67" s="2467"/>
      <c r="C67" s="2468">
        <v>33106</v>
      </c>
      <c r="D67" s="2467">
        <v>8.64</v>
      </c>
      <c r="E67" s="2467">
        <v>9.36</v>
      </c>
      <c r="F67" s="2467">
        <v>10.08</v>
      </c>
      <c r="G67" s="2467">
        <v>10.8</v>
      </c>
      <c r="H67" s="2467">
        <v>11.16</v>
      </c>
      <c r="I67" s="2467">
        <v>0</v>
      </c>
      <c r="J67" s="2467">
        <v>0</v>
      </c>
    </row>
    <row r="68" spans="2:10">
      <c r="B68" s="2467"/>
      <c r="C68" s="2468">
        <v>32540</v>
      </c>
      <c r="D68" s="2467">
        <v>11.34</v>
      </c>
      <c r="E68" s="2467">
        <v>11.34</v>
      </c>
      <c r="F68" s="2467">
        <v>12.78</v>
      </c>
      <c r="G68" s="2467">
        <v>14.4</v>
      </c>
      <c r="H68" s="2467">
        <v>19.260000000000002</v>
      </c>
      <c r="I68" s="2467">
        <v>0</v>
      </c>
      <c r="J68" s="2467">
        <v>0</v>
      </c>
    </row>
    <row r="69" spans="2:10">
      <c r="B69" s="2467"/>
      <c r="C69" s="2468"/>
      <c r="D69" s="2467"/>
      <c r="E69" s="2467"/>
      <c r="F69" s="2467"/>
      <c r="G69" s="2467"/>
      <c r="H69" s="2467"/>
      <c r="I69" s="2467"/>
      <c r="J69" s="2467"/>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70"/>
      <c r="C72" s="2471"/>
      <c r="D72" s="2470"/>
      <c r="E72" s="2470"/>
      <c r="F72" s="2470"/>
      <c r="G72" s="2470"/>
      <c r="H72" s="2470"/>
      <c r="I72" s="2470"/>
      <c r="J72" s="2470"/>
    </row>
    <row r="73" spans="2:10">
      <c r="B73" s="2418"/>
      <c r="C73" s="2418"/>
      <c r="D73" s="2418"/>
      <c r="E73" s="2418"/>
      <c r="F73" s="2418"/>
      <c r="G73" s="2418"/>
      <c r="H73" s="2418"/>
      <c r="I73" s="2418"/>
      <c r="J73" s="2418"/>
    </row>
    <row r="74" spans="2:10">
      <c r="B74" s="2418"/>
      <c r="C74" s="2418"/>
      <c r="D74" s="2418"/>
      <c r="E74" s="2418"/>
      <c r="F74" s="2418"/>
      <c r="G74" s="2418"/>
      <c r="H74" s="2418"/>
      <c r="I74" s="2418"/>
      <c r="J74" s="2418"/>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B1" workbookViewId="0">
      <selection activeCell="I36" sqref="I36"/>
    </sheetView>
  </sheetViews>
  <sheetFormatPr defaultRowHeight="12"/>
  <cols>
    <col min="1" max="1" width="41.125" style="3682" customWidth="1"/>
    <col min="2" max="2" width="21.5" style="3682" customWidth="1"/>
    <col min="3" max="3" width="9.125" style="3682" customWidth="1"/>
    <col min="4" max="4" width="9.875" style="3682" customWidth="1"/>
    <col min="5" max="5" width="12.75" style="3682" customWidth="1"/>
    <col min="6" max="6" width="11.125" style="3682" customWidth="1"/>
    <col min="7" max="7" width="7.375" style="3682" customWidth="1"/>
    <col min="8" max="8" width="6" style="3682" customWidth="1"/>
    <col min="9" max="9" width="20" style="3682" customWidth="1"/>
    <col min="10" max="10" width="11.125" style="3682" customWidth="1"/>
    <col min="11" max="12" width="20" style="3682" customWidth="1"/>
    <col min="13" max="13" width="9.625" style="3682" customWidth="1"/>
    <col min="14" max="14" width="7.75" style="3682" customWidth="1"/>
    <col min="15" max="15" width="10.5" style="3682" customWidth="1"/>
    <col min="16" max="17" width="8.5" style="3682" customWidth="1"/>
    <col min="18" max="18" width="20" style="3682" customWidth="1"/>
    <col min="19" max="16384" width="9" style="3682"/>
  </cols>
  <sheetData>
    <row r="1" spans="1:18">
      <c r="A1" s="3682" t="s">
        <v>3316</v>
      </c>
      <c r="B1" s="3682" t="s">
        <v>3317</v>
      </c>
      <c r="C1" s="3682" t="s">
        <v>3318</v>
      </c>
      <c r="D1" s="3682" t="s">
        <v>3319</v>
      </c>
      <c r="E1" s="3682" t="s">
        <v>3320</v>
      </c>
      <c r="F1" s="3682" t="s">
        <v>3321</v>
      </c>
      <c r="G1" s="3682" t="s">
        <v>1549</v>
      </c>
      <c r="H1" s="3682" t="s">
        <v>3322</v>
      </c>
      <c r="I1" s="3682" t="s">
        <v>3323</v>
      </c>
      <c r="J1" s="3682" t="s">
        <v>3324</v>
      </c>
      <c r="K1" s="3682" t="s">
        <v>3325</v>
      </c>
      <c r="L1" s="3682" t="s">
        <v>3326</v>
      </c>
      <c r="M1" s="3682" t="s">
        <v>3327</v>
      </c>
      <c r="N1" s="3682" t="s">
        <v>3328</v>
      </c>
      <c r="O1" s="3682" t="s">
        <v>3329</v>
      </c>
      <c r="P1" s="3682" t="s">
        <v>3330</v>
      </c>
      <c r="Q1" s="3682" t="s">
        <v>3331</v>
      </c>
    </row>
    <row r="2" spans="1:18" s="3686" customFormat="1">
      <c r="A2" s="3686" t="s">
        <v>3332</v>
      </c>
      <c r="B2" s="3686" t="s">
        <v>3333</v>
      </c>
      <c r="C2" s="3686" t="s">
        <v>3334</v>
      </c>
      <c r="D2" s="3686" t="s">
        <v>3335</v>
      </c>
      <c r="E2" s="3686">
        <v>9632.01</v>
      </c>
      <c r="F2" s="3686">
        <v>15025.93</v>
      </c>
      <c r="G2" s="3686">
        <v>1.56</v>
      </c>
      <c r="H2" s="3686">
        <v>1.56</v>
      </c>
      <c r="I2" s="3686" t="s">
        <v>3336</v>
      </c>
      <c r="J2" s="3687">
        <v>45189.000497685185</v>
      </c>
      <c r="K2" s="3686" t="s">
        <v>3338</v>
      </c>
      <c r="L2" s="3686" t="s">
        <v>3339</v>
      </c>
      <c r="M2" s="3686">
        <v>13700</v>
      </c>
      <c r="N2" s="3686">
        <v>948.23</v>
      </c>
      <c r="O2" s="3686">
        <v>9118</v>
      </c>
      <c r="P2" s="3686">
        <v>0</v>
      </c>
      <c r="Q2" s="3686" t="s">
        <v>3340</v>
      </c>
    </row>
    <row r="3" spans="1:18" s="3693" customFormat="1">
      <c r="A3" s="3693" t="s">
        <v>3341</v>
      </c>
      <c r="B3" s="3693" t="s">
        <v>3342</v>
      </c>
      <c r="C3" s="3693" t="s">
        <v>3334</v>
      </c>
      <c r="D3" s="3693" t="s">
        <v>3335</v>
      </c>
      <c r="E3" s="3693">
        <v>15459.22</v>
      </c>
      <c r="F3" s="3693">
        <v>52599.12</v>
      </c>
      <c r="G3" s="3693" t="s">
        <v>3343</v>
      </c>
      <c r="H3" s="3693">
        <v>3.82</v>
      </c>
      <c r="I3" s="3693" t="s">
        <v>3344</v>
      </c>
      <c r="J3" s="3694">
        <v>45114.000497685185</v>
      </c>
      <c r="K3" s="3693" t="s">
        <v>3338</v>
      </c>
      <c r="L3" s="3693" t="s">
        <v>3339</v>
      </c>
      <c r="M3" s="3693">
        <v>53100</v>
      </c>
      <c r="N3" s="3693">
        <v>2289.9</v>
      </c>
      <c r="O3" s="3693">
        <v>10095</v>
      </c>
      <c r="P3" s="3693">
        <v>0</v>
      </c>
      <c r="Q3" s="3693" t="s">
        <v>3345</v>
      </c>
      <c r="R3" s="3693" t="s">
        <v>3541</v>
      </c>
    </row>
    <row r="4" spans="1:18" s="3693" customFormat="1">
      <c r="A4" s="3693" t="s">
        <v>3346</v>
      </c>
      <c r="B4" s="3693" t="s">
        <v>3347</v>
      </c>
      <c r="C4" s="3693" t="s">
        <v>3334</v>
      </c>
      <c r="D4" s="3693" t="s">
        <v>3348</v>
      </c>
      <c r="E4" s="3693">
        <v>5500.65</v>
      </c>
      <c r="F4" s="3693">
        <v>15401.81</v>
      </c>
      <c r="G4" s="3693" t="s">
        <v>3349</v>
      </c>
      <c r="H4" s="3693">
        <v>2.8</v>
      </c>
      <c r="I4" s="3693" t="s">
        <v>3350</v>
      </c>
      <c r="J4" s="3694">
        <v>45030.000497685185</v>
      </c>
      <c r="K4" s="3693" t="s">
        <v>3351</v>
      </c>
      <c r="L4" s="3693" t="s">
        <v>3352</v>
      </c>
      <c r="M4" s="3693">
        <v>17000</v>
      </c>
      <c r="N4" s="3693">
        <v>2060.36</v>
      </c>
      <c r="O4" s="3693">
        <v>11038</v>
      </c>
      <c r="P4" s="3693">
        <v>0</v>
      </c>
      <c r="Q4" s="3693" t="s">
        <v>3353</v>
      </c>
      <c r="R4" s="3693" t="s">
        <v>3541</v>
      </c>
    </row>
    <row r="5" spans="1:18" s="3686" customFormat="1">
      <c r="A5" s="3686" t="s">
        <v>3354</v>
      </c>
      <c r="B5" s="3686" t="s">
        <v>3355</v>
      </c>
      <c r="C5" s="3686" t="s">
        <v>3334</v>
      </c>
      <c r="D5" s="3686" t="s">
        <v>3356</v>
      </c>
      <c r="E5" s="3686">
        <v>10000</v>
      </c>
      <c r="F5" s="3686">
        <v>22000</v>
      </c>
      <c r="G5" s="3686" t="s">
        <v>3357</v>
      </c>
      <c r="H5" s="3686">
        <v>2.2000000000000002</v>
      </c>
      <c r="I5" s="3686" t="s">
        <v>3336</v>
      </c>
      <c r="J5" s="3687">
        <v>44795.000497685185</v>
      </c>
      <c r="K5" s="3686" t="s">
        <v>3358</v>
      </c>
      <c r="L5" s="3686" t="s">
        <v>3359</v>
      </c>
      <c r="M5" s="3686">
        <v>36400</v>
      </c>
      <c r="N5" s="3686">
        <v>2426.67</v>
      </c>
      <c r="O5" s="3686">
        <v>16545</v>
      </c>
      <c r="P5" s="3686">
        <v>0</v>
      </c>
      <c r="Q5" s="3686" t="s">
        <v>3360</v>
      </c>
    </row>
    <row r="6" spans="1:18" s="3686" customFormat="1">
      <c r="A6" s="3686" t="s">
        <v>3361</v>
      </c>
      <c r="B6" s="3686" t="s">
        <v>3362</v>
      </c>
      <c r="C6" s="3686" t="s">
        <v>3334</v>
      </c>
      <c r="D6" s="3686" t="s">
        <v>3356</v>
      </c>
      <c r="E6" s="3686">
        <v>5500</v>
      </c>
      <c r="F6" s="3686">
        <v>12100</v>
      </c>
      <c r="G6" s="3686" t="s">
        <v>3357</v>
      </c>
      <c r="H6" s="3686">
        <v>2.2000000000000002</v>
      </c>
      <c r="I6" s="3686" t="s">
        <v>3336</v>
      </c>
      <c r="J6" s="3687">
        <v>44796.000497685185</v>
      </c>
      <c r="K6" s="3686" t="s">
        <v>3363</v>
      </c>
      <c r="L6" s="3686" t="s">
        <v>3337</v>
      </c>
      <c r="M6" s="3686">
        <v>20000</v>
      </c>
      <c r="N6" s="3686">
        <v>2424.2399999999998</v>
      </c>
      <c r="O6" s="3686">
        <v>16529</v>
      </c>
      <c r="P6" s="3686">
        <v>0</v>
      </c>
      <c r="Q6" s="3686" t="s">
        <v>3360</v>
      </c>
    </row>
    <row r="7" spans="1:18" s="3686" customFormat="1">
      <c r="A7" s="3686" t="s">
        <v>3364</v>
      </c>
      <c r="B7" s="3686" t="s">
        <v>3365</v>
      </c>
      <c r="C7" s="3686" t="s">
        <v>3334</v>
      </c>
      <c r="D7" s="3686" t="s">
        <v>3366</v>
      </c>
      <c r="E7" s="3686">
        <v>16122.82</v>
      </c>
      <c r="F7" s="3686">
        <v>45143.91</v>
      </c>
      <c r="G7" s="3686" t="s">
        <v>3349</v>
      </c>
      <c r="H7" s="3686">
        <v>2.8</v>
      </c>
      <c r="I7" s="3686" t="s">
        <v>3336</v>
      </c>
      <c r="J7" s="3687">
        <v>44761.000497685185</v>
      </c>
      <c r="K7" s="3686" t="s">
        <v>3367</v>
      </c>
      <c r="L7" s="3686" t="s">
        <v>3368</v>
      </c>
      <c r="M7" s="3686">
        <v>76000</v>
      </c>
      <c r="N7" s="3686">
        <v>3142.54</v>
      </c>
      <c r="O7" s="3686">
        <v>16835</v>
      </c>
      <c r="P7" s="3686">
        <v>0</v>
      </c>
      <c r="Q7" s="3686" t="s">
        <v>3369</v>
      </c>
    </row>
    <row r="8" spans="1:18" s="3686" customFormat="1">
      <c r="A8" s="3686" t="s">
        <v>3370</v>
      </c>
      <c r="B8" s="3686" t="s">
        <v>3371</v>
      </c>
      <c r="C8" s="3686" t="s">
        <v>3334</v>
      </c>
      <c r="D8" s="3686" t="s">
        <v>3372</v>
      </c>
      <c r="E8" s="3686">
        <v>29991.73</v>
      </c>
      <c r="F8" s="3686">
        <v>119966.93</v>
      </c>
      <c r="G8" s="3686">
        <v>4</v>
      </c>
      <c r="H8" s="3686">
        <v>4</v>
      </c>
      <c r="I8" s="3686" t="s">
        <v>3336</v>
      </c>
      <c r="J8" s="3687">
        <v>44566.000497685185</v>
      </c>
      <c r="K8" s="3686" t="s">
        <v>3373</v>
      </c>
      <c r="L8" s="3686" t="s">
        <v>3337</v>
      </c>
      <c r="M8" s="3686">
        <v>165300</v>
      </c>
      <c r="N8" s="3686">
        <v>3674.35</v>
      </c>
      <c r="O8" s="3686">
        <v>13779</v>
      </c>
      <c r="P8" s="3686">
        <v>0</v>
      </c>
      <c r="Q8" s="3686" t="s">
        <v>3374</v>
      </c>
    </row>
    <row r="9" spans="1:18" s="3686" customFormat="1">
      <c r="A9" s="3686" t="s">
        <v>3375</v>
      </c>
      <c r="B9" s="3686" t="s">
        <v>3376</v>
      </c>
      <c r="C9" s="3686" t="s">
        <v>3334</v>
      </c>
      <c r="D9" s="3686" t="s">
        <v>3366</v>
      </c>
      <c r="E9" s="3686">
        <v>204418.11</v>
      </c>
      <c r="F9" s="3686">
        <v>302000</v>
      </c>
      <c r="G9" s="3686">
        <v>1.5</v>
      </c>
      <c r="H9" s="3686">
        <v>1.5</v>
      </c>
      <c r="I9" s="3686" t="s">
        <v>3336</v>
      </c>
      <c r="J9" s="3687">
        <v>44495.000497685185</v>
      </c>
      <c r="K9" s="3686" t="s">
        <v>3377</v>
      </c>
      <c r="L9" s="3686" t="s">
        <v>3378</v>
      </c>
      <c r="M9" s="3686">
        <v>506700</v>
      </c>
      <c r="N9" s="3686">
        <v>1652.5</v>
      </c>
      <c r="O9" s="3686">
        <v>16778</v>
      </c>
      <c r="P9" s="3686">
        <v>0</v>
      </c>
      <c r="Q9" s="3686" t="s">
        <v>3374</v>
      </c>
    </row>
    <row r="10" spans="1:18" s="3693" customFormat="1">
      <c r="A10" s="3693" t="s">
        <v>3379</v>
      </c>
      <c r="B10" s="3693" t="s">
        <v>3380</v>
      </c>
      <c r="C10" s="3693" t="s">
        <v>3334</v>
      </c>
      <c r="D10" s="3693" t="s">
        <v>3372</v>
      </c>
      <c r="E10" s="3693">
        <v>17147.95</v>
      </c>
      <c r="F10" s="3693">
        <v>53158.65</v>
      </c>
      <c r="G10" s="3693" t="s">
        <v>3381</v>
      </c>
      <c r="H10" s="3693">
        <v>3.1</v>
      </c>
      <c r="I10" s="3693" t="s">
        <v>3382</v>
      </c>
      <c r="J10" s="3694">
        <v>44335.000497685185</v>
      </c>
      <c r="K10" s="3693" t="s">
        <v>3383</v>
      </c>
      <c r="L10" s="3693" t="s">
        <v>3339</v>
      </c>
      <c r="M10" s="3693">
        <v>69200</v>
      </c>
      <c r="N10" s="3693">
        <v>2690.31</v>
      </c>
      <c r="O10" s="3693">
        <v>13018</v>
      </c>
      <c r="P10" s="3693">
        <v>0</v>
      </c>
      <c r="Q10" s="3693" t="s">
        <v>3384</v>
      </c>
      <c r="R10" s="3693" t="s">
        <v>3542</v>
      </c>
    </row>
    <row r="11" spans="1:18" s="3686" customFormat="1">
      <c r="A11" s="3686" t="s">
        <v>3385</v>
      </c>
      <c r="B11" s="3686" t="s">
        <v>3386</v>
      </c>
      <c r="C11" s="3686" t="s">
        <v>3334</v>
      </c>
      <c r="D11" s="3686" t="s">
        <v>3366</v>
      </c>
      <c r="E11" s="3686">
        <v>22058.78</v>
      </c>
      <c r="F11" s="3686">
        <v>47390</v>
      </c>
      <c r="G11" s="3686" t="s">
        <v>3387</v>
      </c>
      <c r="H11" s="3686">
        <v>2.15</v>
      </c>
      <c r="I11" s="3686" t="s">
        <v>3336</v>
      </c>
      <c r="J11" s="3687">
        <v>44234.000497685185</v>
      </c>
      <c r="K11" s="3686" t="s">
        <v>3388</v>
      </c>
      <c r="L11" s="3686" t="s">
        <v>3389</v>
      </c>
      <c r="M11" s="3686">
        <v>32700</v>
      </c>
      <c r="N11" s="3686">
        <v>988.27</v>
      </c>
      <c r="O11" s="3686">
        <v>6900</v>
      </c>
      <c r="P11" s="3686">
        <v>0</v>
      </c>
      <c r="Q11" s="3686" t="s">
        <v>3384</v>
      </c>
    </row>
    <row r="12" spans="1:18">
      <c r="A12" s="3682" t="s">
        <v>3390</v>
      </c>
      <c r="B12" s="3682" t="s">
        <v>3391</v>
      </c>
      <c r="C12" s="3682" t="s">
        <v>3334</v>
      </c>
      <c r="D12" s="3682" t="s">
        <v>3372</v>
      </c>
      <c r="E12" s="3682">
        <v>28003.32</v>
      </c>
      <c r="F12" s="3682">
        <v>70008</v>
      </c>
      <c r="G12" s="3682" t="s">
        <v>3392</v>
      </c>
      <c r="H12" s="3682">
        <v>2.5</v>
      </c>
      <c r="I12" s="3682" t="s">
        <v>3336</v>
      </c>
      <c r="J12" s="3683">
        <v>43755.000497685185</v>
      </c>
      <c r="K12" s="3682" t="s">
        <v>3393</v>
      </c>
      <c r="L12" s="3682" t="s">
        <v>3394</v>
      </c>
      <c r="M12" s="3682">
        <v>97800</v>
      </c>
      <c r="N12" s="3682">
        <v>2328.3000000000002</v>
      </c>
      <c r="O12" s="3682">
        <v>13970</v>
      </c>
      <c r="P12" s="3682">
        <v>1.03</v>
      </c>
      <c r="Q12" s="3682" t="s">
        <v>3395</v>
      </c>
    </row>
    <row r="13" spans="1:18">
      <c r="A13" s="3682" t="s">
        <v>3396</v>
      </c>
      <c r="B13" s="3682" t="s">
        <v>3397</v>
      </c>
      <c r="C13" s="3682" t="s">
        <v>3334</v>
      </c>
      <c r="D13" s="3682" t="s">
        <v>3398</v>
      </c>
      <c r="E13" s="3682">
        <v>35230.230000000003</v>
      </c>
      <c r="F13" s="3682">
        <v>88076</v>
      </c>
      <c r="G13" s="3682">
        <v>2.5</v>
      </c>
      <c r="H13" s="3682">
        <v>2.5</v>
      </c>
      <c r="I13" s="3682" t="s">
        <v>3336</v>
      </c>
      <c r="J13" s="3683">
        <v>42867.000497685185</v>
      </c>
      <c r="K13" s="3682" t="s">
        <v>3399</v>
      </c>
      <c r="L13" s="3682" t="s">
        <v>3337</v>
      </c>
      <c r="M13" s="3682">
        <v>62000</v>
      </c>
      <c r="N13" s="3682">
        <v>1173.23</v>
      </c>
      <c r="O13" s="3682">
        <v>7039</v>
      </c>
      <c r="P13" s="3682">
        <v>0</v>
      </c>
      <c r="Q13" s="3682" t="s">
        <v>3395</v>
      </c>
    </row>
    <row r="14" spans="1:18">
      <c r="A14" s="3682" t="s">
        <v>3400</v>
      </c>
      <c r="B14" s="3682" t="s">
        <v>3401</v>
      </c>
      <c r="C14" s="3682" t="s">
        <v>3334</v>
      </c>
      <c r="D14" s="3682" t="s">
        <v>3366</v>
      </c>
      <c r="E14" s="3682">
        <v>2070793</v>
      </c>
      <c r="F14" s="3682">
        <v>1642730</v>
      </c>
      <c r="G14" s="3682">
        <v>0.79</v>
      </c>
      <c r="H14" s="3682">
        <v>0.79</v>
      </c>
      <c r="I14" s="3682" t="s">
        <v>3402</v>
      </c>
      <c r="J14" s="3683">
        <v>42558.000497685185</v>
      </c>
      <c r="K14" s="3682" t="s">
        <v>3403</v>
      </c>
      <c r="L14" s="3682" t="s">
        <v>3368</v>
      </c>
      <c r="M14" s="3682">
        <v>870000</v>
      </c>
      <c r="N14" s="3682">
        <v>280.08999999999997</v>
      </c>
      <c r="O14" s="3682">
        <v>5296</v>
      </c>
      <c r="P14" s="3682">
        <v>0</v>
      </c>
      <c r="Q14" s="3682" t="s">
        <v>3360</v>
      </c>
    </row>
    <row r="15" spans="1:18" s="3684" customFormat="1">
      <c r="A15" s="3684" t="s">
        <v>3404</v>
      </c>
      <c r="B15" s="3684" t="s">
        <v>3405</v>
      </c>
      <c r="C15" s="3684" t="s">
        <v>3334</v>
      </c>
      <c r="D15" s="3684" t="s">
        <v>3406</v>
      </c>
      <c r="E15" s="3684">
        <v>65873.39</v>
      </c>
      <c r="F15" s="3684">
        <v>164683</v>
      </c>
      <c r="G15" s="3684">
        <v>2.5</v>
      </c>
      <c r="H15" s="3684">
        <v>2.5</v>
      </c>
      <c r="I15" s="3684" t="s">
        <v>3407</v>
      </c>
      <c r="J15" s="3685">
        <v>42087.000497685185</v>
      </c>
      <c r="K15" s="3684" t="s">
        <v>3408</v>
      </c>
      <c r="L15" s="3684" t="s">
        <v>3337</v>
      </c>
      <c r="M15" s="3684">
        <v>108000</v>
      </c>
      <c r="N15" s="3684">
        <v>1093.01</v>
      </c>
      <c r="O15" s="3684">
        <v>6558</v>
      </c>
      <c r="P15" s="3684">
        <v>38.46</v>
      </c>
      <c r="Q15" s="3684" t="s">
        <v>3409</v>
      </c>
      <c r="R15" s="3684" t="s">
        <v>3540</v>
      </c>
    </row>
    <row r="16" spans="1:18">
      <c r="A16" s="3682" t="s">
        <v>3410</v>
      </c>
      <c r="B16" s="3682" t="s">
        <v>3411</v>
      </c>
      <c r="C16" s="3682" t="s">
        <v>3334</v>
      </c>
      <c r="D16" s="3682" t="s">
        <v>3412</v>
      </c>
      <c r="E16" s="3682">
        <v>47100</v>
      </c>
      <c r="F16" s="3682">
        <v>450000</v>
      </c>
      <c r="G16" s="3682">
        <v>9.5500000000000007</v>
      </c>
      <c r="H16" s="3682">
        <v>9.5500000000000007</v>
      </c>
      <c r="I16" s="3682" t="s">
        <v>3336</v>
      </c>
      <c r="J16" s="3683">
        <v>42020.000497685185</v>
      </c>
      <c r="K16" s="3682" t="s">
        <v>3413</v>
      </c>
      <c r="L16" s="3682" t="s">
        <v>3414</v>
      </c>
      <c r="M16" s="3682">
        <v>503990</v>
      </c>
      <c r="N16" s="3682">
        <v>7133.62</v>
      </c>
      <c r="O16" s="3682">
        <v>11200</v>
      </c>
      <c r="P16" s="3682">
        <v>0</v>
      </c>
      <c r="Q16" s="3682" t="s">
        <v>3409</v>
      </c>
    </row>
    <row r="17" spans="1:17">
      <c r="A17" s="3682" t="s">
        <v>3415</v>
      </c>
      <c r="B17" s="3682" t="s">
        <v>3416</v>
      </c>
      <c r="C17" s="3682" t="s">
        <v>3334</v>
      </c>
      <c r="D17" s="3682" t="s">
        <v>3417</v>
      </c>
      <c r="E17" s="3682">
        <v>37656</v>
      </c>
      <c r="F17" s="3682">
        <v>131600</v>
      </c>
      <c r="G17" s="3682">
        <v>3.49</v>
      </c>
      <c r="H17" s="3682">
        <v>3.49</v>
      </c>
      <c r="I17" s="3682" t="s">
        <v>3407</v>
      </c>
      <c r="J17" s="3683">
        <v>41862.000497685185</v>
      </c>
      <c r="K17" s="3682" t="s">
        <v>3418</v>
      </c>
      <c r="L17" s="3682" t="s">
        <v>3419</v>
      </c>
      <c r="M17" s="3682">
        <v>151603.20000000001</v>
      </c>
      <c r="N17" s="3682">
        <v>2684</v>
      </c>
      <c r="O17" s="3682">
        <v>11520</v>
      </c>
      <c r="P17" s="3682">
        <v>0</v>
      </c>
      <c r="Q17" s="3682" t="s">
        <v>3409</v>
      </c>
    </row>
    <row r="18" spans="1:17">
      <c r="A18" s="3682" t="s">
        <v>3420</v>
      </c>
      <c r="B18" s="3682" t="s">
        <v>3421</v>
      </c>
      <c r="C18" s="3682" t="s">
        <v>3334</v>
      </c>
      <c r="D18" s="3682" t="s">
        <v>3417</v>
      </c>
      <c r="E18" s="3682">
        <v>14124.26</v>
      </c>
      <c r="F18" s="3682">
        <v>119961</v>
      </c>
      <c r="G18" s="3682">
        <v>8.49</v>
      </c>
      <c r="H18" s="3682">
        <v>8.49</v>
      </c>
      <c r="I18" s="3682" t="s">
        <v>3407</v>
      </c>
      <c r="J18" s="3683">
        <v>41862.000497685185</v>
      </c>
      <c r="K18" s="3682" t="s">
        <v>3422</v>
      </c>
      <c r="L18" s="3682" t="s">
        <v>3337</v>
      </c>
      <c r="M18" s="3682">
        <v>135700</v>
      </c>
      <c r="N18" s="3682">
        <v>6405.06</v>
      </c>
      <c r="O18" s="3682">
        <v>11312</v>
      </c>
      <c r="P18" s="3682">
        <v>0</v>
      </c>
      <c r="Q18" s="3682" t="s">
        <v>3409</v>
      </c>
    </row>
    <row r="19" spans="1:17">
      <c r="A19" s="3682" t="s">
        <v>3423</v>
      </c>
      <c r="B19" s="3682" t="s">
        <v>3424</v>
      </c>
      <c r="C19" s="3682" t="s">
        <v>3334</v>
      </c>
      <c r="D19" s="3682" t="s">
        <v>3406</v>
      </c>
      <c r="E19" s="3682">
        <v>39645</v>
      </c>
      <c r="F19" s="3682">
        <v>189500</v>
      </c>
      <c r="G19" s="3682">
        <v>4.78</v>
      </c>
      <c r="H19" s="3682">
        <v>4.78</v>
      </c>
      <c r="I19" s="3682" t="s">
        <v>3407</v>
      </c>
      <c r="J19" s="3683">
        <v>41862.000497685185</v>
      </c>
      <c r="K19" s="3682" t="s">
        <v>3425</v>
      </c>
      <c r="L19" s="3682" t="s">
        <v>3419</v>
      </c>
      <c r="M19" s="3682">
        <v>218304</v>
      </c>
      <c r="N19" s="3682">
        <v>3670.98</v>
      </c>
      <c r="O19" s="3682">
        <v>11520</v>
      </c>
      <c r="P19" s="3682">
        <v>0</v>
      </c>
      <c r="Q19" s="3682" t="s">
        <v>3409</v>
      </c>
    </row>
    <row r="20" spans="1:17">
      <c r="A20" s="3682" t="s">
        <v>3426</v>
      </c>
      <c r="B20" s="3682" t="s">
        <v>3427</v>
      </c>
      <c r="C20" s="3682" t="s">
        <v>3334</v>
      </c>
      <c r="D20" s="3682" t="s">
        <v>3417</v>
      </c>
      <c r="E20" s="3682">
        <v>9200</v>
      </c>
      <c r="F20" s="3682">
        <v>78139</v>
      </c>
      <c r="G20" s="3682">
        <v>8.49</v>
      </c>
      <c r="H20" s="3682">
        <v>8.49</v>
      </c>
      <c r="I20" s="3682" t="s">
        <v>3407</v>
      </c>
      <c r="J20" s="3683">
        <v>41862.000497685185</v>
      </c>
      <c r="K20" s="3682" t="s">
        <v>3422</v>
      </c>
      <c r="L20" s="3682" t="s">
        <v>3337</v>
      </c>
      <c r="M20" s="3682">
        <v>88400</v>
      </c>
      <c r="N20" s="3682">
        <v>6405.8</v>
      </c>
      <c r="O20" s="3682">
        <v>11313</v>
      </c>
      <c r="P20" s="3682">
        <v>0</v>
      </c>
      <c r="Q20" s="3682" t="s">
        <v>3409</v>
      </c>
    </row>
    <row r="21" spans="1:17">
      <c r="A21" s="3682" t="s">
        <v>3428</v>
      </c>
      <c r="B21" s="3682" t="s">
        <v>3429</v>
      </c>
      <c r="C21" s="3682" t="s">
        <v>3334</v>
      </c>
      <c r="D21" s="3682" t="s">
        <v>3417</v>
      </c>
      <c r="E21" s="3682">
        <v>14088</v>
      </c>
      <c r="F21" s="3682">
        <v>90600</v>
      </c>
      <c r="G21" s="3682">
        <v>6.43</v>
      </c>
      <c r="H21" s="3682">
        <v>6.43</v>
      </c>
      <c r="I21" s="3682" t="s">
        <v>3407</v>
      </c>
      <c r="J21" s="3683">
        <v>41855.000497685185</v>
      </c>
      <c r="K21" s="3682" t="s">
        <v>3422</v>
      </c>
      <c r="L21" s="3682" t="s">
        <v>3337</v>
      </c>
      <c r="M21" s="3682">
        <v>105100</v>
      </c>
      <c r="N21" s="3682">
        <v>4973.5</v>
      </c>
      <c r="O21" s="3682">
        <v>11600</v>
      </c>
      <c r="P21" s="3682">
        <v>0</v>
      </c>
      <c r="Q21" s="3682" t="s">
        <v>3409</v>
      </c>
    </row>
    <row r="22" spans="1:17">
      <c r="A22" s="3682" t="s">
        <v>3430</v>
      </c>
      <c r="B22" s="3682" t="s">
        <v>3431</v>
      </c>
      <c r="C22" s="3682" t="s">
        <v>3334</v>
      </c>
      <c r="D22" s="3682" t="s">
        <v>3412</v>
      </c>
      <c r="E22" s="3682">
        <v>9293</v>
      </c>
      <c r="F22" s="3682">
        <v>55800</v>
      </c>
      <c r="G22" s="3682">
        <v>6</v>
      </c>
      <c r="H22" s="3682">
        <v>6</v>
      </c>
      <c r="I22" s="3682" t="s">
        <v>3407</v>
      </c>
      <c r="J22" s="3683">
        <v>41855.000497685185</v>
      </c>
      <c r="K22" s="3682" t="s">
        <v>3422</v>
      </c>
      <c r="L22" s="3682" t="s">
        <v>3337</v>
      </c>
      <c r="M22" s="3682">
        <v>64700</v>
      </c>
      <c r="N22" s="3682">
        <v>4641.49</v>
      </c>
      <c r="O22" s="3682">
        <v>11595</v>
      </c>
      <c r="P22" s="3682">
        <v>0</v>
      </c>
      <c r="Q22" s="3682" t="s">
        <v>3409</v>
      </c>
    </row>
    <row r="23" spans="1:17">
      <c r="A23" s="3682" t="s">
        <v>3432</v>
      </c>
      <c r="B23" s="3682" t="s">
        <v>3433</v>
      </c>
      <c r="C23" s="3682" t="s">
        <v>3334</v>
      </c>
      <c r="D23" s="3682" t="s">
        <v>3434</v>
      </c>
      <c r="E23" s="3682">
        <v>17815</v>
      </c>
      <c r="F23" s="3682">
        <v>133500</v>
      </c>
      <c r="G23" s="3682">
        <v>7.49</v>
      </c>
      <c r="H23" s="3682">
        <v>7.49</v>
      </c>
      <c r="I23" s="3682" t="s">
        <v>3407</v>
      </c>
      <c r="J23" s="3683">
        <v>41765.000497685185</v>
      </c>
      <c r="K23" s="3682" t="s">
        <v>3435</v>
      </c>
      <c r="L23" s="3682" t="s">
        <v>3436</v>
      </c>
      <c r="M23" s="3682">
        <v>178500</v>
      </c>
      <c r="N23" s="3682">
        <v>6679.76</v>
      </c>
      <c r="O23" s="3682">
        <v>13371</v>
      </c>
      <c r="P23" s="3682">
        <v>18.29</v>
      </c>
      <c r="Q23" s="3682" t="s">
        <v>3409</v>
      </c>
    </row>
    <row r="24" spans="1:17">
      <c r="A24" s="3682" t="s">
        <v>3437</v>
      </c>
      <c r="B24" s="3682" t="s">
        <v>3438</v>
      </c>
      <c r="C24" s="3682" t="s">
        <v>3334</v>
      </c>
      <c r="D24" s="3682" t="s">
        <v>3434</v>
      </c>
      <c r="E24" s="3682">
        <v>8949</v>
      </c>
      <c r="F24" s="3682">
        <v>89000</v>
      </c>
      <c r="G24" s="3682">
        <v>9.9499999999999993</v>
      </c>
      <c r="H24" s="3682">
        <v>9.9499999999999993</v>
      </c>
      <c r="I24" s="3682" t="s">
        <v>3407</v>
      </c>
      <c r="J24" s="3683">
        <v>41765.000497685185</v>
      </c>
      <c r="K24" s="3682" t="s">
        <v>3435</v>
      </c>
      <c r="L24" s="3682" t="s">
        <v>3436</v>
      </c>
      <c r="M24" s="3682">
        <v>107000</v>
      </c>
      <c r="N24" s="3682">
        <v>7971.1</v>
      </c>
      <c r="O24" s="3682">
        <v>12022</v>
      </c>
      <c r="P24" s="3682">
        <v>6.36</v>
      </c>
      <c r="Q24" s="3682" t="s">
        <v>3409</v>
      </c>
    </row>
    <row r="25" spans="1:17">
      <c r="A25" s="3682" t="s">
        <v>3439</v>
      </c>
      <c r="B25" s="3682" t="s">
        <v>3440</v>
      </c>
      <c r="C25" s="3682" t="s">
        <v>3334</v>
      </c>
      <c r="D25" s="3682" t="s">
        <v>3434</v>
      </c>
      <c r="E25" s="3682">
        <v>17771</v>
      </c>
      <c r="F25" s="3682">
        <v>124600</v>
      </c>
      <c r="G25" s="3682">
        <v>7.01</v>
      </c>
      <c r="H25" s="3682">
        <v>7.01</v>
      </c>
      <c r="I25" s="3682" t="s">
        <v>3407</v>
      </c>
      <c r="J25" s="3683">
        <v>41733.000497685185</v>
      </c>
      <c r="K25" s="3682" t="s">
        <v>3441</v>
      </c>
      <c r="L25" s="3682" t="s">
        <v>3442</v>
      </c>
      <c r="M25" s="3682">
        <v>142900</v>
      </c>
      <c r="N25" s="3682">
        <v>5360.79</v>
      </c>
      <c r="O25" s="3682">
        <v>11469</v>
      </c>
      <c r="P25" s="3682">
        <v>1.49</v>
      </c>
      <c r="Q25" s="3682" t="s">
        <v>3409</v>
      </c>
    </row>
    <row r="26" spans="1:17">
      <c r="A26" s="3682" t="s">
        <v>3443</v>
      </c>
      <c r="B26" s="3682" t="s">
        <v>3444</v>
      </c>
      <c r="C26" s="3682" t="s">
        <v>3334</v>
      </c>
      <c r="D26" s="3682" t="s">
        <v>3434</v>
      </c>
      <c r="E26" s="3682">
        <v>17064</v>
      </c>
      <c r="F26" s="3682">
        <v>128300</v>
      </c>
      <c r="G26" s="3682">
        <v>7.52</v>
      </c>
      <c r="H26" s="3682">
        <v>7.52</v>
      </c>
      <c r="I26" s="3682" t="s">
        <v>3407</v>
      </c>
      <c r="J26" s="3683">
        <v>41733.000497685185</v>
      </c>
      <c r="K26" s="3682" t="s">
        <v>3445</v>
      </c>
      <c r="L26" s="3682" t="s">
        <v>3337</v>
      </c>
      <c r="M26" s="3682">
        <v>167000</v>
      </c>
      <c r="N26" s="3682">
        <v>6524.46</v>
      </c>
      <c r="O26" s="3682">
        <v>13016</v>
      </c>
      <c r="P26" s="3682">
        <v>15.17</v>
      </c>
      <c r="Q26" s="3682" t="s">
        <v>3409</v>
      </c>
    </row>
    <row r="27" spans="1:17">
      <c r="A27" s="3682" t="s">
        <v>3446</v>
      </c>
      <c r="B27" s="3682" t="s">
        <v>3447</v>
      </c>
      <c r="C27" s="3682" t="s">
        <v>3334</v>
      </c>
      <c r="D27" s="3682" t="s">
        <v>3366</v>
      </c>
      <c r="E27" s="3682">
        <v>1209458</v>
      </c>
      <c r="F27" s="3682">
        <v>798095</v>
      </c>
      <c r="G27" s="3682">
        <v>0.66</v>
      </c>
      <c r="H27" s="3682">
        <v>0.66</v>
      </c>
      <c r="I27" s="3682" t="s">
        <v>3448</v>
      </c>
      <c r="J27" s="3683">
        <v>41725.000497685185</v>
      </c>
      <c r="K27" s="3682" t="s">
        <v>3403</v>
      </c>
      <c r="L27" s="3682" t="s">
        <v>3337</v>
      </c>
      <c r="M27" s="3682">
        <v>193000</v>
      </c>
      <c r="N27" s="3682">
        <v>106.38</v>
      </c>
      <c r="O27" s="3682">
        <v>2418</v>
      </c>
      <c r="P27" s="3682">
        <v>0</v>
      </c>
      <c r="Q27" s="3682" t="s">
        <v>3409</v>
      </c>
    </row>
    <row r="28" spans="1:17">
      <c r="A28" s="3682" t="s">
        <v>3449</v>
      </c>
      <c r="B28" s="3682" t="s">
        <v>3450</v>
      </c>
      <c r="C28" s="3682" t="s">
        <v>3334</v>
      </c>
      <c r="D28" s="3682" t="s">
        <v>3417</v>
      </c>
      <c r="E28" s="3682">
        <v>17086</v>
      </c>
      <c r="F28" s="3682">
        <v>128300</v>
      </c>
      <c r="G28" s="3682">
        <v>7.51</v>
      </c>
      <c r="H28" s="3682">
        <v>7.51</v>
      </c>
      <c r="I28" s="3682" t="s">
        <v>3407</v>
      </c>
      <c r="J28" s="3683">
        <v>41694.000497685185</v>
      </c>
      <c r="K28" s="3682" t="s">
        <v>3451</v>
      </c>
      <c r="L28" s="3682" t="s">
        <v>3442</v>
      </c>
      <c r="M28" s="3682">
        <v>161658</v>
      </c>
      <c r="N28" s="3682">
        <v>6307.62</v>
      </c>
      <c r="O28" s="3682">
        <v>12600</v>
      </c>
      <c r="P28" s="3682">
        <v>0</v>
      </c>
      <c r="Q28" s="3682" t="s">
        <v>3409</v>
      </c>
    </row>
    <row r="29" spans="1:17">
      <c r="A29" s="3682" t="s">
        <v>3452</v>
      </c>
      <c r="B29" s="3682" t="s">
        <v>3453</v>
      </c>
      <c r="C29" s="3682" t="s">
        <v>3334</v>
      </c>
      <c r="D29" s="3682" t="s">
        <v>3417</v>
      </c>
      <c r="E29" s="3682">
        <v>15520</v>
      </c>
      <c r="F29" s="3682">
        <v>62000</v>
      </c>
      <c r="G29" s="3682">
        <v>3.99</v>
      </c>
      <c r="H29" s="3682">
        <v>3.99</v>
      </c>
      <c r="I29" s="3682" t="s">
        <v>3407</v>
      </c>
      <c r="J29" s="3683">
        <v>41596.000497685185</v>
      </c>
      <c r="K29" s="3682" t="s">
        <v>3454</v>
      </c>
      <c r="L29" s="3682" t="s">
        <v>3455</v>
      </c>
      <c r="M29" s="3682">
        <v>80600</v>
      </c>
      <c r="N29" s="3682">
        <v>3462.2</v>
      </c>
      <c r="O29" s="3682">
        <v>13000</v>
      </c>
      <c r="P29" s="3682">
        <v>0</v>
      </c>
      <c r="Q29" s="3682" t="s">
        <v>3456</v>
      </c>
    </row>
    <row r="30" spans="1:17">
      <c r="A30" s="3682" t="s">
        <v>3457</v>
      </c>
      <c r="B30" s="3682" t="s">
        <v>3458</v>
      </c>
      <c r="C30" s="3682" t="s">
        <v>3334</v>
      </c>
      <c r="D30" s="3682" t="s">
        <v>3434</v>
      </c>
      <c r="E30" s="3682">
        <v>22855</v>
      </c>
      <c r="F30" s="3682">
        <v>136800</v>
      </c>
      <c r="G30" s="3682">
        <v>5.99</v>
      </c>
      <c r="H30" s="3682">
        <v>5.99</v>
      </c>
      <c r="I30" s="3682" t="s">
        <v>3407</v>
      </c>
      <c r="J30" s="3683">
        <v>41596.000497685185</v>
      </c>
      <c r="K30" s="3682" t="s">
        <v>3459</v>
      </c>
      <c r="L30" s="3682" t="s">
        <v>3460</v>
      </c>
      <c r="M30" s="3682">
        <v>173777</v>
      </c>
      <c r="N30" s="3682">
        <v>5068.97</v>
      </c>
      <c r="O30" s="3682">
        <v>12703</v>
      </c>
      <c r="P30" s="3682">
        <v>0</v>
      </c>
      <c r="Q30" s="3682" t="s">
        <v>3456</v>
      </c>
    </row>
    <row r="31" spans="1:17">
      <c r="A31" s="3682" t="s">
        <v>3461</v>
      </c>
      <c r="B31" s="3682" t="s">
        <v>3462</v>
      </c>
      <c r="C31" s="3682" t="s">
        <v>3334</v>
      </c>
      <c r="D31" s="3682" t="s">
        <v>3434</v>
      </c>
      <c r="E31" s="3682">
        <v>26591</v>
      </c>
      <c r="F31" s="3682">
        <v>186200</v>
      </c>
      <c r="G31" s="3682">
        <v>7</v>
      </c>
      <c r="H31" s="3682">
        <v>0</v>
      </c>
      <c r="I31" s="3682" t="s">
        <v>3407</v>
      </c>
      <c r="J31" s="3683">
        <v>41592.000497685185</v>
      </c>
      <c r="K31" s="3682" t="s">
        <v>3459</v>
      </c>
      <c r="L31" s="3682" t="s">
        <v>3460</v>
      </c>
      <c r="M31" s="3682">
        <v>232777</v>
      </c>
      <c r="N31" s="3682">
        <v>5835.98</v>
      </c>
      <c r="O31" s="3682">
        <v>12501</v>
      </c>
      <c r="P31" s="3682">
        <v>0</v>
      </c>
      <c r="Q31" s="3682" t="s">
        <v>3456</v>
      </c>
    </row>
    <row r="32" spans="1:17">
      <c r="A32" s="3682" t="s">
        <v>3463</v>
      </c>
      <c r="B32" s="3682" t="s">
        <v>3464</v>
      </c>
      <c r="C32" s="3682" t="s">
        <v>3334</v>
      </c>
      <c r="D32" s="3682" t="s">
        <v>3434</v>
      </c>
      <c r="E32" s="3682">
        <v>20350</v>
      </c>
      <c r="F32" s="3682">
        <v>142800</v>
      </c>
      <c r="G32" s="3682">
        <v>7.02</v>
      </c>
      <c r="H32" s="3682">
        <v>7.02</v>
      </c>
      <c r="I32" s="3682" t="s">
        <v>3407</v>
      </c>
      <c r="J32" s="3683">
        <v>41592.000497685185</v>
      </c>
      <c r="K32" s="3682" t="s">
        <v>3459</v>
      </c>
      <c r="L32" s="3682" t="s">
        <v>3460</v>
      </c>
      <c r="M32" s="3682">
        <v>182777</v>
      </c>
      <c r="N32" s="3682">
        <v>5987.78</v>
      </c>
      <c r="O32" s="3682">
        <v>12800</v>
      </c>
      <c r="P32" s="3682">
        <v>0</v>
      </c>
      <c r="Q32" s="3682" t="s">
        <v>3456</v>
      </c>
    </row>
    <row r="33" spans="1:17">
      <c r="A33" s="3682" t="s">
        <v>3465</v>
      </c>
      <c r="B33" s="3682" t="s">
        <v>3466</v>
      </c>
      <c r="C33" s="3682" t="s">
        <v>3334</v>
      </c>
      <c r="D33" s="3682" t="s">
        <v>3417</v>
      </c>
      <c r="E33" s="3682">
        <v>14958</v>
      </c>
      <c r="F33" s="3682">
        <v>60000</v>
      </c>
      <c r="G33" s="3682">
        <v>4.01</v>
      </c>
      <c r="H33" s="3682">
        <v>4.01</v>
      </c>
      <c r="I33" s="3682" t="s">
        <v>3407</v>
      </c>
      <c r="J33" s="3683">
        <v>41592.000497685185</v>
      </c>
      <c r="K33" s="3682" t="s">
        <v>3467</v>
      </c>
      <c r="L33" s="3682" t="s">
        <v>3419</v>
      </c>
      <c r="M33" s="3682">
        <v>78200</v>
      </c>
      <c r="N33" s="3682">
        <v>3485.31</v>
      </c>
      <c r="O33" s="3682">
        <v>13033</v>
      </c>
      <c r="P33" s="3682">
        <v>0</v>
      </c>
      <c r="Q33" s="3682" t="s">
        <v>3456</v>
      </c>
    </row>
    <row r="34" spans="1:17">
      <c r="A34" s="3682" t="s">
        <v>3468</v>
      </c>
      <c r="B34" s="3682" t="s">
        <v>3469</v>
      </c>
      <c r="C34" s="3682" t="s">
        <v>3334</v>
      </c>
      <c r="D34" s="3682" t="s">
        <v>3417</v>
      </c>
      <c r="E34" s="3682">
        <v>19161</v>
      </c>
      <c r="F34" s="3682">
        <v>100100</v>
      </c>
      <c r="G34" s="3682">
        <v>5.22</v>
      </c>
      <c r="H34" s="3682">
        <v>5.22</v>
      </c>
      <c r="I34" s="3682" t="s">
        <v>3407</v>
      </c>
      <c r="J34" s="3683">
        <v>41586.000497685185</v>
      </c>
      <c r="K34" s="3682" t="s">
        <v>3470</v>
      </c>
      <c r="L34" s="3682" t="s">
        <v>3337</v>
      </c>
      <c r="M34" s="3682">
        <v>107107</v>
      </c>
      <c r="N34" s="3682">
        <v>3726.56</v>
      </c>
      <c r="O34" s="3682">
        <v>10700</v>
      </c>
      <c r="P34" s="3682">
        <v>0</v>
      </c>
      <c r="Q34" s="3682" t="s">
        <v>3456</v>
      </c>
    </row>
    <row r="35" spans="1:17">
      <c r="A35" s="3682" t="s">
        <v>3471</v>
      </c>
      <c r="B35" s="3682" t="s">
        <v>3472</v>
      </c>
      <c r="C35" s="3682" t="s">
        <v>3334</v>
      </c>
      <c r="D35" s="3682" t="s">
        <v>3417</v>
      </c>
      <c r="E35" s="3682">
        <v>21537</v>
      </c>
      <c r="F35" s="3682">
        <v>107500</v>
      </c>
      <c r="G35" s="3682">
        <v>4.99</v>
      </c>
      <c r="H35" s="3682">
        <v>4.99</v>
      </c>
      <c r="I35" s="3682" t="s">
        <v>3407</v>
      </c>
      <c r="J35" s="3683">
        <v>41586.000497685185</v>
      </c>
      <c r="K35" s="3682" t="s">
        <v>3473</v>
      </c>
      <c r="L35" s="3682" t="s">
        <v>3337</v>
      </c>
      <c r="M35" s="3682">
        <v>115025</v>
      </c>
      <c r="N35" s="3682">
        <v>3560.54</v>
      </c>
      <c r="O35" s="3682">
        <v>10700</v>
      </c>
      <c r="P35" s="3682">
        <v>0</v>
      </c>
      <c r="Q35" s="3682" t="s">
        <v>3456</v>
      </c>
    </row>
    <row r="36" spans="1:17">
      <c r="A36" s="3682" t="s">
        <v>3474</v>
      </c>
      <c r="B36" s="3682" t="s">
        <v>3475</v>
      </c>
      <c r="C36" s="3682" t="s">
        <v>3334</v>
      </c>
      <c r="D36" s="3682" t="s">
        <v>3417</v>
      </c>
      <c r="E36" s="3682">
        <v>20394</v>
      </c>
      <c r="F36" s="3682">
        <v>71800</v>
      </c>
      <c r="G36" s="3682">
        <v>3.52</v>
      </c>
      <c r="H36" s="3682">
        <v>3.52</v>
      </c>
      <c r="I36" s="3682" t="s">
        <v>3407</v>
      </c>
      <c r="J36" s="3683">
        <v>41578.000497685185</v>
      </c>
      <c r="K36" s="3682" t="s">
        <v>3476</v>
      </c>
      <c r="L36" s="3682" t="s">
        <v>3337</v>
      </c>
      <c r="M36" s="3682">
        <v>76826</v>
      </c>
      <c r="N36" s="3682">
        <v>2511.39</v>
      </c>
      <c r="O36" s="3682">
        <v>10700</v>
      </c>
      <c r="P36" s="3682">
        <v>0</v>
      </c>
      <c r="Q36" s="3682" t="s">
        <v>3456</v>
      </c>
    </row>
    <row r="37" spans="1:17">
      <c r="A37" s="3682" t="s">
        <v>3477</v>
      </c>
      <c r="B37" s="3682" t="s">
        <v>3478</v>
      </c>
      <c r="C37" s="3682" t="s">
        <v>3334</v>
      </c>
      <c r="D37" s="3682" t="s">
        <v>3417</v>
      </c>
      <c r="E37" s="3682">
        <v>7828</v>
      </c>
      <c r="F37" s="3682">
        <v>27300</v>
      </c>
      <c r="G37" s="3682">
        <v>3.49</v>
      </c>
      <c r="H37" s="3682">
        <v>3.49</v>
      </c>
      <c r="I37" s="3682" t="s">
        <v>3407</v>
      </c>
      <c r="J37" s="3683">
        <v>41578.000497685185</v>
      </c>
      <c r="K37" s="3682" t="s">
        <v>3479</v>
      </c>
      <c r="L37" s="3682" t="s">
        <v>3337</v>
      </c>
      <c r="M37" s="3682">
        <v>29211</v>
      </c>
      <c r="N37" s="3682">
        <v>2487.7399999999998</v>
      </c>
      <c r="O37" s="3682">
        <v>10700</v>
      </c>
      <c r="P37" s="3682">
        <v>0</v>
      </c>
      <c r="Q37" s="3682" t="s">
        <v>3456</v>
      </c>
    </row>
    <row r="38" spans="1:17">
      <c r="A38" s="3682" t="s">
        <v>3480</v>
      </c>
      <c r="B38" s="3682" t="s">
        <v>3481</v>
      </c>
      <c r="C38" s="3682" t="s">
        <v>3334</v>
      </c>
      <c r="D38" s="3682" t="s">
        <v>3417</v>
      </c>
      <c r="E38" s="3682">
        <v>17757</v>
      </c>
      <c r="F38" s="3682">
        <v>88900</v>
      </c>
      <c r="G38" s="3682">
        <v>5.01</v>
      </c>
      <c r="H38" s="3682">
        <v>5.01</v>
      </c>
      <c r="I38" s="3682" t="s">
        <v>3407</v>
      </c>
      <c r="J38" s="3683">
        <v>41578.000497685185</v>
      </c>
      <c r="K38" s="3682" t="s">
        <v>3482</v>
      </c>
      <c r="L38" s="3682" t="s">
        <v>3337</v>
      </c>
      <c r="M38" s="3682">
        <v>95123</v>
      </c>
      <c r="N38" s="3682">
        <v>3571.29</v>
      </c>
      <c r="O38" s="3682">
        <v>10700</v>
      </c>
      <c r="P38" s="3682">
        <v>0</v>
      </c>
      <c r="Q38" s="3682" t="s">
        <v>3456</v>
      </c>
    </row>
    <row r="39" spans="1:17">
      <c r="A39" s="3682" t="s">
        <v>3483</v>
      </c>
      <c r="B39" s="3682" t="s">
        <v>3484</v>
      </c>
      <c r="C39" s="3682" t="s">
        <v>3334</v>
      </c>
      <c r="D39" s="3682" t="s">
        <v>3485</v>
      </c>
      <c r="E39" s="3682">
        <v>34657</v>
      </c>
      <c r="F39" s="3682">
        <v>103971</v>
      </c>
      <c r="G39" s="3682">
        <v>3</v>
      </c>
      <c r="H39" s="3682">
        <v>3</v>
      </c>
      <c r="I39" s="3682" t="s">
        <v>3486</v>
      </c>
      <c r="J39" s="3683">
        <v>41500.000497685185</v>
      </c>
      <c r="K39" s="3682" t="s">
        <v>3487</v>
      </c>
      <c r="L39" s="3682" t="s">
        <v>3488</v>
      </c>
      <c r="M39" s="3682">
        <v>102000</v>
      </c>
      <c r="N39" s="3682">
        <v>1962.09</v>
      </c>
      <c r="O39" s="3682">
        <v>9810</v>
      </c>
      <c r="P39" s="3682">
        <v>27.5</v>
      </c>
      <c r="Q39" s="3682" t="s">
        <v>3409</v>
      </c>
    </row>
    <row r="40" spans="1:17">
      <c r="A40" s="3682" t="s">
        <v>3489</v>
      </c>
      <c r="B40" s="3682" t="s">
        <v>3490</v>
      </c>
      <c r="C40" s="3682" t="s">
        <v>3334</v>
      </c>
      <c r="D40" s="3682" t="s">
        <v>3485</v>
      </c>
      <c r="E40" s="3682">
        <v>99150</v>
      </c>
      <c r="F40" s="3682">
        <v>198300</v>
      </c>
      <c r="G40" s="3682">
        <v>2</v>
      </c>
      <c r="H40" s="3682">
        <v>2</v>
      </c>
      <c r="I40" s="3682" t="s">
        <v>3407</v>
      </c>
      <c r="J40" s="3683">
        <v>41480.000497685185</v>
      </c>
      <c r="K40" s="3682" t="s">
        <v>3491</v>
      </c>
      <c r="L40" s="3682" t="s">
        <v>3337</v>
      </c>
      <c r="M40" s="3682">
        <v>189400</v>
      </c>
      <c r="N40" s="3682">
        <v>1273.49</v>
      </c>
      <c r="O40" s="3682">
        <v>9551</v>
      </c>
      <c r="P40" s="3682">
        <v>0</v>
      </c>
      <c r="Q40" s="3682" t="s">
        <v>3409</v>
      </c>
    </row>
    <row r="41" spans="1:17">
      <c r="A41" s="3682" t="s">
        <v>3492</v>
      </c>
      <c r="B41" s="3682" t="s">
        <v>3493</v>
      </c>
      <c r="C41" s="3682" t="s">
        <v>3334</v>
      </c>
      <c r="D41" s="3682" t="s">
        <v>3417</v>
      </c>
      <c r="E41" s="3682">
        <v>8351</v>
      </c>
      <c r="F41" s="3682">
        <v>42000</v>
      </c>
      <c r="G41" s="3682">
        <v>5.03</v>
      </c>
      <c r="H41" s="3682">
        <v>5.03</v>
      </c>
      <c r="I41" s="3682" t="s">
        <v>3407</v>
      </c>
      <c r="J41" s="3683">
        <v>41452.000497685185</v>
      </c>
      <c r="K41" s="3682" t="s">
        <v>3494</v>
      </c>
      <c r="L41" s="3682" t="s">
        <v>3455</v>
      </c>
      <c r="M41" s="3682">
        <v>48000</v>
      </c>
      <c r="N41" s="3682">
        <v>3831.88</v>
      </c>
      <c r="O41" s="3682">
        <v>11429</v>
      </c>
      <c r="P41" s="3682">
        <v>1.05</v>
      </c>
      <c r="Q41" s="3682" t="s">
        <v>3409</v>
      </c>
    </row>
    <row r="42" spans="1:17">
      <c r="A42" s="3682" t="s">
        <v>3495</v>
      </c>
      <c r="B42" s="3682" t="s">
        <v>3496</v>
      </c>
      <c r="C42" s="3682" t="s">
        <v>3334</v>
      </c>
      <c r="D42" s="3682" t="s">
        <v>3417</v>
      </c>
      <c r="E42" s="3682">
        <v>9644</v>
      </c>
      <c r="F42" s="3682">
        <v>43700</v>
      </c>
      <c r="G42" s="3682">
        <v>4.53</v>
      </c>
      <c r="H42" s="3682">
        <v>4.53</v>
      </c>
      <c r="I42" s="3682" t="s">
        <v>3407</v>
      </c>
      <c r="J42" s="3683">
        <v>41452.000497685185</v>
      </c>
      <c r="K42" s="3682" t="s">
        <v>3497</v>
      </c>
      <c r="L42" s="3682" t="s">
        <v>3419</v>
      </c>
      <c r="M42" s="3682">
        <v>49650</v>
      </c>
      <c r="N42" s="3682">
        <v>3432.19</v>
      </c>
      <c r="O42" s="3682">
        <v>11362</v>
      </c>
      <c r="P42" s="3682">
        <v>0.51</v>
      </c>
      <c r="Q42" s="3682" t="s">
        <v>3409</v>
      </c>
    </row>
    <row r="43" spans="1:17">
      <c r="A43" s="3682" t="s">
        <v>3498</v>
      </c>
      <c r="B43" s="3682" t="s">
        <v>3499</v>
      </c>
      <c r="C43" s="3682" t="s">
        <v>3334</v>
      </c>
      <c r="D43" s="3682" t="s">
        <v>3417</v>
      </c>
      <c r="E43" s="3682">
        <v>14726</v>
      </c>
      <c r="F43" s="3682">
        <v>51500</v>
      </c>
      <c r="G43" s="3682">
        <v>3.5</v>
      </c>
      <c r="H43" s="3682">
        <v>0</v>
      </c>
      <c r="I43" s="3682" t="s">
        <v>3407</v>
      </c>
      <c r="J43" s="3683">
        <v>41414.000497685185</v>
      </c>
      <c r="K43" s="3682" t="s">
        <v>3494</v>
      </c>
      <c r="L43" s="3682" t="s">
        <v>3455</v>
      </c>
      <c r="M43" s="3682">
        <v>60512.5</v>
      </c>
      <c r="N43" s="3682">
        <v>2739.49</v>
      </c>
      <c r="O43" s="3682">
        <v>11750</v>
      </c>
      <c r="P43" s="3682">
        <v>0</v>
      </c>
      <c r="Q43" s="3682" t="s">
        <v>3409</v>
      </c>
    </row>
    <row r="44" spans="1:17">
      <c r="A44" s="3682" t="s">
        <v>3500</v>
      </c>
      <c r="B44" s="3682" t="s">
        <v>3501</v>
      </c>
      <c r="C44" s="3682" t="s">
        <v>3334</v>
      </c>
      <c r="D44" s="3682" t="s">
        <v>3485</v>
      </c>
      <c r="E44" s="3682">
        <v>39272</v>
      </c>
      <c r="F44" s="3682">
        <v>76464</v>
      </c>
      <c r="G44" s="3682">
        <v>1.95</v>
      </c>
      <c r="H44" s="3682">
        <v>1.95</v>
      </c>
      <c r="I44" s="3682" t="s">
        <v>3502</v>
      </c>
      <c r="J44" s="3683">
        <v>41424.000497685185</v>
      </c>
      <c r="K44" s="3682" t="s">
        <v>3503</v>
      </c>
      <c r="L44" s="3682" t="s">
        <v>3337</v>
      </c>
      <c r="M44" s="3682">
        <v>104000</v>
      </c>
      <c r="N44" s="3682">
        <v>1765.46</v>
      </c>
      <c r="O44" s="3682">
        <v>13601</v>
      </c>
      <c r="P44" s="3682">
        <v>242.11</v>
      </c>
      <c r="Q44" s="3682" t="s">
        <v>3409</v>
      </c>
    </row>
    <row r="45" spans="1:17">
      <c r="A45" s="3682" t="s">
        <v>3504</v>
      </c>
      <c r="B45" s="3682" t="s">
        <v>3505</v>
      </c>
      <c r="C45" s="3682" t="s">
        <v>3334</v>
      </c>
      <c r="D45" s="3682" t="s">
        <v>3417</v>
      </c>
      <c r="E45" s="3682">
        <v>9021</v>
      </c>
      <c r="F45" s="3682">
        <v>31500</v>
      </c>
      <c r="G45" s="3682">
        <v>3.49</v>
      </c>
      <c r="H45" s="3682">
        <v>3.49</v>
      </c>
      <c r="I45" s="3682" t="s">
        <v>3407</v>
      </c>
      <c r="J45" s="3683">
        <v>41414.000497685185</v>
      </c>
      <c r="K45" s="3682" t="s">
        <v>3494</v>
      </c>
      <c r="L45" s="3682" t="s">
        <v>3455</v>
      </c>
      <c r="M45" s="3682">
        <v>37012.5</v>
      </c>
      <c r="N45" s="3682">
        <v>2735.28</v>
      </c>
      <c r="O45" s="3682">
        <v>11750</v>
      </c>
      <c r="P45" s="3682">
        <v>0</v>
      </c>
      <c r="Q45" s="3682" t="s">
        <v>3409</v>
      </c>
    </row>
    <row r="46" spans="1:17">
      <c r="A46" s="3682" t="s">
        <v>3506</v>
      </c>
      <c r="B46" s="3682" t="s">
        <v>3507</v>
      </c>
      <c r="C46" s="3682" t="s">
        <v>3334</v>
      </c>
      <c r="D46" s="3682" t="s">
        <v>3485</v>
      </c>
      <c r="E46" s="3682">
        <v>31401</v>
      </c>
      <c r="F46" s="3682">
        <v>62802</v>
      </c>
      <c r="G46" s="3682">
        <v>2</v>
      </c>
      <c r="H46" s="3682">
        <v>2</v>
      </c>
      <c r="I46" s="3682" t="s">
        <v>3336</v>
      </c>
      <c r="J46" s="3683">
        <v>41414.000497685185</v>
      </c>
      <c r="K46" s="3682" t="s">
        <v>3503</v>
      </c>
      <c r="L46" s="3682" t="s">
        <v>3337</v>
      </c>
      <c r="M46" s="3682">
        <v>82500</v>
      </c>
      <c r="N46" s="3682">
        <v>1751.54</v>
      </c>
      <c r="O46" s="3682">
        <v>13137</v>
      </c>
      <c r="P46" s="3682">
        <v>230</v>
      </c>
      <c r="Q46" s="3682" t="s">
        <v>3409</v>
      </c>
    </row>
    <row r="47" spans="1:17">
      <c r="A47" s="3682" t="s">
        <v>3508</v>
      </c>
      <c r="B47" s="3682" t="s">
        <v>3509</v>
      </c>
      <c r="C47" s="3682" t="s">
        <v>3334</v>
      </c>
      <c r="D47" s="3682" t="s">
        <v>3417</v>
      </c>
      <c r="E47" s="3682">
        <v>16160</v>
      </c>
      <c r="F47" s="3682">
        <v>56700</v>
      </c>
      <c r="G47" s="3682">
        <v>3.51</v>
      </c>
      <c r="H47" s="3682">
        <v>3.51</v>
      </c>
      <c r="I47" s="3682" t="s">
        <v>3407</v>
      </c>
      <c r="J47" s="3683">
        <v>41379.000497685185</v>
      </c>
      <c r="K47" s="3682" t="s">
        <v>3510</v>
      </c>
      <c r="L47" s="3682" t="s">
        <v>3337</v>
      </c>
      <c r="M47" s="3682">
        <v>52280</v>
      </c>
      <c r="N47" s="3682">
        <v>2156.77</v>
      </c>
      <c r="O47" s="3682">
        <v>9220</v>
      </c>
      <c r="P47" s="3682">
        <v>0</v>
      </c>
      <c r="Q47" s="3682" t="s">
        <v>3511</v>
      </c>
    </row>
    <row r="48" spans="1:17">
      <c r="A48" s="3682" t="s">
        <v>3512</v>
      </c>
      <c r="B48" s="3682" t="s">
        <v>3513</v>
      </c>
      <c r="C48" s="3682" t="s">
        <v>3334</v>
      </c>
      <c r="D48" s="3682" t="s">
        <v>3417</v>
      </c>
      <c r="E48" s="3682">
        <v>13351</v>
      </c>
      <c r="F48" s="3682">
        <v>60300</v>
      </c>
      <c r="G48" s="3682">
        <v>4.5199999999999996</v>
      </c>
      <c r="H48" s="3682">
        <v>4.5199999999999996</v>
      </c>
      <c r="I48" s="3682" t="s">
        <v>3407</v>
      </c>
      <c r="J48" s="3683">
        <v>41379.000497685185</v>
      </c>
      <c r="K48" s="3682" t="s">
        <v>3514</v>
      </c>
      <c r="L48" s="3682" t="s">
        <v>3337</v>
      </c>
      <c r="M48" s="3682">
        <v>55600</v>
      </c>
      <c r="N48" s="3682">
        <v>2776.32</v>
      </c>
      <c r="O48" s="3682">
        <v>9221</v>
      </c>
      <c r="P48" s="3682">
        <v>0</v>
      </c>
      <c r="Q48" s="3682" t="s">
        <v>3511</v>
      </c>
    </row>
    <row r="49" spans="1:17">
      <c r="A49" s="3682" t="s">
        <v>3515</v>
      </c>
      <c r="B49" s="3682" t="s">
        <v>3516</v>
      </c>
      <c r="C49" s="3682" t="s">
        <v>3334</v>
      </c>
      <c r="D49" s="3682" t="s">
        <v>3417</v>
      </c>
      <c r="E49" s="3682">
        <v>20423</v>
      </c>
      <c r="F49" s="3682">
        <v>122400</v>
      </c>
      <c r="G49" s="3682">
        <v>6</v>
      </c>
      <c r="H49" s="3682">
        <v>6</v>
      </c>
      <c r="I49" s="3682" t="s">
        <v>3407</v>
      </c>
      <c r="J49" s="3683">
        <v>41375.000497685185</v>
      </c>
      <c r="K49" s="3682" t="s">
        <v>3517</v>
      </c>
      <c r="L49" s="3682" t="s">
        <v>3337</v>
      </c>
      <c r="M49" s="3682">
        <v>112852.8</v>
      </c>
      <c r="N49" s="3682">
        <v>3683.85</v>
      </c>
      <c r="O49" s="3682">
        <v>9220</v>
      </c>
      <c r="P49" s="3682">
        <v>0</v>
      </c>
      <c r="Q49" s="3682" t="s">
        <v>3409</v>
      </c>
    </row>
    <row r="50" spans="1:17">
      <c r="A50" s="3682" t="s">
        <v>3518</v>
      </c>
      <c r="B50" s="3682" t="s">
        <v>3519</v>
      </c>
      <c r="C50" s="3682" t="s">
        <v>3334</v>
      </c>
      <c r="D50" s="3682" t="s">
        <v>3412</v>
      </c>
      <c r="E50" s="3682">
        <v>9147</v>
      </c>
      <c r="F50" s="3682">
        <v>72000</v>
      </c>
      <c r="G50" s="3682">
        <v>7.9</v>
      </c>
      <c r="H50" s="3682">
        <v>7.9</v>
      </c>
      <c r="I50" s="3682" t="s">
        <v>3336</v>
      </c>
      <c r="J50" s="3683">
        <v>40592.000497685185</v>
      </c>
      <c r="K50" s="3682" t="s">
        <v>3520</v>
      </c>
      <c r="L50" s="3682" t="s">
        <v>3521</v>
      </c>
      <c r="M50" s="3682">
        <v>63360</v>
      </c>
      <c r="N50" s="3682">
        <v>4617.91</v>
      </c>
      <c r="O50" s="3682">
        <v>8800</v>
      </c>
      <c r="P50" s="3682">
        <v>0</v>
      </c>
      <c r="Q50" s="3682" t="s">
        <v>3522</v>
      </c>
    </row>
    <row r="51" spans="1:17">
      <c r="A51" s="3682" t="s">
        <v>3523</v>
      </c>
      <c r="B51" s="3682" t="s">
        <v>3524</v>
      </c>
      <c r="C51" s="3682" t="s">
        <v>3334</v>
      </c>
      <c r="D51" s="3682" t="s">
        <v>3356</v>
      </c>
      <c r="E51" s="3682">
        <v>117760</v>
      </c>
      <c r="F51" s="3682">
        <v>294400</v>
      </c>
      <c r="G51" s="3682">
        <v>2.5</v>
      </c>
      <c r="H51" s="3682">
        <v>2.5</v>
      </c>
      <c r="I51" s="3682" t="s">
        <v>3336</v>
      </c>
      <c r="J51" s="3683">
        <v>40770.000497685185</v>
      </c>
      <c r="K51" s="3682" t="s">
        <v>3525</v>
      </c>
      <c r="L51" s="3682" t="s">
        <v>3526</v>
      </c>
      <c r="M51" s="3682">
        <v>87000</v>
      </c>
      <c r="N51" s="3682">
        <v>492.53</v>
      </c>
      <c r="O51" s="3682">
        <v>2955</v>
      </c>
      <c r="P51" s="3682">
        <v>47.71</v>
      </c>
      <c r="Q51" s="3682" t="s">
        <v>3527</v>
      </c>
    </row>
  </sheetData>
  <phoneticPr fontId="22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U29"/>
  <sheetViews>
    <sheetView workbookViewId="0">
      <pane xSplit="10" ySplit="20" topLeftCell="K21" activePane="bottomRight" state="frozen"/>
      <selection pane="topRight" activeCell="K1" sqref="K1"/>
      <selection pane="bottomLeft" activeCell="A21" sqref="A21"/>
      <selection pane="bottomRight" activeCell="P15" sqref="P15"/>
    </sheetView>
  </sheetViews>
  <sheetFormatPr defaultRowHeight="13.5"/>
  <sheetData>
    <row r="1" spans="11:21">
      <c r="K1" s="2985" t="s">
        <v>3609</v>
      </c>
      <c r="L1" s="2985" t="s">
        <v>3610</v>
      </c>
      <c r="M1" s="2985" t="s">
        <v>3611</v>
      </c>
      <c r="N1" s="2985" t="s">
        <v>3612</v>
      </c>
      <c r="O1" s="2985" t="s">
        <v>3613</v>
      </c>
      <c r="P1" s="2985" t="s">
        <v>3627</v>
      </c>
    </row>
    <row r="2" spans="11:21">
      <c r="K2">
        <v>1</v>
      </c>
      <c r="L2" s="2985" t="s">
        <v>3614</v>
      </c>
      <c r="M2">
        <v>1800</v>
      </c>
      <c r="N2">
        <v>6000</v>
      </c>
      <c r="O2">
        <v>300</v>
      </c>
      <c r="P2">
        <f>ROUND((N2+M2)/2,0)</f>
        <v>3900</v>
      </c>
    </row>
    <row r="3" spans="11:21">
      <c r="K3">
        <v>2</v>
      </c>
      <c r="L3" s="2985" t="s">
        <v>3615</v>
      </c>
      <c r="M3">
        <v>1500</v>
      </c>
      <c r="N3">
        <v>6000</v>
      </c>
      <c r="O3">
        <v>1500</v>
      </c>
      <c r="P3">
        <f t="shared" ref="P3:P14" si="0">ROUND((N3+M3)/2,0)</f>
        <v>3750</v>
      </c>
    </row>
    <row r="4" spans="11:21">
      <c r="K4">
        <v>3</v>
      </c>
      <c r="L4" s="2985" t="s">
        <v>3616</v>
      </c>
      <c r="M4">
        <v>3000</v>
      </c>
      <c r="N4">
        <v>8000</v>
      </c>
      <c r="O4">
        <v>300</v>
      </c>
      <c r="P4">
        <f t="shared" si="0"/>
        <v>5500</v>
      </c>
      <c r="S4">
        <v>1790</v>
      </c>
      <c r="T4">
        <v>12.46</v>
      </c>
      <c r="U4">
        <f t="shared" ref="U4:U17" si="1">ROUND(S4/T4/30,1)</f>
        <v>4.8</v>
      </c>
    </row>
    <row r="5" spans="11:21">
      <c r="K5">
        <v>4</v>
      </c>
      <c r="L5" s="2985" t="s">
        <v>3617</v>
      </c>
      <c r="M5">
        <v>1000</v>
      </c>
      <c r="N5">
        <v>2100</v>
      </c>
      <c r="O5">
        <v>200</v>
      </c>
      <c r="P5" s="3718">
        <f t="shared" si="0"/>
        <v>1550</v>
      </c>
      <c r="S5">
        <v>1930</v>
      </c>
      <c r="T5">
        <v>11</v>
      </c>
      <c r="U5">
        <f t="shared" si="1"/>
        <v>5.8</v>
      </c>
    </row>
    <row r="6" spans="11:21">
      <c r="K6">
        <v>5</v>
      </c>
      <c r="L6" s="2985" t="s">
        <v>3618</v>
      </c>
      <c r="M6">
        <v>4000</v>
      </c>
      <c r="N6">
        <v>6000</v>
      </c>
      <c r="O6">
        <v>52</v>
      </c>
      <c r="P6">
        <f t="shared" si="0"/>
        <v>5000</v>
      </c>
      <c r="S6">
        <v>2290</v>
      </c>
      <c r="T6">
        <v>14</v>
      </c>
      <c r="U6">
        <f t="shared" si="1"/>
        <v>5.5</v>
      </c>
    </row>
    <row r="7" spans="11:21">
      <c r="K7">
        <v>6</v>
      </c>
      <c r="L7" s="2985" t="s">
        <v>3619</v>
      </c>
      <c r="M7">
        <v>1500</v>
      </c>
      <c r="N7">
        <v>6500</v>
      </c>
      <c r="O7">
        <v>60</v>
      </c>
      <c r="P7">
        <f t="shared" si="0"/>
        <v>4000</v>
      </c>
      <c r="S7">
        <v>1930</v>
      </c>
      <c r="T7">
        <v>11.2</v>
      </c>
      <c r="U7">
        <f t="shared" si="1"/>
        <v>5.7</v>
      </c>
    </row>
    <row r="8" spans="11:21">
      <c r="K8">
        <v>7</v>
      </c>
      <c r="L8" s="2985" t="s">
        <v>3620</v>
      </c>
      <c r="M8">
        <v>3000</v>
      </c>
      <c r="N8">
        <v>10000</v>
      </c>
      <c r="O8">
        <v>12</v>
      </c>
      <c r="P8">
        <f t="shared" si="0"/>
        <v>6500</v>
      </c>
      <c r="S8">
        <v>2052</v>
      </c>
      <c r="T8">
        <v>11.85</v>
      </c>
      <c r="U8">
        <f t="shared" si="1"/>
        <v>5.8</v>
      </c>
    </row>
    <row r="9" spans="11:21">
      <c r="K9">
        <v>8</v>
      </c>
      <c r="L9" s="2985" t="s">
        <v>3621</v>
      </c>
      <c r="M9">
        <v>3500</v>
      </c>
      <c r="N9">
        <v>8000</v>
      </c>
      <c r="O9">
        <v>75</v>
      </c>
      <c r="P9">
        <f t="shared" si="0"/>
        <v>5750</v>
      </c>
      <c r="S9">
        <v>2030</v>
      </c>
      <c r="T9">
        <v>10.1</v>
      </c>
      <c r="U9">
        <f t="shared" si="1"/>
        <v>6.7</v>
      </c>
    </row>
    <row r="10" spans="11:21">
      <c r="K10">
        <v>9</v>
      </c>
      <c r="L10" s="2985" t="s">
        <v>3622</v>
      </c>
      <c r="M10">
        <v>2200</v>
      </c>
      <c r="N10">
        <v>4400</v>
      </c>
      <c r="O10">
        <v>210</v>
      </c>
      <c r="P10">
        <f t="shared" si="0"/>
        <v>3300</v>
      </c>
      <c r="S10">
        <v>2790</v>
      </c>
      <c r="T10">
        <v>13</v>
      </c>
      <c r="U10">
        <f t="shared" si="1"/>
        <v>7.2</v>
      </c>
    </row>
    <row r="11" spans="11:21">
      <c r="K11">
        <v>10</v>
      </c>
      <c r="L11" s="2985" t="s">
        <v>3623</v>
      </c>
      <c r="M11">
        <v>5500</v>
      </c>
      <c r="N11">
        <v>11000</v>
      </c>
      <c r="O11">
        <v>154</v>
      </c>
      <c r="P11">
        <f t="shared" si="0"/>
        <v>8250</v>
      </c>
      <c r="S11">
        <v>3800</v>
      </c>
      <c r="T11">
        <v>95.52</v>
      </c>
      <c r="U11">
        <f t="shared" si="1"/>
        <v>1.3</v>
      </c>
    </row>
    <row r="12" spans="11:21">
      <c r="K12">
        <v>11</v>
      </c>
      <c r="L12" s="2985" t="s">
        <v>3624</v>
      </c>
      <c r="M12">
        <v>3000</v>
      </c>
      <c r="N12">
        <v>6000</v>
      </c>
      <c r="O12">
        <v>93</v>
      </c>
      <c r="P12">
        <f t="shared" si="0"/>
        <v>4500</v>
      </c>
      <c r="S12">
        <v>4530</v>
      </c>
      <c r="T12">
        <v>64.430000000000007</v>
      </c>
      <c r="U12">
        <f t="shared" si="1"/>
        <v>2.2999999999999998</v>
      </c>
    </row>
    <row r="13" spans="11:21">
      <c r="K13">
        <v>12</v>
      </c>
      <c r="L13" s="2985" t="s">
        <v>3625</v>
      </c>
      <c r="M13">
        <v>2500</v>
      </c>
      <c r="N13">
        <v>5000</v>
      </c>
      <c r="O13">
        <v>120</v>
      </c>
      <c r="P13">
        <f t="shared" si="0"/>
        <v>3750</v>
      </c>
      <c r="S13">
        <v>6500</v>
      </c>
      <c r="T13">
        <v>129</v>
      </c>
      <c r="U13">
        <f t="shared" si="1"/>
        <v>1.7</v>
      </c>
    </row>
    <row r="14" spans="11:21">
      <c r="K14">
        <v>13</v>
      </c>
      <c r="L14" s="2985" t="s">
        <v>3626</v>
      </c>
      <c r="M14">
        <v>3000</v>
      </c>
      <c r="N14">
        <v>8000</v>
      </c>
      <c r="O14">
        <v>180</v>
      </c>
      <c r="P14">
        <f t="shared" si="0"/>
        <v>5500</v>
      </c>
      <c r="S14">
        <v>5030</v>
      </c>
      <c r="T14">
        <v>82.47</v>
      </c>
      <c r="U14">
        <f t="shared" si="1"/>
        <v>2</v>
      </c>
    </row>
    <row r="15" spans="11:21">
      <c r="K15">
        <v>14</v>
      </c>
      <c r="P15">
        <f>SUM(P2:P14)-P5</f>
        <v>59700</v>
      </c>
      <c r="S15">
        <v>4950</v>
      </c>
      <c r="T15">
        <v>85</v>
      </c>
      <c r="U15">
        <f t="shared" si="1"/>
        <v>1.9</v>
      </c>
    </row>
    <row r="16" spans="11:21">
      <c r="K16">
        <v>15</v>
      </c>
      <c r="P16">
        <f>P15/12</f>
        <v>4975</v>
      </c>
      <c r="S16">
        <v>5377</v>
      </c>
      <c r="T16">
        <v>94.38</v>
      </c>
      <c r="U16">
        <f t="shared" si="1"/>
        <v>1.9</v>
      </c>
    </row>
    <row r="17" spans="11:21">
      <c r="K17">
        <v>16</v>
      </c>
      <c r="P17">
        <f>P16/30/46</f>
        <v>3.6050724637681162</v>
      </c>
      <c r="S17">
        <v>3000</v>
      </c>
      <c r="T17">
        <v>55</v>
      </c>
      <c r="U17">
        <f t="shared" si="1"/>
        <v>1.8</v>
      </c>
    </row>
    <row r="18" spans="11:21">
      <c r="K18">
        <v>17</v>
      </c>
    </row>
    <row r="19" spans="11:21">
      <c r="K19">
        <v>18</v>
      </c>
    </row>
    <row r="20" spans="11:21">
      <c r="K20">
        <v>19</v>
      </c>
    </row>
    <row r="21" spans="11:21">
      <c r="K21">
        <v>20</v>
      </c>
    </row>
    <row r="22" spans="11:21">
      <c r="K22">
        <v>21</v>
      </c>
    </row>
    <row r="23" spans="11:21">
      <c r="K23">
        <v>22</v>
      </c>
    </row>
    <row r="24" spans="11:21">
      <c r="K24">
        <v>23</v>
      </c>
    </row>
    <row r="25" spans="11:21">
      <c r="K25">
        <v>24</v>
      </c>
    </row>
    <row r="26" spans="11:21">
      <c r="K26">
        <v>25</v>
      </c>
    </row>
    <row r="27" spans="11:21">
      <c r="K27">
        <v>26</v>
      </c>
    </row>
    <row r="28" spans="11:21">
      <c r="K28">
        <v>27</v>
      </c>
    </row>
    <row r="29" spans="11:21">
      <c r="K29">
        <v>28</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3" t="s">
        <v>1555</v>
      </c>
      <c r="B1" s="3723"/>
      <c r="C1" s="3723"/>
      <c r="D1" s="3723"/>
      <c r="E1" s="3723"/>
      <c r="F1" s="3723"/>
      <c r="G1" s="3723"/>
      <c r="H1" s="3723"/>
      <c r="I1" s="3723"/>
      <c r="J1" s="3723"/>
      <c r="K1" s="3723"/>
      <c r="L1" s="3723"/>
      <c r="M1" s="3723"/>
      <c r="N1" s="3723"/>
      <c r="O1" s="3723"/>
      <c r="P1" s="3723"/>
      <c r="Q1" s="3723"/>
      <c r="R1" s="3723"/>
    </row>
    <row r="2" spans="1:18">
      <c r="A2" s="1593" t="s">
        <v>1557</v>
      </c>
      <c r="B2" s="1593"/>
      <c r="C2" s="1593"/>
      <c r="D2" s="1593"/>
      <c r="E2" s="1593"/>
      <c r="F2" s="1593"/>
      <c r="G2" s="1593"/>
      <c r="H2" s="1593"/>
      <c r="I2" s="1594"/>
      <c r="J2" s="1594"/>
      <c r="K2" s="1595" t="str">
        <f>"估价期日："&amp;TEXT(项目基本情况!D3,"yyyy年m月d日;;")</f>
        <v>估价期日：2023年12月6日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24" t="s">
        <v>1546</v>
      </c>
      <c r="B3" s="3724" t="s">
        <v>2012</v>
      </c>
      <c r="C3" s="3725" t="s">
        <v>1547</v>
      </c>
      <c r="D3" s="3724" t="s">
        <v>2016</v>
      </c>
      <c r="E3" s="3727" t="s">
        <v>1548</v>
      </c>
      <c r="F3" s="3727"/>
      <c r="G3" s="3727"/>
      <c r="H3" s="3727" t="s">
        <v>1549</v>
      </c>
      <c r="I3" s="3727"/>
      <c r="J3" s="3727"/>
      <c r="K3" s="3725" t="s">
        <v>1550</v>
      </c>
      <c r="L3" s="3725" t="s">
        <v>1551</v>
      </c>
      <c r="M3" s="3724" t="s">
        <v>2013</v>
      </c>
      <c r="N3" s="3726" t="str">
        <f>"（分摊）"&amp;项目基本情况!A17&amp;"国有建设用地使用权面积/㎡"</f>
        <v>（分摊）出让国有建设用地使用权面积/㎡</v>
      </c>
      <c r="O3" s="3724" t="s">
        <v>1580</v>
      </c>
      <c r="P3" s="3725" t="s">
        <v>1560</v>
      </c>
      <c r="Q3" s="3725" t="s">
        <v>1581</v>
      </c>
      <c r="R3" s="3725" t="s">
        <v>1552</v>
      </c>
    </row>
    <row r="4" spans="1:18" ht="36.75" customHeight="1">
      <c r="A4" s="3724"/>
      <c r="B4" s="3724"/>
      <c r="C4" s="3725"/>
      <c r="D4" s="3724"/>
      <c r="E4" s="2252" t="s">
        <v>1559</v>
      </c>
      <c r="F4" s="2252" t="s">
        <v>2025</v>
      </c>
      <c r="G4" s="2252" t="s">
        <v>1553</v>
      </c>
      <c r="H4" s="2252" t="s">
        <v>1554</v>
      </c>
      <c r="I4" s="2252" t="s">
        <v>2026</v>
      </c>
      <c r="J4" s="2252" t="s">
        <v>1553</v>
      </c>
      <c r="K4" s="3725"/>
      <c r="L4" s="3725"/>
      <c r="M4" s="3724"/>
      <c r="N4" s="3726"/>
      <c r="O4" s="3724"/>
      <c r="P4" s="3725"/>
      <c r="Q4" s="3725"/>
      <c r="R4" s="3725"/>
    </row>
    <row r="5" spans="1:18" ht="135" customHeight="1">
      <c r="A5" s="1697" t="s">
        <v>1936</v>
      </c>
      <c r="B5" s="2345" t="s">
        <v>1934</v>
      </c>
      <c r="C5" s="2251">
        <v>22</v>
      </c>
      <c r="D5" s="2250" t="s">
        <v>1935</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红线外七通、宗地红线内场地平整</v>
      </c>
      <c r="M5" s="1596">
        <f>IF(项目基本情况!A17="出让",项目基本情况!D20,"——")</f>
        <v>0</v>
      </c>
      <c r="N5" s="1596">
        <f>项目基本情况!C22</f>
        <v>16124.25</v>
      </c>
      <c r="O5" s="1596">
        <f>项目基本情况!C21</f>
        <v>45811.100000000013</v>
      </c>
      <c r="P5" s="1596">
        <f ca="1">结果表!E42</f>
        <v>13434</v>
      </c>
      <c r="Q5" s="1596">
        <f ca="1">结果表!D42</f>
        <v>4728</v>
      </c>
      <c r="R5" s="1597">
        <f ca="1">结果表!C42</f>
        <v>21661</v>
      </c>
    </row>
    <row r="6" spans="1:18">
      <c r="A6" s="3720" t="str">
        <f>IF(项目基本情况!B9="市场价格","——","抵押价格")</f>
        <v>——</v>
      </c>
      <c r="B6" s="3721"/>
      <c r="C6" s="3721"/>
      <c r="D6" s="3721"/>
      <c r="E6" s="3721"/>
      <c r="F6" s="3721"/>
      <c r="G6" s="3721"/>
      <c r="H6" s="3721"/>
      <c r="I6" s="3721"/>
      <c r="J6" s="3721"/>
      <c r="K6" s="3721"/>
      <c r="L6" s="3721"/>
      <c r="M6" s="3721"/>
      <c r="N6" s="3721"/>
      <c r="O6" s="3721"/>
      <c r="P6" s="3721"/>
      <c r="Q6" s="3722"/>
      <c r="R6" s="1598">
        <f ca="1">结果表!O39</f>
        <v>21487</v>
      </c>
    </row>
    <row r="7" spans="1:18">
      <c r="A7" s="3720" t="str">
        <f>IF(项目基本情况!B9="市场价格","——",IF(项目基本情况!E8="已注销及未注销","抵押担保权已注销时的抵押价格","——"))</f>
        <v>——</v>
      </c>
      <c r="B7" s="3721"/>
      <c r="C7" s="3721"/>
      <c r="D7" s="3721"/>
      <c r="E7" s="3721"/>
      <c r="F7" s="3721"/>
      <c r="G7" s="3721"/>
      <c r="H7" s="3721"/>
      <c r="I7" s="3721"/>
      <c r="J7" s="3721"/>
      <c r="K7" s="3721"/>
      <c r="L7" s="3721"/>
      <c r="M7" s="3721"/>
      <c r="N7" s="3721"/>
      <c r="O7" s="3721"/>
      <c r="P7" s="3721"/>
      <c r="Q7" s="3722"/>
      <c r="R7" s="1598" t="str">
        <f>结果表!O40</f>
        <v>——</v>
      </c>
    </row>
    <row r="8" spans="1:18">
      <c r="A8" s="3720" t="str">
        <f>IF(项目基本情况!B9="市场价格","——",项目基本情况!E9)</f>
        <v>——</v>
      </c>
      <c r="B8" s="3721"/>
      <c r="C8" s="3721"/>
      <c r="D8" s="3721"/>
      <c r="E8" s="3721"/>
      <c r="F8" s="3721"/>
      <c r="G8" s="3721"/>
      <c r="H8" s="3721"/>
      <c r="I8" s="3721"/>
      <c r="J8" s="3721"/>
      <c r="K8" s="3721"/>
      <c r="L8" s="3721"/>
      <c r="M8" s="3721"/>
      <c r="N8" s="3721"/>
      <c r="O8" s="3721"/>
      <c r="P8" s="3721"/>
      <c r="Q8" s="3722"/>
      <c r="R8" s="1598" t="str">
        <f>结果表!O41</f>
        <v>——</v>
      </c>
    </row>
    <row r="9" spans="1:18">
      <c r="A9" s="1599" t="s">
        <v>1558</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1545</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8" t="s">
        <v>1582</v>
      </c>
      <c r="B1" s="3728"/>
      <c r="C1" s="3728"/>
      <c r="D1" s="3728"/>
    </row>
    <row r="2" spans="1:4" ht="47.25" customHeight="1">
      <c r="A2" s="3732" t="str">
        <f>"1.权利限制："&amp;项目基本情况!L24&amp;"未设定租赁等其他他项权利。"</f>
        <v>1.权利限制：根据估价对象《不动产权证书》复印件、《国有土地使用权》复印件，截至估价期日，估价对象抵押权未见登记。未设定租赁等其他他项权利。</v>
      </c>
      <c r="B2" s="3732"/>
      <c r="C2" s="3732"/>
      <c r="D2" s="3732"/>
    </row>
    <row r="3" spans="1:4" ht="48" customHeight="1">
      <c r="A3" s="37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8"/>
      <c r="C3" s="3728"/>
      <c r="D3" s="3728"/>
    </row>
    <row r="4" spans="1:4" ht="36.75" customHeight="1">
      <c r="A4" s="3728" t="str">
        <f>"3.估价规划限制条件：详见"&amp;项目基本情况!E21&amp;"。"</f>
        <v>3.估价规划限制条件：详见《建设工程规划许可证》[]、《出让合同》[]。</v>
      </c>
      <c r="B4" s="3728"/>
      <c r="C4" s="3728"/>
      <c r="D4" s="3728"/>
    </row>
    <row r="5" spans="1:4">
      <c r="A5" s="3731" t="s">
        <v>1583</v>
      </c>
      <c r="B5" s="3731"/>
      <c r="C5" s="3731"/>
      <c r="D5" s="3731"/>
    </row>
    <row r="6" spans="1:4">
      <c r="A6" s="3728" t="s">
        <v>1561</v>
      </c>
      <c r="B6" s="3728"/>
      <c r="C6" s="3728"/>
      <c r="D6" s="3728"/>
    </row>
    <row r="7" spans="1:4" ht="33" customHeight="1">
      <c r="A7" s="3728" t="s">
        <v>1856</v>
      </c>
      <c r="B7" s="3728"/>
      <c r="C7" s="3728"/>
      <c r="D7" s="3728"/>
    </row>
    <row r="8" spans="1:4" ht="32.25" customHeight="1">
      <c r="A8" s="37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8"/>
      <c r="C8" s="3728"/>
      <c r="D8" s="3728"/>
    </row>
    <row r="9" spans="1:4" ht="33.75" customHeight="1">
      <c r="A9" s="37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8"/>
      <c r="C9" s="3728"/>
      <c r="D9" s="3728"/>
    </row>
    <row r="10" spans="1:4">
      <c r="A10" s="3728" t="str">
        <f>IF(项目基本情况!B8="抵押","4.估价师所知悉的法定优先受偿款情况为：","——")</f>
        <v>4.估价师所知悉的法定优先受偿款情况为：</v>
      </c>
      <c r="B10" s="3728"/>
      <c r="C10" s="3728"/>
      <c r="D10" s="3728"/>
    </row>
    <row r="11" spans="1:4" ht="37.5" customHeight="1">
      <c r="A11" s="3730"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0"/>
      <c r="C11" s="3730"/>
      <c r="D11" s="3730"/>
    </row>
    <row r="12" spans="1:4" ht="168" customHeight="1">
      <c r="A12" s="3731" t="s">
        <v>1585</v>
      </c>
      <c r="B12" s="3731"/>
      <c r="C12" s="3731"/>
      <c r="D12" s="3731"/>
    </row>
    <row r="13" spans="1:4">
      <c r="A13" s="3729" t="s">
        <v>2027</v>
      </c>
      <c r="B13" s="3729"/>
      <c r="C13" s="3729"/>
      <c r="D13" s="3729"/>
    </row>
    <row r="14" spans="1:4">
      <c r="A14" s="3730" t="str">
        <f>IF(项目基本情况!B8="抵押","综上，"&amp;结果表!K47,"——")</f>
        <v>综上，本次评估估价师知悉的法定优先受偿款为人民币174万元整。</v>
      </c>
      <c r="B14" s="3730"/>
      <c r="C14" s="3730"/>
      <c r="D14" s="3730"/>
    </row>
    <row r="15" spans="1:4" ht="58.5" customHeight="1">
      <c r="A15" s="37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8"/>
      <c r="C15" s="3728"/>
      <c r="D15" s="3728"/>
    </row>
    <row r="16" spans="1:4" ht="70.5" customHeight="1">
      <c r="A16" s="37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8"/>
      <c r="C16" s="3728"/>
      <c r="D16" s="3728"/>
    </row>
    <row r="17" spans="1:4">
      <c r="A17" s="3728" t="s">
        <v>1983</v>
      </c>
      <c r="B17" s="3728"/>
      <c r="C17" s="3728"/>
      <c r="D17" s="3728"/>
    </row>
    <row r="18" spans="1:4">
      <c r="A18" s="3728" t="s">
        <v>1975</v>
      </c>
      <c r="B18" s="3728"/>
      <c r="C18" s="3728"/>
      <c r="D18" s="3728"/>
    </row>
    <row r="19" spans="1:4">
      <c r="A19" s="2346" t="s">
        <v>1976</v>
      </c>
      <c r="B19" s="2346" t="s">
        <v>1977</v>
      </c>
      <c r="C19" s="2346" t="s">
        <v>1978</v>
      </c>
      <c r="D19" s="2346" t="s">
        <v>1979</v>
      </c>
    </row>
    <row r="20" spans="1:4">
      <c r="A20" s="2346" t="str">
        <f>项目基本情况!B4</f>
        <v>吴薇</v>
      </c>
      <c r="B20" s="2346">
        <f ca="1">项目基本情况!C4</f>
        <v>2002110125</v>
      </c>
      <c r="C20" s="2348"/>
      <c r="D20" s="1586" t="s">
        <v>1984</v>
      </c>
    </row>
    <row r="21" spans="1:4">
      <c r="A21" s="2346" t="str">
        <f>项目基本情况!D4</f>
        <v>崔锴</v>
      </c>
      <c r="B21" s="2346">
        <f ca="1">项目基本情况!E4</f>
        <v>2010110070</v>
      </c>
      <c r="C21" s="2348"/>
      <c r="D21" s="1586" t="s">
        <v>1985</v>
      </c>
    </row>
    <row r="23" spans="1:4">
      <c r="A23" s="3728" t="s">
        <v>1980</v>
      </c>
      <c r="B23" s="3728"/>
      <c r="C23" s="3728"/>
      <c r="D23" s="3728"/>
    </row>
    <row r="24" spans="1:4">
      <c r="A24" s="2346" t="s">
        <v>1976</v>
      </c>
      <c r="B24" s="2346" t="s">
        <v>1981</v>
      </c>
      <c r="C24" s="2346" t="s">
        <v>1978</v>
      </c>
      <c r="D24" s="2346" t="s">
        <v>1979</v>
      </c>
    </row>
    <row r="25" spans="1:4">
      <c r="A25" s="2349" t="s">
        <v>1982</v>
      </c>
      <c r="B25" s="2346" t="s">
        <v>877</v>
      </c>
      <c r="C25" s="2348"/>
      <c r="D25" s="1586" t="s">
        <v>1985</v>
      </c>
    </row>
    <row r="29" spans="1:4">
      <c r="D29" s="2347" t="s">
        <v>1556</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0" t="s">
        <v>27</v>
      </c>
      <c r="B15" s="3741" t="s">
        <v>784</v>
      </c>
      <c r="C15" s="3737"/>
    </row>
    <row r="16" spans="1:7" ht="14.25">
      <c r="A16" s="3740"/>
      <c r="B16" s="3738" t="s">
        <v>28</v>
      </c>
      <c r="C16" s="1070" t="s">
        <v>27</v>
      </c>
    </row>
    <row r="17" spans="1:3" ht="14.25">
      <c r="A17" s="3740"/>
      <c r="B17" s="3738"/>
      <c r="C17" s="1070" t="s">
        <v>29</v>
      </c>
    </row>
    <row r="18" spans="1:3" ht="14.25">
      <c r="A18" s="3740"/>
      <c r="B18" s="3738"/>
      <c r="C18" s="1070" t="s">
        <v>30</v>
      </c>
    </row>
    <row r="19" spans="1:3" ht="14.25">
      <c r="A19" s="3740"/>
      <c r="B19" s="3736" t="s">
        <v>31</v>
      </c>
      <c r="C19" s="3737"/>
    </row>
    <row r="20" spans="1:3" ht="14.25">
      <c r="A20" s="1071" t="s">
        <v>32</v>
      </c>
      <c r="B20" s="1072"/>
      <c r="C20" s="1073"/>
    </row>
    <row r="21" spans="1:3" ht="14.25">
      <c r="A21" s="3739" t="s">
        <v>33</v>
      </c>
      <c r="B21" s="3736" t="s">
        <v>34</v>
      </c>
      <c r="C21" s="3737"/>
    </row>
    <row r="22" spans="1:3" ht="14.25">
      <c r="A22" s="3739"/>
      <c r="B22" s="3736" t="s">
        <v>35</v>
      </c>
      <c r="C22" s="3737"/>
    </row>
    <row r="23" spans="1:3" ht="14.25">
      <c r="A23" s="3739"/>
      <c r="B23" s="3736" t="s">
        <v>36</v>
      </c>
      <c r="C23" s="3737"/>
    </row>
    <row r="24" spans="1:3" ht="14.25">
      <c r="A24" s="3739"/>
      <c r="B24" s="3742" t="s">
        <v>37</v>
      </c>
      <c r="C24" s="1074" t="s">
        <v>775</v>
      </c>
    </row>
    <row r="25" spans="1:3" ht="14.25">
      <c r="A25" s="3739"/>
      <c r="B25" s="3743"/>
      <c r="C25" s="1074" t="s">
        <v>776</v>
      </c>
    </row>
    <row r="26" spans="1:3" ht="14.25">
      <c r="A26" s="3739"/>
      <c r="B26" s="3743"/>
      <c r="C26" s="1074" t="s">
        <v>777</v>
      </c>
    </row>
    <row r="27" spans="1:3" ht="14.25">
      <c r="A27" s="3739"/>
      <c r="B27" s="3743"/>
      <c r="C27" s="1074" t="s">
        <v>778</v>
      </c>
    </row>
    <row r="28" spans="1:3" ht="14.25">
      <c r="A28" s="3739"/>
      <c r="B28" s="3743"/>
      <c r="C28" s="1074" t="s">
        <v>779</v>
      </c>
    </row>
    <row r="29" spans="1:3" ht="14.25">
      <c r="A29" s="3739"/>
      <c r="B29" s="3743"/>
      <c r="C29" s="1074" t="s">
        <v>780</v>
      </c>
    </row>
    <row r="30" spans="1:3" ht="14.25">
      <c r="A30" s="3739"/>
      <c r="B30" s="3743"/>
      <c r="C30" s="1074" t="s">
        <v>781</v>
      </c>
    </row>
    <row r="31" spans="1:3" ht="14.25">
      <c r="A31" s="3739"/>
      <c r="B31" s="3743"/>
      <c r="C31" s="1074" t="s">
        <v>782</v>
      </c>
    </row>
    <row r="32" spans="1:3" ht="14.25">
      <c r="A32" s="3739"/>
      <c r="B32" s="3743"/>
      <c r="C32" s="1074" t="s">
        <v>1181</v>
      </c>
    </row>
    <row r="33" spans="1:3" ht="14.25">
      <c r="A33" s="3739"/>
      <c r="B33" s="3733" t="s">
        <v>1187</v>
      </c>
      <c r="C33" s="1074" t="s">
        <v>1182</v>
      </c>
    </row>
    <row r="34" spans="1:3" ht="14.25">
      <c r="A34" s="3739"/>
      <c r="B34" s="3734"/>
      <c r="C34" s="1079" t="s">
        <v>1183</v>
      </c>
    </row>
    <row r="35" spans="1:3" ht="14.25">
      <c r="A35" s="3739"/>
      <c r="B35" s="3734"/>
      <c r="C35" s="1080" t="s">
        <v>1184</v>
      </c>
    </row>
    <row r="36" spans="1:3" ht="14.25">
      <c r="A36" s="3739"/>
      <c r="B36" s="3734"/>
      <c r="C36" s="1080" t="s">
        <v>1185</v>
      </c>
    </row>
    <row r="37" spans="1:3" ht="14.25">
      <c r="A37" s="3739"/>
      <c r="B37" s="3735"/>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45271</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2233</v>
      </c>
      <c r="B12" s="2770">
        <f ca="1">IF(C12&lt;B2,"已过期",1120040230)</f>
        <v>1120040230</v>
      </c>
      <c r="C12" s="2773">
        <v>45937</v>
      </c>
      <c r="D12" s="2781" t="s">
        <v>2234</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2244</v>
      </c>
      <c r="B15" s="2770" t="str">
        <f ca="1">IF(C15&lt;B2,"已过期",1119980106)</f>
        <v>已过期</v>
      </c>
      <c r="C15" s="2773">
        <v>44969</v>
      </c>
      <c r="D15" s="2781"/>
      <c r="E15" s="2770"/>
      <c r="F15" s="2770"/>
      <c r="G15" s="2765"/>
    </row>
    <row r="16" spans="1:7" ht="20.25" customHeight="1">
      <c r="A16" s="2769" t="s">
        <v>2445</v>
      </c>
      <c r="B16" s="2769">
        <v>1120210056</v>
      </c>
      <c r="C16" s="2773">
        <v>45410</v>
      </c>
      <c r="D16" s="2781"/>
      <c r="E16" s="2770"/>
      <c r="F16" s="2770"/>
      <c r="G16" s="2765"/>
    </row>
    <row r="17" spans="1:7" s="2583" customFormat="1" ht="20.25" customHeight="1">
      <c r="A17" s="2769" t="s">
        <v>1570</v>
      </c>
      <c r="B17" s="2769" t="s">
        <v>1570</v>
      </c>
      <c r="C17" s="2773"/>
      <c r="D17" s="2782" t="s">
        <v>1570</v>
      </c>
      <c r="E17" s="2770" t="s">
        <v>1570</v>
      </c>
      <c r="F17" s="2772"/>
      <c r="G17" s="2774"/>
    </row>
    <row r="18" spans="1:7" ht="20.25" customHeight="1">
      <c r="A18" s="3747" t="s">
        <v>1448</v>
      </c>
      <c r="B18" s="3748"/>
      <c r="C18" s="3748"/>
      <c r="D18" s="3748"/>
      <c r="E18" s="3748"/>
      <c r="F18" s="3748"/>
      <c r="G18" s="2774"/>
    </row>
    <row r="19" spans="1:7" ht="20.25" customHeight="1">
      <c r="A19" s="3744" t="s">
        <v>1449</v>
      </c>
      <c r="B19" s="3744"/>
      <c r="C19" s="3745"/>
      <c r="D19" s="3746" t="s">
        <v>1450</v>
      </c>
      <c r="E19" s="3744"/>
      <c r="F19" s="3744"/>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2446</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43" priority="151">
      <formula>AND($C5-TODAY()&lt;30,TODAY()&lt;$C5)</formula>
    </cfRule>
  </conditionalFormatting>
  <conditionalFormatting sqref="C21">
    <cfRule type="expression" dxfId="242" priority="150">
      <formula>AND($C21-TODAY()&lt;30,TODAY()&lt;$C21)</formula>
    </cfRule>
  </conditionalFormatting>
  <conditionalFormatting sqref="C21 F4 C5 C13">
    <cfRule type="cellIs" dxfId="241" priority="152" stopIfTrue="1" operator="lessThan">
      <formula>$B$2</formula>
    </cfRule>
  </conditionalFormatting>
  <conditionalFormatting sqref="F5 F7 F9">
    <cfRule type="cellIs" dxfId="240" priority="146" stopIfTrue="1" operator="lessThan">
      <formula>$B$2</formula>
    </cfRule>
  </conditionalFormatting>
  <conditionalFormatting sqref="C17:D17">
    <cfRule type="expression" dxfId="239" priority="144">
      <formula>AND($C17-TODAY()&lt;30,TODAY()&lt;$C17)</formula>
    </cfRule>
  </conditionalFormatting>
  <conditionalFormatting sqref="F6 F8 F10 C17:D17">
    <cfRule type="cellIs" dxfId="238" priority="145" stopIfTrue="1" operator="lessThan">
      <formula>$B$2</formula>
    </cfRule>
  </conditionalFormatting>
  <conditionalFormatting sqref="F14">
    <cfRule type="cellIs" dxfId="237" priority="116" stopIfTrue="1" operator="lessThan">
      <formula>$B$2</formula>
    </cfRule>
  </conditionalFormatting>
  <conditionalFormatting sqref="F13">
    <cfRule type="cellIs" dxfId="236" priority="115" stopIfTrue="1" operator="lessThan">
      <formula>$B$2</formula>
    </cfRule>
  </conditionalFormatting>
  <conditionalFormatting sqref="B4:B11 E4:E11 E13:E16 B13:B16">
    <cfRule type="cellIs" dxfId="235" priority="113" stopIfTrue="1" operator="equal">
      <formula>"已过期"</formula>
    </cfRule>
  </conditionalFormatting>
  <conditionalFormatting sqref="C6">
    <cfRule type="expression" dxfId="234" priority="84">
      <formula>AND($C6-TODAY()&lt;30,TODAY()&lt;$C6)</formula>
    </cfRule>
  </conditionalFormatting>
  <conditionalFormatting sqref="C6">
    <cfRule type="cellIs" dxfId="233" priority="85" stopIfTrue="1" operator="lessThan">
      <formula>$B$2</formula>
    </cfRule>
  </conditionalFormatting>
  <conditionalFormatting sqref="C11 C15:C16">
    <cfRule type="expression" dxfId="232" priority="82">
      <formula>AND($C11-TODAY()&lt;30,TODAY()&lt;$C11)</formula>
    </cfRule>
  </conditionalFormatting>
  <conditionalFormatting sqref="C11 C15:C16">
    <cfRule type="cellIs" dxfId="231" priority="83" stopIfTrue="1" operator="lessThan">
      <formula>$B$2</formula>
    </cfRule>
  </conditionalFormatting>
  <conditionalFormatting sqref="F11">
    <cfRule type="cellIs" dxfId="230" priority="81" stopIfTrue="1" operator="lessThan">
      <formula>$B$2</formula>
    </cfRule>
  </conditionalFormatting>
  <conditionalFormatting sqref="C14">
    <cfRule type="expression" dxfId="229" priority="62">
      <formula>AND($C14-TODAY()&lt;30,TODAY()&lt;$C14)</formula>
    </cfRule>
  </conditionalFormatting>
  <conditionalFormatting sqref="C14">
    <cfRule type="cellIs" dxfId="228" priority="63" stopIfTrue="1" operator="lessThan">
      <formula>$B$2</formula>
    </cfRule>
  </conditionalFormatting>
  <conditionalFormatting sqref="C12">
    <cfRule type="cellIs" dxfId="227" priority="56" stopIfTrue="1" operator="lessThan">
      <formula>$B$2</formula>
    </cfRule>
  </conditionalFormatting>
  <conditionalFormatting sqref="C12">
    <cfRule type="expression" dxfId="226" priority="53">
      <formula>AND($C12-TODAY()&lt;30,TODAY()&lt;$C12)</formula>
    </cfRule>
  </conditionalFormatting>
  <conditionalFormatting sqref="C12">
    <cfRule type="cellIs" dxfId="225" priority="54" stopIfTrue="1" operator="lessThan">
      <formula>$B$2</formula>
    </cfRule>
  </conditionalFormatting>
  <conditionalFormatting sqref="B12">
    <cfRule type="cellIs" dxfId="224" priority="50" stopIfTrue="1" operator="equal">
      <formula>"已过期"</formula>
    </cfRule>
  </conditionalFormatting>
  <conditionalFormatting sqref="E12">
    <cfRule type="cellIs" dxfId="223" priority="40" stopIfTrue="1" operator="equal">
      <formula>"已过期"</formula>
    </cfRule>
  </conditionalFormatting>
  <conditionalFormatting sqref="F12">
    <cfRule type="cellIs" dxfId="222" priority="39" stopIfTrue="1" operator="lessThan">
      <formula>$B$2</formula>
    </cfRule>
  </conditionalFormatting>
  <conditionalFormatting sqref="C9:C10">
    <cfRule type="expression" dxfId="221" priority="35">
      <formula>AND($C9-TODAY()&lt;30,TODAY()&lt;$C9)</formula>
    </cfRule>
  </conditionalFormatting>
  <conditionalFormatting sqref="C9:C10">
    <cfRule type="cellIs" dxfId="220" priority="36" stopIfTrue="1" operator="lessThan">
      <formula>$B$2</formula>
    </cfRule>
  </conditionalFormatting>
  <conditionalFormatting sqref="F22">
    <cfRule type="cellIs" dxfId="219" priority="15" stopIfTrue="1" operator="lessThan">
      <formula>$B$2</formula>
    </cfRule>
  </conditionalFormatting>
  <conditionalFormatting sqref="F22">
    <cfRule type="expression" dxfId="218" priority="16">
      <formula>AND($E22-TODAY()&lt;30,TODAY()&lt;$E22)</formula>
    </cfRule>
  </conditionalFormatting>
  <conditionalFormatting sqref="C7:C8">
    <cfRule type="expression" dxfId="217" priority="7">
      <formula>AND($C7-TODAY()&lt;30,TODAY()&lt;$C7)</formula>
    </cfRule>
  </conditionalFormatting>
  <conditionalFormatting sqref="C7:C8">
    <cfRule type="cellIs" dxfId="216" priority="8" stopIfTrue="1" operator="lessThan">
      <formula>$B$2</formula>
    </cfRule>
  </conditionalFormatting>
  <conditionalFormatting sqref="C7:C8">
    <cfRule type="expression" dxfId="215" priority="5">
      <formula>AND($C7-TODAY()&lt;30,TODAY()&lt;$C7)</formula>
    </cfRule>
  </conditionalFormatting>
  <conditionalFormatting sqref="C7:C8">
    <cfRule type="cellIs" dxfId="214" priority="6" stopIfTrue="1" operator="lessThan">
      <formula>$B$2</formula>
    </cfRule>
  </conditionalFormatting>
  <conditionalFormatting sqref="C4">
    <cfRule type="expression" dxfId="213" priority="3">
      <formula>AND($C4-TODAY()&lt;30,TODAY()&lt;$C4)</formula>
    </cfRule>
  </conditionalFormatting>
  <conditionalFormatting sqref="C4">
    <cfRule type="cellIs" dxfId="212" priority="4" stopIfTrue="1" operator="lessThan">
      <formula>$B$2</formula>
    </cfRule>
  </conditionalFormatting>
  <conditionalFormatting sqref="F21">
    <cfRule type="cellIs" dxfId="211" priority="1" stopIfTrue="1" operator="lessThan">
      <formula>$B$2</formula>
    </cfRule>
  </conditionalFormatting>
  <conditionalFormatting sqref="F21">
    <cfRule type="expression" dxfId="21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9" sqref="A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5" t="s">
        <v>2758</v>
      </c>
      <c r="E1" s="4" t="s">
        <v>100</v>
      </c>
      <c r="F1" s="4" t="s">
        <v>101</v>
      </c>
      <c r="G1" s="4" t="s">
        <v>102</v>
      </c>
      <c r="H1" s="4" t="s">
        <v>103</v>
      </c>
      <c r="I1" s="4" t="s">
        <v>104</v>
      </c>
      <c r="J1" s="4" t="s">
        <v>105</v>
      </c>
      <c r="K1" s="4" t="s">
        <v>106</v>
      </c>
      <c r="L1" s="4" t="s">
        <v>107</v>
      </c>
      <c r="M1" s="4" t="s">
        <v>108</v>
      </c>
      <c r="N1" s="4" t="s">
        <v>109</v>
      </c>
      <c r="O1" s="4" t="s">
        <v>110</v>
      </c>
      <c r="P1" s="4" t="s">
        <v>111</v>
      </c>
      <c r="Q1" s="2195" t="s">
        <v>1827</v>
      </c>
      <c r="R1" s="2194" t="s">
        <v>1821</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2746</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1241</v>
      </c>
      <c r="F5" s="7" t="s">
        <v>67</v>
      </c>
      <c r="G5" s="7">
        <v>70</v>
      </c>
      <c r="H5" s="7" t="s">
        <v>44</v>
      </c>
      <c r="I5" s="7" t="s">
        <v>2747</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1242</v>
      </c>
      <c r="F6" s="7" t="s">
        <v>45</v>
      </c>
      <c r="H6" s="7" t="s">
        <v>46</v>
      </c>
      <c r="I6" s="7" t="s">
        <v>2748</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1243</v>
      </c>
      <c r="F7" s="7" t="s">
        <v>120</v>
      </c>
      <c r="H7" s="7" t="s">
        <v>74</v>
      </c>
      <c r="I7" s="7" t="s">
        <v>2749</v>
      </c>
    </row>
    <row r="8" spans="1:23">
      <c r="A8" s="6" t="s">
        <v>75</v>
      </c>
      <c r="B8" s="6" t="s">
        <v>76</v>
      </c>
      <c r="C8" s="1367" t="s">
        <v>1244</v>
      </c>
      <c r="F8" s="7" t="s">
        <v>121</v>
      </c>
      <c r="H8" s="3332" t="s">
        <v>2743</v>
      </c>
      <c r="I8" s="7" t="s">
        <v>2750</v>
      </c>
    </row>
    <row r="9" spans="1:23">
      <c r="A9" s="6" t="s">
        <v>77</v>
      </c>
      <c r="B9" s="6" t="s">
        <v>122</v>
      </c>
      <c r="C9" s="1367" t="s">
        <v>1245</v>
      </c>
      <c r="F9" s="7" t="s">
        <v>78</v>
      </c>
      <c r="H9" s="7"/>
      <c r="I9" s="7" t="s">
        <v>2751</v>
      </c>
    </row>
    <row r="10" spans="1:23">
      <c r="A10" s="6" t="s">
        <v>79</v>
      </c>
      <c r="B10" s="6" t="s">
        <v>123</v>
      </c>
      <c r="C10" s="1367" t="s">
        <v>1246</v>
      </c>
      <c r="F10" s="3332" t="s">
        <v>2742</v>
      </c>
      <c r="I10" s="7" t="s">
        <v>2752</v>
      </c>
    </row>
    <row r="11" spans="1:23">
      <c r="A11" s="6" t="s">
        <v>80</v>
      </c>
      <c r="B11" s="6" t="s">
        <v>124</v>
      </c>
      <c r="C11" s="1367" t="s">
        <v>1247</v>
      </c>
      <c r="I11" s="7" t="s">
        <v>2753</v>
      </c>
    </row>
    <row r="12" spans="1:23">
      <c r="A12" s="6" t="s">
        <v>81</v>
      </c>
      <c r="B12" s="6" t="s">
        <v>125</v>
      </c>
      <c r="C12" s="1367" t="s">
        <v>1248</v>
      </c>
      <c r="I12" s="7" t="s">
        <v>2754</v>
      </c>
    </row>
    <row r="13" spans="1:23">
      <c r="A13" s="6" t="s">
        <v>82</v>
      </c>
      <c r="B13" s="6" t="s">
        <v>126</v>
      </c>
      <c r="C13" s="1367" t="s">
        <v>1249</v>
      </c>
      <c r="I13" s="7" t="s">
        <v>2755</v>
      </c>
    </row>
    <row r="14" spans="1:23">
      <c r="A14" s="6" t="s">
        <v>83</v>
      </c>
      <c r="B14" s="6" t="s">
        <v>127</v>
      </c>
      <c r="C14" s="1370" t="s">
        <v>1421</v>
      </c>
      <c r="I14" s="7" t="s">
        <v>2756</v>
      </c>
    </row>
    <row r="15" spans="1:23">
      <c r="A15" s="6" t="s">
        <v>84</v>
      </c>
      <c r="B15" s="6" t="s">
        <v>1214</v>
      </c>
      <c r="C15" s="1370"/>
      <c r="I15" s="7" t="s">
        <v>2757</v>
      </c>
    </row>
    <row r="16" spans="1:23">
      <c r="A16" s="6" t="s">
        <v>85</v>
      </c>
      <c r="B16" s="6" t="s">
        <v>1215</v>
      </c>
      <c r="C16" s="1370"/>
    </row>
    <row r="17" spans="1:3">
      <c r="A17" s="6" t="s">
        <v>86</v>
      </c>
      <c r="B17" s="6" t="s">
        <v>1216</v>
      </c>
      <c r="C17" s="1370"/>
    </row>
    <row r="18" spans="1:3">
      <c r="A18" s="6" t="s">
        <v>87</v>
      </c>
      <c r="B18" s="2544" t="s">
        <v>2210</v>
      </c>
      <c r="C18" s="1370"/>
    </row>
    <row r="19" spans="1:3">
      <c r="A19" s="6" t="s">
        <v>88</v>
      </c>
      <c r="B19" s="2544" t="s">
        <v>2217</v>
      </c>
      <c r="C19" s="1370"/>
    </row>
    <row r="20" spans="1:3">
      <c r="A20" s="6" t="s">
        <v>89</v>
      </c>
      <c r="B20" s="2544" t="s">
        <v>2257</v>
      </c>
      <c r="C20" s="1370"/>
    </row>
    <row r="21" spans="1:3">
      <c r="A21" s="6" t="s">
        <v>90</v>
      </c>
      <c r="B21" s="6" t="s">
        <v>2437</v>
      </c>
      <c r="C21" s="1370"/>
    </row>
    <row r="22" spans="1:3">
      <c r="A22" s="6" t="s">
        <v>91</v>
      </c>
      <c r="B22" s="1048" t="s">
        <v>3273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2544" t="s">
        <v>3598</v>
      </c>
      <c r="B27" s="6" t="s">
        <v>1177</v>
      </c>
      <c r="C27" s="1370"/>
    </row>
    <row r="28" spans="1:3">
      <c r="A28" s="2544" t="s">
        <v>3599</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1503</v>
      </c>
      <c r="B52" s="1557" t="s">
        <v>1504</v>
      </c>
      <c r="C52" s="1555" t="s">
        <v>1505</v>
      </c>
      <c r="D52" s="1555" t="s">
        <v>1506</v>
      </c>
      <c r="E52" s="1556"/>
    </row>
    <row r="53" spans="1:5">
      <c r="A53" s="3749" t="s">
        <v>1507</v>
      </c>
      <c r="B53" s="1555" t="s">
        <v>1513</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1556"/>
      <c r="E53" s="1556"/>
    </row>
    <row r="54" spans="1:5">
      <c r="A54" s="3749"/>
      <c r="B54" s="1555" t="s">
        <v>1514</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49"/>
      <c r="B55" s="1555" t="s">
        <v>1508</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49"/>
      <c r="B56" s="1555" t="s">
        <v>1509</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49"/>
      <c r="B57" s="1555" t="s">
        <v>1510</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1566</v>
      </c>
      <c r="B58" s="1555"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基准地价-商业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收益依据</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2023-12-11T02:56:35Z</dcterms:modified>
</cp:coreProperties>
</file>