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19440" windowHeight="564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34" i="1" l="1"/>
  <c r="Y20" i="43" l="1"/>
  <c r="Y22" i="43"/>
  <c r="Y23" i="43"/>
  <c r="Y24" i="43"/>
  <c r="Y25" i="43"/>
  <c r="Y26" i="43"/>
  <c r="Y27" i="43"/>
  <c r="Y21" i="43"/>
  <c r="X22" i="43"/>
  <c r="X23" i="43"/>
  <c r="X24" i="43"/>
  <c r="X25" i="43"/>
  <c r="X26" i="43"/>
  <c r="X27" i="43"/>
  <c r="W22" i="43"/>
  <c r="W23" i="43"/>
  <c r="W24" i="43"/>
  <c r="W25" i="43"/>
  <c r="W26" i="43"/>
  <c r="W27" i="43"/>
  <c r="W21" i="43"/>
  <c r="X21" i="43" s="1"/>
  <c r="V27" i="43"/>
  <c r="V26" i="43"/>
  <c r="V25" i="43"/>
  <c r="V24" i="43"/>
  <c r="V23" i="43"/>
  <c r="V22" i="43"/>
  <c r="V21" i="43"/>
  <c r="W33" i="1" l="1"/>
  <c r="B3" i="4"/>
  <c r="D598" i="83" l="1"/>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G32" i="80" l="1"/>
  <c r="K29" i="83" l="1"/>
  <c r="K22" i="83"/>
  <c r="U2" i="43" s="1"/>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30" i="83"/>
  <c r="K13" i="3"/>
  <c r="K14" i="3" s="1"/>
  <c r="I13" i="3"/>
  <c r="I14" i="3" s="1"/>
  <c r="D59" i="80"/>
  <c r="D58" i="80"/>
  <c r="F18" i="80"/>
  <c r="E19" i="80"/>
  <c r="G19" i="80" s="1"/>
  <c r="E18" i="80"/>
  <c r="E17" i="80"/>
  <c r="G17" i="80" s="1"/>
  <c r="G18" i="80" l="1"/>
  <c r="E13" i="80"/>
  <c r="G12" i="80"/>
  <c r="G11" i="80"/>
  <c r="G10" i="80"/>
  <c r="G9" i="80"/>
  <c r="G8" i="80"/>
  <c r="F7" i="80"/>
  <c r="F13" i="80" s="1"/>
  <c r="G6" i="80"/>
  <c r="G7" i="80" l="1"/>
  <c r="G13" i="80"/>
  <c r="C213" i="82"/>
  <c r="C214" i="82" s="1"/>
  <c r="W29" i="1"/>
  <c r="X29" i="1" s="1"/>
  <c r="W30" i="1"/>
  <c r="X30" i="1" s="1"/>
  <c r="W31" i="1"/>
  <c r="X31" i="1" s="1"/>
  <c r="W32" i="1"/>
  <c r="X32" i="1" s="1"/>
  <c r="W28" i="1"/>
  <c r="X28" i="1" s="1"/>
  <c r="G210" i="82" l="1"/>
  <c r="G212" i="82"/>
  <c r="G209" i="82"/>
  <c r="G205" i="82"/>
  <c r="G3" i="82"/>
  <c r="G206" i="82"/>
  <c r="G200" i="82"/>
  <c r="G196" i="82"/>
  <c r="G192" i="82"/>
  <c r="G188" i="82"/>
  <c r="G184" i="82"/>
  <c r="IS184" i="82" s="1"/>
  <c r="G180" i="82"/>
  <c r="G176"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81" i="82"/>
  <c r="G77" i="82"/>
  <c r="G73" i="82"/>
  <c r="G69" i="82"/>
  <c r="G65" i="82"/>
  <c r="G61" i="82"/>
  <c r="G57" i="82"/>
  <c r="G53" i="82"/>
  <c r="G49" i="82"/>
  <c r="G45" i="82"/>
  <c r="G41" i="82"/>
  <c r="G37" i="82"/>
  <c r="G33" i="82"/>
  <c r="G29" i="82"/>
  <c r="G25" i="82"/>
  <c r="G21" i="82"/>
  <c r="G17" i="82"/>
  <c r="G13" i="82"/>
  <c r="G9" i="82"/>
  <c r="G5"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2" i="82"/>
  <c r="G58" i="82"/>
  <c r="G54" i="82"/>
  <c r="G50" i="82"/>
  <c r="IS50" i="82" s="1"/>
  <c r="G46" i="82"/>
  <c r="G42" i="82"/>
  <c r="G38" i="82"/>
  <c r="G34" i="82"/>
  <c r="G30" i="82"/>
  <c r="G26" i="82"/>
  <c r="G22" i="82"/>
  <c r="G18" i="82"/>
  <c r="G14" i="82"/>
  <c r="G10" i="82"/>
  <c r="G6" i="82"/>
  <c r="G204" i="82"/>
  <c r="G211" i="82"/>
  <c r="G207" i="82"/>
  <c r="G203" i="82"/>
  <c r="G208" i="82"/>
  <c r="G202" i="82"/>
  <c r="G198" i="82"/>
  <c r="G194" i="82"/>
  <c r="G190" i="82"/>
  <c r="G186" i="82"/>
  <c r="G182" i="82"/>
  <c r="G178" i="82"/>
  <c r="G174"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G75" i="82"/>
  <c r="G71" i="82"/>
  <c r="G67" i="82"/>
  <c r="G63" i="82"/>
  <c r="G59" i="82"/>
  <c r="G55" i="82"/>
  <c r="G51" i="82"/>
  <c r="G47" i="82"/>
  <c r="G43" i="82"/>
  <c r="G39" i="82"/>
  <c r="G35" i="82"/>
  <c r="G31" i="82"/>
  <c r="G27" i="82"/>
  <c r="G23" i="82"/>
  <c r="G19" i="82"/>
  <c r="G15" i="82"/>
  <c r="G11" i="82"/>
  <c r="G7"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0" i="82"/>
  <c r="G56" i="82"/>
  <c r="G52" i="82"/>
  <c r="G48" i="82"/>
  <c r="G44" i="82"/>
  <c r="G40" i="82"/>
  <c r="G36" i="82"/>
  <c r="G32" i="82"/>
  <c r="G28" i="82"/>
  <c r="G24" i="82"/>
  <c r="G20" i="82"/>
  <c r="G16" i="82"/>
  <c r="G12" i="82"/>
  <c r="G8" i="82"/>
  <c r="G4" i="82"/>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V3" i="79" s="1"/>
  <c r="N5" i="79"/>
  <c r="M5" i="79"/>
  <c r="P5" i="79" s="1"/>
  <c r="L5" i="79"/>
  <c r="K5" i="79"/>
  <c r="K3" i="79" s="1"/>
  <c r="I5" i="79"/>
  <c r="AC3" i="79"/>
  <c r="Y3" i="79"/>
  <c r="S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AA3" i="79"/>
  <c r="AD3" i="79" s="1"/>
  <c r="Z3" i="79"/>
  <c r="AB3" i="79"/>
  <c r="S10" i="79"/>
  <c r="U10" i="79"/>
  <c r="R11" i="79"/>
  <c r="V11" i="79"/>
  <c r="S12" i="79"/>
  <c r="U12" i="79"/>
  <c r="R13" i="79"/>
  <c r="V13" i="79"/>
  <c r="S14" i="79"/>
  <c r="U14" i="79"/>
  <c r="M3" i="79"/>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N38" i="71"/>
  <c r="X38" i="71" s="1"/>
  <c r="Q37" i="71"/>
  <c r="F38" i="71" s="1"/>
  <c r="P37" i="71"/>
  <c r="E38" i="71" s="1"/>
  <c r="E39" i="71" s="1"/>
  <c r="E40" i="71" s="1"/>
  <c r="U40" i="71" s="1"/>
  <c r="O37" i="71"/>
  <c r="N37" i="71"/>
  <c r="D37" i="71"/>
  <c r="Q36" i="71"/>
  <c r="AB36" i="71" s="1"/>
  <c r="P36" i="71"/>
  <c r="O36" i="71"/>
  <c r="Y36" i="71" s="1"/>
  <c r="Z36" i="71" s="1"/>
  <c r="N36" i="71"/>
  <c r="Q35" i="71"/>
  <c r="AB35" i="71" s="1"/>
  <c r="P35" i="71"/>
  <c r="O35" i="71"/>
  <c r="N35" i="71"/>
  <c r="Q34" i="71"/>
  <c r="P34" i="71"/>
  <c r="O34" i="71"/>
  <c r="N34" i="71"/>
  <c r="X34" i="71" s="1"/>
  <c r="Q33" i="71"/>
  <c r="F34" i="71" s="1"/>
  <c r="P33" i="71"/>
  <c r="AA33" i="71" s="1"/>
  <c r="O33" i="71"/>
  <c r="N33" i="71"/>
  <c r="X33" i="71" s="1"/>
  <c r="D33" i="71"/>
  <c r="Q32" i="71"/>
  <c r="AB32" i="71" s="1"/>
  <c r="P32" i="71"/>
  <c r="O32" i="71"/>
  <c r="Y32" i="71" s="1"/>
  <c r="Z32" i="71" s="1"/>
  <c r="N32" i="71"/>
  <c r="Q31" i="71"/>
  <c r="AB31" i="71" s="1"/>
  <c r="P31" i="71"/>
  <c r="O31" i="71"/>
  <c r="N31" i="71"/>
  <c r="Q30" i="71"/>
  <c r="P30" i="71"/>
  <c r="O30" i="71"/>
  <c r="N30" i="71"/>
  <c r="X30" i="71" s="1"/>
  <c r="Q29" i="71"/>
  <c r="F30" i="71" s="1"/>
  <c r="P29" i="71"/>
  <c r="E30" i="71" s="1"/>
  <c r="E31" i="71" s="1"/>
  <c r="E32" i="71" s="1"/>
  <c r="U32" i="71" s="1"/>
  <c r="O29" i="71"/>
  <c r="N29" i="71"/>
  <c r="D29" i="71"/>
  <c r="O28" i="71"/>
  <c r="N28" i="71"/>
  <c r="B30" i="71"/>
  <c r="B31" i="71" s="1"/>
  <c r="B32" i="71" s="1"/>
  <c r="S32" i="71" s="1"/>
  <c r="B38" i="71"/>
  <c r="B39" i="71" s="1"/>
  <c r="B40" i="71" s="1"/>
  <c r="S40" i="71" s="1"/>
  <c r="X37" i="71"/>
  <c r="AA37" i="71"/>
  <c r="E34" i="71"/>
  <c r="E35" i="71" s="1"/>
  <c r="E36" i="71" s="1"/>
  <c r="U36" i="71" s="1"/>
  <c r="C30" i="71"/>
  <c r="D30" i="71" s="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7" i="71"/>
  <c r="D47" i="71" s="1"/>
  <c r="C51" i="71"/>
  <c r="C52" i="71" s="1"/>
  <c r="D50" i="71"/>
  <c r="P28" i="71"/>
  <c r="AA27" i="71" s="1"/>
  <c r="E55" i="71"/>
  <c r="E56" i="71" s="1"/>
  <c r="U56" i="71" s="1"/>
  <c r="E59" i="71"/>
  <c r="E60" i="71" s="1"/>
  <c r="U60" i="71" s="1"/>
  <c r="E63" i="71"/>
  <c r="E64" i="71" s="1"/>
  <c r="U64" i="71" s="1"/>
  <c r="U68" i="71"/>
  <c r="E67" i="71"/>
  <c r="P67" i="71" s="1"/>
  <c r="Q28" i="71"/>
  <c r="F28" i="71" s="1"/>
  <c r="F27" i="71" s="1"/>
  <c r="F26" i="71" s="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AB28" i="71"/>
  <c r="D28" i="71"/>
  <c r="U28" i="71" s="1"/>
  <c r="C66" i="71"/>
  <c r="O67" i="71"/>
  <c r="D67" i="71"/>
  <c r="D63" i="71"/>
  <c r="N65" i="71"/>
  <c r="D87" i="71"/>
  <c r="D79" i="71"/>
  <c r="C78" i="71"/>
  <c r="D78" i="71" s="1"/>
  <c r="D71" i="71"/>
  <c r="C70" i="71"/>
  <c r="D70" i="71"/>
  <c r="D55" i="71"/>
  <c r="E66" i="71"/>
  <c r="P65" i="71" s="1"/>
  <c r="D51" i="71"/>
  <c r="C36" i="71"/>
  <c r="T36" i="71" s="1"/>
  <c r="D35" i="71"/>
  <c r="C32" i="71"/>
  <c r="T32" i="71" s="1"/>
  <c r="D31" i="71"/>
  <c r="O66" i="71"/>
  <c r="D66" i="71"/>
  <c r="O65"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s="1"/>
  <c r="G73" i="37" s="1"/>
  <c r="D71" i="37"/>
  <c r="H15" i="37"/>
  <c r="AB15" i="37" s="1"/>
  <c r="B68" i="37"/>
  <c r="H14" i="37" s="1"/>
  <c r="AB14" i="37" s="1"/>
  <c r="B66" i="37"/>
  <c r="B64" i="37"/>
  <c r="J12" i="37" s="1"/>
  <c r="W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F45" i="39"/>
  <c r="S45" i="39" s="1"/>
  <c r="J45" i="39"/>
  <c r="J44" i="39"/>
  <c r="AC44" i="39" s="1"/>
  <c r="F36" i="39"/>
  <c r="S36" i="39" s="1"/>
  <c r="H36" i="39"/>
  <c r="J35" i="39"/>
  <c r="AC35" i="39" s="1"/>
  <c r="F35" i="39"/>
  <c r="AA35" i="39" s="1"/>
  <c r="J36" i="39"/>
  <c r="U9" i="39"/>
  <c r="W40" i="39"/>
  <c r="E103" i="37"/>
  <c r="F103" i="37" s="1"/>
  <c r="G103" i="37" s="1"/>
  <c r="H103" i="37" s="1"/>
  <c r="I103" i="37" s="1"/>
  <c r="J103" i="37" s="1"/>
  <c r="K103" i="37" s="1"/>
  <c r="L103" i="37" s="1"/>
  <c r="M103" i="37" s="1"/>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J36" i="37"/>
  <c r="AC36" i="37" s="1"/>
  <c r="J10" i="36"/>
  <c r="AC10" i="36" s="1"/>
  <c r="AB26" i="33"/>
  <c r="AB30" i="21"/>
  <c r="AA14" i="37"/>
  <c r="W31" i="34"/>
  <c r="W13" i="36"/>
  <c r="AA14" i="34"/>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s="1"/>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s="1"/>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AZ531" i="3" s="1"/>
  <c r="BQ529" i="3"/>
  <c r="BL529" i="3"/>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AB28" i="37"/>
  <c r="U39" i="37"/>
  <c r="AA13" i="33"/>
  <c r="U11" i="33"/>
  <c r="U19" i="21"/>
  <c r="W44" i="21"/>
  <c r="AC46" i="21"/>
  <c r="AB38" i="21"/>
  <c r="F43" i="33"/>
  <c r="AA43" i="33" s="1"/>
  <c r="W15" i="34"/>
  <c r="AC15" i="34"/>
  <c r="W16" i="35"/>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s="1"/>
  <c r="AT6" i="3"/>
  <c r="H5" i="3"/>
  <c r="H19" i="40"/>
  <c r="U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204" i="3" s="1"/>
  <c r="AZ39" i="3"/>
  <c r="AZ43" i="3"/>
  <c r="AZ47"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4" i="3"/>
  <c r="AZ158" i="3"/>
  <c r="AZ182" i="3"/>
  <c r="AZ186" i="3"/>
  <c r="AZ190" i="3"/>
  <c r="BA16" i="3"/>
  <c r="AZ16" i="3"/>
  <c r="BL303" i="3"/>
  <c r="G304" i="3"/>
  <c r="BA306" i="3"/>
  <c r="AZ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G332" i="3"/>
  <c r="BA334" i="3"/>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AZ229" i="3"/>
  <c r="AZ257" i="3"/>
  <c r="AZ261" i="3"/>
  <c r="AZ265" i="3"/>
  <c r="BA379" i="3"/>
  <c r="BL380" i="3"/>
  <c r="G381" i="3"/>
  <c r="BA383" i="3"/>
  <c r="BL384" i="3"/>
  <c r="G385" i="3"/>
  <c r="BA387" i="3"/>
  <c r="BL388" i="3"/>
  <c r="G389" i="3"/>
  <c r="BA391" i="3"/>
  <c r="AZ391" i="3" s="1"/>
  <c r="BL392" i="3"/>
  <c r="G393" i="3"/>
  <c r="AZ263" i="3"/>
  <c r="AZ279" i="3"/>
  <c r="BO5" i="3"/>
  <c r="BJ5" i="3"/>
  <c r="BF5" i="3"/>
  <c r="AZ309" i="3"/>
  <c r="AZ317" i="3"/>
  <c r="AZ325" i="3"/>
  <c r="AZ496" i="3"/>
  <c r="G548" i="3"/>
  <c r="G538" i="3"/>
  <c r="G520" i="3"/>
  <c r="G502" i="3"/>
  <c r="BS5" i="3"/>
  <c r="BN5" i="3"/>
  <c r="BK5" i="3"/>
  <c r="BG5" i="3"/>
  <c r="BC5" i="3"/>
  <c r="G17" i="3"/>
  <c r="BA17" i="3"/>
  <c r="BA15" i="3"/>
  <c r="BB5" i="3"/>
  <c r="G509" i="3"/>
  <c r="AZ390" i="3"/>
  <c r="F83" i="43"/>
  <c r="H85" i="43" s="1"/>
  <c r="F50" i="43"/>
  <c r="H54" i="43" s="1"/>
  <c r="G54" i="43" s="1"/>
  <c r="F72" i="43"/>
  <c r="H75" i="43" s="1"/>
  <c r="U17" i="39"/>
  <c r="S14" i="35"/>
  <c r="U43" i="21"/>
  <c r="U35" i="21"/>
  <c r="AC35" i="21"/>
  <c r="G8" i="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7" i="3"/>
  <c r="AZ256" i="3"/>
  <c r="AZ259" i="3"/>
  <c r="AZ268" i="3"/>
  <c r="AZ130"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39" i="40"/>
  <c r="W39" i="40"/>
  <c r="AA32" i="36"/>
  <c r="S32" i="36"/>
  <c r="AZ437" i="3"/>
  <c r="AZ441" i="3"/>
  <c r="AA39" i="34"/>
  <c r="BL14" i="3"/>
  <c r="AZ266" i="3"/>
  <c r="U30" i="33"/>
  <c r="AC13" i="34"/>
  <c r="AA47" i="34"/>
  <c r="W28" i="37"/>
  <c r="S19" i="39"/>
  <c r="F12" i="33"/>
  <c r="H12" i="39"/>
  <c r="AB12" i="39" s="1"/>
  <c r="F39" i="40"/>
  <c r="BA14" i="3"/>
  <c r="AZ14" i="3" s="1"/>
  <c r="AZ224" i="3"/>
  <c r="AZ254" i="3"/>
  <c r="AZ281" i="3"/>
  <c r="AZ149" i="3"/>
  <c r="AZ181" i="3"/>
  <c r="AZ41" i="3"/>
  <c r="B12" i="1"/>
  <c r="E12" i="1" s="1"/>
  <c r="B10" i="1"/>
  <c r="E10" i="1" s="1"/>
  <c r="K12" i="1"/>
  <c r="M12" i="1" s="1"/>
  <c r="S13" i="1"/>
  <c r="AR13" i="1" s="1"/>
  <c r="R13" i="1"/>
  <c r="J51" i="67"/>
  <c r="C42" i="1"/>
  <c r="AA34" i="33"/>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G75" i="37" s="1"/>
  <c r="F19" i="37"/>
  <c r="F79" i="37"/>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AA21" i="39"/>
  <c r="AC17" i="37"/>
  <c r="J19" i="37"/>
  <c r="W19" i="37" s="1"/>
  <c r="S19" i="37"/>
  <c r="AA19" i="37"/>
  <c r="AA23" i="37"/>
  <c r="J23" i="37"/>
  <c r="W23" i="37" s="1"/>
  <c r="G79" i="37"/>
  <c r="J10" i="37"/>
  <c r="W10" i="37" s="1"/>
  <c r="H11" i="37"/>
  <c r="AB11" i="37" s="1"/>
  <c r="H11" i="34"/>
  <c r="U11" i="34" s="1"/>
  <c r="J10" i="34"/>
  <c r="AC10" i="34" s="1"/>
  <c r="AB41" i="33"/>
  <c r="W35" i="33"/>
  <c r="H111" i="33"/>
  <c r="I111" i="33" s="1"/>
  <c r="J111" i="33" s="1"/>
  <c r="K111" i="33" s="1"/>
  <c r="L111" i="33" s="1"/>
  <c r="M111" i="33" s="1"/>
  <c r="J36" i="33"/>
  <c r="W36" i="33" s="1"/>
  <c r="H36" i="33"/>
  <c r="U36" i="33" s="1"/>
  <c r="S36" i="33"/>
  <c r="AC32" i="33"/>
  <c r="W32" i="33"/>
  <c r="U27" i="33"/>
  <c r="AB27" i="33"/>
  <c r="J27" i="33"/>
  <c r="AC27" i="33" s="1"/>
  <c r="U25" i="33"/>
  <c r="AB25" i="33"/>
  <c r="AA25" i="33"/>
  <c r="J25" i="33"/>
  <c r="AC25" i="33" s="1"/>
  <c r="AB23" i="33"/>
  <c r="U23" i="33"/>
  <c r="F23" i="33"/>
  <c r="S23" i="33" s="1"/>
  <c r="AC23" i="33"/>
  <c r="W23" i="33"/>
  <c r="AA19" i="33"/>
  <c r="H19" i="33"/>
  <c r="U19" i="33" s="1"/>
  <c r="G81" i="33"/>
  <c r="H17" i="33"/>
  <c r="AB17" i="33" s="1"/>
  <c r="F17" i="33"/>
  <c r="S17" i="33" s="1"/>
  <c r="W17" i="33"/>
  <c r="AC17" i="33"/>
  <c r="S37" i="21"/>
  <c r="AA23" i="21"/>
  <c r="J23" i="21"/>
  <c r="W23" i="21" s="1"/>
  <c r="H23" i="21"/>
  <c r="S13" i="21"/>
  <c r="AP7" i="1"/>
  <c r="AB9" i="21"/>
  <c r="S32" i="21"/>
  <c r="AC9" i="21"/>
  <c r="AB32" i="21"/>
  <c r="U32" i="21"/>
  <c r="U32" i="39"/>
  <c r="W32" i="39"/>
  <c r="AC19" i="37"/>
  <c r="J11" i="37"/>
  <c r="AC11" i="37" s="1"/>
  <c r="J11" i="34"/>
  <c r="W11" i="34" s="1"/>
  <c r="W27" i="33"/>
  <c r="W25" i="33"/>
  <c r="AA23" i="33"/>
  <c r="AB19" i="33"/>
  <c r="AA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3" i="67"/>
  <c r="B8" i="76"/>
  <c r="E2" i="68"/>
  <c r="D6" i="73"/>
  <c r="E10" i="76"/>
  <c r="C76" i="67"/>
  <c r="F5" i="73"/>
  <c r="M8" i="15"/>
  <c r="D4" i="73"/>
  <c r="M29" i="15"/>
  <c r="E11" i="76"/>
  <c r="E2" i="69"/>
  <c r="D7" i="73"/>
  <c r="M9" i="67"/>
  <c r="D3" i="73"/>
  <c r="E8" i="76"/>
  <c r="E7" i="76"/>
  <c r="F13" i="15"/>
  <c r="F38" i="67"/>
  <c r="M22" i="15"/>
  <c r="M26" i="67"/>
  <c r="J15" i="15"/>
  <c r="F8" i="15"/>
  <c r="E9" i="76"/>
  <c r="F20" i="31"/>
  <c r="F36" i="67"/>
  <c r="M24" i="15"/>
  <c r="B13" i="76"/>
  <c r="B11" i="76"/>
  <c r="E12" i="76"/>
  <c r="F6" i="67"/>
  <c r="F42" i="67"/>
  <c r="F6" i="73"/>
  <c r="F7" i="73"/>
  <c r="AO13" i="1"/>
  <c r="D5" i="73"/>
  <c r="F4" i="73"/>
  <c r="B10" i="76"/>
  <c r="F9" i="15"/>
  <c r="F43" i="15"/>
  <c r="B7" i="76"/>
  <c r="F13" i="67"/>
  <c r="F3" i="73"/>
  <c r="F9" i="67"/>
  <c r="F40" i="15"/>
  <c r="M9" i="15"/>
  <c r="B12" i="76"/>
  <c r="F7" i="15"/>
  <c r="E13" i="76"/>
  <c r="M24" i="67"/>
  <c r="B9" i="76"/>
  <c r="M28" i="67"/>
  <c r="W12" i="39" l="1"/>
  <c r="AC12" i="39"/>
  <c r="AB35" i="39"/>
  <c r="U35" i="39"/>
  <c r="AC12" i="33"/>
  <c r="W12" i="33"/>
  <c r="AC9" i="36"/>
  <c r="W9" i="36"/>
  <c r="AZ346" i="3"/>
  <c r="G400" i="3"/>
  <c r="BL401" i="3"/>
  <c r="G402" i="3"/>
  <c r="BA403" i="3"/>
  <c r="AZ403" i="3" s="1"/>
  <c r="BL405" i="3"/>
  <c r="G406" i="3"/>
  <c r="BL407" i="3"/>
  <c r="G408" i="3"/>
  <c r="BA409" i="3"/>
  <c r="BL409" i="3"/>
  <c r="BA410" i="3"/>
  <c r="AZ410" i="3" s="1"/>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BL479" i="3"/>
  <c r="G480" i="3"/>
  <c r="BL481" i="3"/>
  <c r="G482"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F62" i="15"/>
  <c r="E14" i="77"/>
  <c r="U17" i="33"/>
  <c r="AB45" i="21"/>
  <c r="D6" i="52"/>
  <c r="S17" i="37"/>
  <c r="AA29" i="21"/>
  <c r="AB33" i="34"/>
  <c r="AC39" i="34"/>
  <c r="AB20" i="36"/>
  <c r="AC34" i="33"/>
  <c r="AC11" i="39"/>
  <c r="AZ387" i="3"/>
  <c r="AZ369" i="3"/>
  <c r="AZ334" i="3"/>
  <c r="AZ331" i="3"/>
  <c r="AZ382" i="3"/>
  <c r="AZ364" i="3"/>
  <c r="AZ361" i="3"/>
  <c r="AZ356" i="3"/>
  <c r="AZ347" i="3"/>
  <c r="AZ344" i="3"/>
  <c r="AZ342" i="3"/>
  <c r="AZ336" i="3"/>
  <c r="AZ321" i="3"/>
  <c r="AZ394" i="3"/>
  <c r="AZ380" i="3"/>
  <c r="S14" i="40"/>
  <c r="W40" i="37"/>
  <c r="AC45" i="33"/>
  <c r="AZ499" i="3"/>
  <c r="AZ523" i="3"/>
  <c r="AZ539" i="3"/>
  <c r="U31" i="33"/>
  <c r="S11" i="36"/>
  <c r="U31" i="34"/>
  <c r="S28" i="34"/>
  <c r="F39" i="37"/>
  <c r="W31" i="37"/>
  <c r="BH5" i="3"/>
  <c r="BD5" i="3"/>
  <c r="BR5" i="3"/>
  <c r="BP5" i="3"/>
  <c r="G29" i="6" s="1"/>
  <c r="BI5" i="3"/>
  <c r="BE5" i="3"/>
  <c r="H9" i="33"/>
  <c r="J23" i="35"/>
  <c r="H24" i="36"/>
  <c r="F44" i="39"/>
  <c r="G578" i="3"/>
  <c r="G574" i="3"/>
  <c r="G526" i="3"/>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BL271" i="3"/>
  <c r="G272" i="3"/>
  <c r="G274" i="3"/>
  <c r="BL275" i="3"/>
  <c r="G276" i="3"/>
  <c r="G279" i="3"/>
  <c r="G281" i="3"/>
  <c r="BL283" i="3"/>
  <c r="G284" i="3"/>
  <c r="BL286" i="3"/>
  <c r="G287" i="3"/>
  <c r="BL288" i="3"/>
  <c r="G289" i="3"/>
  <c r="BL291" i="3"/>
  <c r="G292" i="3"/>
  <c r="BA294" i="3"/>
  <c r="BL294" i="3"/>
  <c r="BA296" i="3"/>
  <c r="BL296" i="3"/>
  <c r="BL298" i="3"/>
  <c r="G299" i="3"/>
  <c r="BA300" i="3"/>
  <c r="BL300" i="3"/>
  <c r="BA301" i="3"/>
  <c r="AZ301" i="3" s="1"/>
  <c r="BA114" i="3"/>
  <c r="AZ114" i="3" s="1"/>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D42" i="71"/>
  <c r="C43" i="71"/>
  <c r="T64" i="71"/>
  <c r="D32" i="71"/>
  <c r="D59" i="71"/>
  <c r="D75" i="71"/>
  <c r="AA25" i="71"/>
  <c r="AB29" i="71"/>
  <c r="B34" i="71"/>
  <c r="B35" i="71" s="1"/>
  <c r="B36" i="71" s="1"/>
  <c r="S36" i="71" s="1"/>
  <c r="Y30" i="71"/>
  <c r="Z30" i="71" s="1"/>
  <c r="AB30" i="71"/>
  <c r="Y31" i="71"/>
  <c r="Z31" i="71" s="1"/>
  <c r="Y34" i="71"/>
  <c r="Z34" i="71" s="1"/>
  <c r="AB34" i="71"/>
  <c r="Y35" i="71"/>
  <c r="Z35" i="71" s="1"/>
  <c r="X35" i="71"/>
  <c r="Y38" i="71"/>
  <c r="Z38" i="71" s="1"/>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19" i="3"/>
  <c r="AZ19" i="3" s="1"/>
  <c r="BL19" i="3"/>
  <c r="BA21" i="3"/>
  <c r="AZ21" i="3" s="1"/>
  <c r="BL21" i="3"/>
  <c r="BA22" i="3"/>
  <c r="AZ22" i="3" s="1"/>
  <c r="BA24" i="3"/>
  <c r="BL24" i="3"/>
  <c r="BA25" i="3"/>
  <c r="AZ25" i="3" s="1"/>
  <c r="BA26" i="3"/>
  <c r="AZ26" i="3" s="1"/>
  <c r="BA28" i="3"/>
  <c r="BL28" i="3"/>
  <c r="BL30" i="3"/>
  <c r="G31" i="3"/>
  <c r="BL32" i="3"/>
  <c r="G33" i="3"/>
  <c r="BA34" i="3"/>
  <c r="BL34" i="3"/>
  <c r="BL36" i="3"/>
  <c r="G37"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L106" i="3"/>
  <c r="G107" i="3"/>
  <c r="BA108" i="3"/>
  <c r="BL108" i="3"/>
  <c r="BA110" i="3"/>
  <c r="BL110" i="3"/>
  <c r="BL112" i="3"/>
  <c r="F3" i="35"/>
  <c r="AC21" i="37"/>
  <c r="AB21" i="33"/>
  <c r="C29" i="39"/>
  <c r="B68" i="43"/>
  <c r="B77" i="43"/>
  <c r="AC26" i="33"/>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42" i="3"/>
  <c r="AZ246" i="3"/>
  <c r="AZ25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4"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M7" i="15"/>
  <c r="F50" i="15"/>
  <c r="F51" i="15"/>
  <c r="F71" i="15"/>
  <c r="F66" i="67"/>
  <c r="Q71" i="67"/>
  <c r="B13" i="70"/>
  <c r="F64" i="67"/>
  <c r="F68" i="15"/>
  <c r="C36" i="68"/>
  <c r="D9" i="69"/>
  <c r="F27" i="69"/>
  <c r="C36" i="69"/>
  <c r="D9" i="68"/>
  <c r="F16" i="67"/>
  <c r="J15" i="67"/>
  <c r="M28" i="15"/>
  <c r="M6" i="15"/>
  <c r="F16" i="15"/>
  <c r="F43" i="67"/>
  <c r="G1" i="73"/>
  <c r="F37" i="15"/>
  <c r="F8" i="67"/>
  <c r="M22" i="67"/>
  <c r="F6" i="15"/>
  <c r="M26" i="15"/>
  <c r="F26" i="15"/>
  <c r="L47" i="15"/>
  <c r="F7" i="67"/>
  <c r="M29" i="67"/>
  <c r="L48" i="15"/>
  <c r="M6" i="67"/>
  <c r="F36" i="15"/>
  <c r="L48" i="67"/>
  <c r="F26" i="67"/>
  <c r="C76" i="15"/>
  <c r="F40" i="67"/>
  <c r="F38" i="15"/>
  <c r="F42" i="15"/>
  <c r="L47" i="67"/>
  <c r="F37" i="67"/>
  <c r="M23" i="15"/>
  <c r="M8" i="67"/>
  <c r="J53" i="67" l="1"/>
  <c r="Q52" i="67" s="1"/>
  <c r="L56" i="67"/>
  <c r="J57" i="67"/>
  <c r="J55" i="67" s="1"/>
  <c r="J58" i="67" s="1"/>
  <c r="Q50" i="67" s="1"/>
  <c r="I54" i="67"/>
  <c r="F71" i="67"/>
  <c r="F50" i="67"/>
  <c r="M7" i="67"/>
  <c r="J6" i="67" s="1"/>
  <c r="J18" i="67" s="1"/>
  <c r="C35" i="77"/>
  <c r="L59" i="15"/>
  <c r="Q74" i="15" s="1"/>
  <c r="M59" i="15"/>
  <c r="N59" i="15"/>
  <c r="F66" i="15"/>
  <c r="N59" i="67"/>
  <c r="L58" i="67"/>
  <c r="Q60" i="67" s="1"/>
  <c r="L59" i="67"/>
  <c r="Q61" i="67" s="1"/>
  <c r="M59" i="67"/>
  <c r="C27" i="15"/>
  <c r="F64" i="15"/>
  <c r="Q71" i="15"/>
  <c r="F65" i="15"/>
  <c r="C27" i="67"/>
  <c r="I38" i="15"/>
  <c r="C6" i="15"/>
  <c r="D6" i="77" s="1"/>
  <c r="C23" i="77" s="1"/>
  <c r="F65" i="67"/>
  <c r="F51" i="67"/>
  <c r="C6" i="67"/>
  <c r="F68" i="67"/>
  <c r="G30" i="6"/>
  <c r="G31" i="6" s="1"/>
  <c r="E29" i="6"/>
  <c r="K15" i="1" s="1"/>
  <c r="F7" i="36"/>
  <c r="AZ110" i="3"/>
  <c r="AZ105" i="3"/>
  <c r="AZ61" i="3"/>
  <c r="AZ34" i="3"/>
  <c r="AZ28" i="3"/>
  <c r="AZ24" i="3"/>
  <c r="AZ206" i="3"/>
  <c r="AZ193" i="3"/>
  <c r="AZ174" i="3"/>
  <c r="AZ161" i="3"/>
  <c r="AZ118" i="3"/>
  <c r="AZ300" i="3"/>
  <c r="AZ296" i="3"/>
  <c r="AZ243" i="3"/>
  <c r="AZ209" i="3"/>
  <c r="AZ367" i="3"/>
  <c r="AZ354" i="3"/>
  <c r="AA44" i="39"/>
  <c r="S44" i="39"/>
  <c r="AC23" i="35"/>
  <c r="W23" i="35"/>
  <c r="J6" i="15"/>
  <c r="J18" i="15" s="1"/>
  <c r="C44" i="71"/>
  <c r="D43" i="71"/>
  <c r="AB24" i="36"/>
  <c r="U24" i="36"/>
  <c r="AB9" i="33"/>
  <c r="U9" i="33"/>
  <c r="AZ488" i="3"/>
  <c r="AZ469" i="3"/>
  <c r="AZ412" i="3"/>
  <c r="J57" i="15"/>
  <c r="J55" i="15" s="1"/>
  <c r="J58" i="15" s="1"/>
  <c r="Q50" i="15" s="1"/>
  <c r="J53" i="15"/>
  <c r="L56" i="15" s="1"/>
  <c r="I54" i="15"/>
  <c r="L58" i="15"/>
  <c r="Q73" i="15" s="1"/>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C32" i="67"/>
  <c r="M11" i="67"/>
  <c r="J10" i="67" s="1"/>
  <c r="F11" i="15"/>
  <c r="M11" i="15"/>
  <c r="J10" i="15" s="1"/>
  <c r="F11" i="67"/>
  <c r="F1" i="67"/>
  <c r="Q61" i="15"/>
  <c r="AE11" i="1"/>
  <c r="AE9" i="1"/>
  <c r="F27" i="68"/>
  <c r="AE7" i="1"/>
  <c r="AE8" i="1"/>
  <c r="AE12" i="1"/>
  <c r="AE10" i="1"/>
  <c r="C16" i="15"/>
  <c r="F41" i="67"/>
  <c r="C16" i="67"/>
  <c r="J5" i="67" l="1"/>
  <c r="Q73" i="67"/>
  <c r="Q74" i="67"/>
  <c r="F1" i="15"/>
  <c r="C49" i="67"/>
  <c r="J5" i="15"/>
  <c r="J24" i="15" s="1"/>
  <c r="C32" i="15"/>
  <c r="Q60" i="15"/>
  <c r="D16" i="77"/>
  <c r="D10" i="77"/>
  <c r="D18" i="77"/>
  <c r="D9" i="77"/>
  <c r="D15" i="77"/>
  <c r="D17" i="77"/>
  <c r="D44" i="71"/>
  <c r="T44" i="71"/>
  <c r="D23" i="77"/>
  <c r="C29" i="77"/>
  <c r="Q52" i="15"/>
  <c r="J56" i="43"/>
  <c r="D56" i="43"/>
  <c r="J51" i="43"/>
  <c r="D51" i="43"/>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67"/>
  <c r="M27" i="15"/>
  <c r="E50" i="43" l="1"/>
  <c r="B48" i="43" s="1"/>
  <c r="C28" i="43" s="1"/>
  <c r="T11" i="43" s="1"/>
  <c r="V11" i="43" s="1"/>
  <c r="D26" i="77"/>
  <c r="E23" i="77"/>
  <c r="D29" i="77"/>
  <c r="T15" i="43"/>
  <c r="V15" i="43" s="1"/>
  <c r="T7" i="43"/>
  <c r="V7" i="43" s="1"/>
  <c r="T10" i="43"/>
  <c r="V10" i="43" s="1"/>
  <c r="T2" i="43"/>
  <c r="V2" i="43" s="1"/>
  <c r="C37" i="43"/>
  <c r="C38" i="43"/>
  <c r="T9" i="43"/>
  <c r="V9" i="43" s="1"/>
  <c r="T12" i="43"/>
  <c r="V12" i="43" s="1"/>
  <c r="T3" i="43"/>
  <c r="V3" i="43" s="1"/>
  <c r="C40" i="43"/>
  <c r="C42" i="43"/>
  <c r="E42" i="43" s="1"/>
  <c r="E6" i="3"/>
  <c r="B14" i="74"/>
  <c r="B1" i="74" s="1"/>
  <c r="B4" i="77"/>
  <c r="D38" i="6"/>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15"/>
  <c r="C17" i="67"/>
  <c r="C17" i="15"/>
  <c r="C14" i="67"/>
  <c r="C36" i="77" l="1"/>
  <c r="F69" i="15"/>
  <c r="C41" i="43"/>
  <c r="T6" i="43"/>
  <c r="V6" i="43" s="1"/>
  <c r="T8" i="43"/>
  <c r="V8" i="43" s="1"/>
  <c r="T16" i="43"/>
  <c r="V16" i="43" s="1"/>
  <c r="T13" i="43"/>
  <c r="V13" i="43" s="1"/>
  <c r="C39" i="43"/>
  <c r="T5" i="43"/>
  <c r="V5" i="43" s="1"/>
  <c r="T4" i="43"/>
  <c r="V4" i="43" s="1"/>
  <c r="T14" i="43"/>
  <c r="V14" i="43" s="1"/>
  <c r="V17" i="43"/>
  <c r="V18" i="43" s="1"/>
  <c r="E26" i="77"/>
  <c r="E29" i="77"/>
  <c r="D32" i="77"/>
  <c r="D38" i="77" s="1"/>
  <c r="C34" i="43"/>
  <c r="E34" i="43" s="1"/>
  <c r="C14" i="74"/>
  <c r="B2" i="74" s="1"/>
  <c r="F36" i="77"/>
  <c r="D39" i="77"/>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G39" i="43" l="1"/>
  <c r="I39" i="43" s="1"/>
  <c r="C31" i="43" s="1"/>
  <c r="E39" i="43"/>
  <c r="G41" i="43"/>
  <c r="I41" i="43" s="1"/>
  <c r="E41" i="43"/>
  <c r="E32" i="77"/>
  <c r="E38" i="77" s="1"/>
  <c r="E39" i="77" s="1"/>
  <c r="D7" i="74"/>
  <c r="D8"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0" i="43" l="1"/>
  <c r="B2" i="43" s="1"/>
  <c r="F7" i="21"/>
  <c r="J7" i="21"/>
  <c r="AC7" i="21" s="1"/>
  <c r="V48" i="21" s="1"/>
  <c r="I48" i="21" s="1"/>
  <c r="F26" i="43"/>
  <c r="N94" i="46"/>
  <c r="E26" i="43"/>
  <c r="N370" i="46"/>
  <c r="B116" i="43"/>
  <c r="J26" i="43"/>
  <c r="H26" i="43"/>
  <c r="G26" i="43"/>
  <c r="Z7" i="43"/>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B6" i="76"/>
  <c r="B2" i="76" l="1"/>
  <c r="B3" i="43"/>
  <c r="C6" i="68"/>
  <c r="J7" i="35"/>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7" i="68" l="1"/>
  <c r="C5" i="68" s="1"/>
  <c r="C33" i="15"/>
  <c r="D13" i="77"/>
  <c r="D12" i="77" s="1"/>
  <c r="D11" i="77"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23" i="68" l="1"/>
  <c r="C20" i="68"/>
  <c r="D7" i="77"/>
  <c r="C26" i="77" s="1"/>
  <c r="C32" i="77" s="1"/>
  <c r="E11" i="77"/>
  <c r="E7" i="77" s="1"/>
  <c r="C27" i="77" s="1"/>
  <c r="E2" i="76"/>
  <c r="B3" i="76" s="1"/>
  <c r="E3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28" i="68" l="1"/>
  <c r="C27" i="68" s="1"/>
  <c r="C25" i="68"/>
  <c r="C22" i="68" s="1"/>
  <c r="C38" i="77"/>
  <c r="C39" i="77" s="1"/>
  <c r="C40" i="77" s="1"/>
  <c r="C41" i="77" s="1"/>
  <c r="G32" i="7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J39" i="15" s="1"/>
  <c r="O67" i="39"/>
  <c r="O69" i="39" s="1"/>
  <c r="N69" i="39"/>
  <c r="F7" i="39"/>
  <c r="C39" i="35"/>
  <c r="C38" i="35"/>
  <c r="N63" i="40"/>
  <c r="M65" i="40"/>
  <c r="E43" i="35"/>
  <c r="F43" i="35" s="1"/>
  <c r="E42" i="35"/>
  <c r="F42" i="35" s="1"/>
  <c r="I43" i="35"/>
  <c r="J43" i="35" s="1"/>
  <c r="D2" i="33"/>
  <c r="C31" i="68" l="1"/>
  <c r="C52" i="68" s="1"/>
  <c r="B2" i="68" s="1"/>
  <c r="B2" i="77"/>
  <c r="B3" i="77" s="1"/>
  <c r="Q69" i="15"/>
  <c r="Q68" i="15" s="1"/>
  <c r="I39" i="15"/>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C19" i="9"/>
  <c r="L51" i="15"/>
  <c r="D2" i="37"/>
  <c r="C57" i="68" l="1"/>
  <c r="C56" i="68" s="1"/>
  <c r="C21" i="9"/>
  <c r="C102" i="9"/>
  <c r="B3" i="68"/>
  <c r="M24" i="43"/>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D35" i="9"/>
  <c r="AO10" i="1"/>
  <c r="AO11" i="1"/>
  <c r="AO7" i="1"/>
  <c r="C20" i="9"/>
  <c r="AO9" i="1"/>
  <c r="D34"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G23" i="77" l="1"/>
  <c r="G21" i="77" s="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J22" i="9" l="1"/>
  <c r="G21" i="9"/>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Z20" i="43" s="1"/>
  <c r="I118" i="9"/>
  <c r="I4" i="52" s="1"/>
  <c r="F119" i="9"/>
  <c r="F5" i="52" s="1"/>
  <c r="B53" i="72" s="1"/>
  <c r="G118" i="9"/>
  <c r="G4" i="52" s="1"/>
  <c r="B52" i="72" s="1"/>
  <c r="D4" i="52"/>
  <c r="B47" i="72" s="1"/>
  <c r="H119" i="9"/>
  <c r="H5" i="52" s="1"/>
  <c r="H4" i="52"/>
  <c r="Z21" i="43" l="1"/>
  <c r="AA21" i="43" s="1"/>
  <c r="Z23" i="43"/>
  <c r="AA23" i="43" s="1"/>
  <c r="Z25" i="43"/>
  <c r="AA25" i="43" s="1"/>
  <c r="Z27" i="43"/>
  <c r="AA27" i="43" s="1"/>
  <c r="Z22" i="43"/>
  <c r="AA22" i="43" s="1"/>
  <c r="Z24" i="43"/>
  <c r="AA24" i="43" s="1"/>
  <c r="Z26" i="43"/>
  <c r="AA26" i="43" s="1"/>
  <c r="D5" i="53"/>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<sst xmlns="http://schemas.openxmlformats.org/spreadsheetml/2006/main" count="10751" uniqueCount="4092">
  <si>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</si>
  <si>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</si>
  <si>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</si>
  <si>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</si>
  <si>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</si>
  <si>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</si>
  <si>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</si>
  <si>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</si>
  <si>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</si>
  <si>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</si>
  <si>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</si>
  <si>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</si>
  <si>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</si>
  <si>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</si>
  <si>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</si>
  <si>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</si>
  <si>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</si>
  <si>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</si>
  <si>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</si>
  <si>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</si>
  <si>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</si>
  <si>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</si>
  <si>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</si>
  <si>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</si>
  <si>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</si>
  <si>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</si>
  <si>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</si>
  <si>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</si>
  <si>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</si>
  <si>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</si>
  <si>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</si>
  <si>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</si>
  <si>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</si>
  <si>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</si>
  <si>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</si>
  <si>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</si>
  <si>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</si>
  <si>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</si>
  <si>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</si>
  <si>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</si>
  <si>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</si>
  <si>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</si>
  <si>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</si>
  <si>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</si>
  <si>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</si>
  <si>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</si>
  <si>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</si>
  <si>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</si>
  <si>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</si>
  <si>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</si>
  <si>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</si>
  <si>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</si>
  <si>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</si>
  <si>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</si>
  <si>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</si>
  <si>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</si>
  <si>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</si>
  <si>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</si>
  <si>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</si>
  <si>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</si>
  <si>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</si>
  <si>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</si>
  <si>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</si>
  <si>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</si>
  <si>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</si>
  <si>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</si>
  <si>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</si>
  <si>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</si>
  <si>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</si>
  <si>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</si>
  <si>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</si>
  <si>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</si>
  <si>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</si>
  <si>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</si>
  <si>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</si>
  <si>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</si>
  <si>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</si>
  <si>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</si>
  <si>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</si>
  <si>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</si>
  <si>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</si>
  <si>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</si>
  <si>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</si>
  <si>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</si>
  <si>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</si>
  <si>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</si>
  <si>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</si>
  <si>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</si>
  <si>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</si>
  <si>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</si>
  <si>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</si>
  <si>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</si>
  <si>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</si>
  <si>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</si>
  <si>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</si>
  <si>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</si>
  <si>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</si>
  <si>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</si>
  <si>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</si>
  <si>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</si>
  <si>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</si>
  <si>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</si>
  <si>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</si>
  <si>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</si>
  <si>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</si>
  <si>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</si>
  <si>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</si>
  <si>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</si>
  <si>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</si>
  <si>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</si>
  <si>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</si>
  <si>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</si>
  <si>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</si>
  <si>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</si>
  <si>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</si>
  <si>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</si>
  <si>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</si>
  <si>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</si>
  <si>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</si>
  <si>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</si>
  <si>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</si>
  <si>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</si>
  <si>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</si>
  <si>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</si>
  <si>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</si>
  <si>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</si>
  <si>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</si>
  <si>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</si>
  <si>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</si>
  <si>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</si>
  <si>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</si>
  <si>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</si>
  <si>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</si>
  <si>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</si>
  <si>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</si>
  <si>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</si>
  <si>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</si>
  <si>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</si>
  <si>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</si>
  <si>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</si>
  <si>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</si>
  <si>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</si>
  <si>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</si>
  <si>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</si>
  <si>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</si>
  <si>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</si>
  <si>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</si>
  <si>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</si>
  <si>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</si>
  <si>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</si>
  <si>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</si>
  <si>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</si>
  <si>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</si>
  <si>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</si>
  <si>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</si>
  <si>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</si>
  <si>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</si>
  <si>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</si>
  <si>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</si>
  <si>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</si>
  <si>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</si>
  <si>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</si>
  <si>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</si>
  <si>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</si>
  <si>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</si>
  <si>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</si>
  <si>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</si>
  <si>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</si>
  <si>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</si>
  <si>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</si>
  <si>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</si>
  <si>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</si>
  <si>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</si>
  <si>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</si>
  <si>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</si>
  <si>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</si>
  <si>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</si>
  <si>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</si>
  <si>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</si>
  <si>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</si>
  <si>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</si>
  <si>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</si>
  <si>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</si>
  <si>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</si>
  <si>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</si>
  <si>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</si>
  <si>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</si>
  <si>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</si>
  <si>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</si>
  <si>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</si>
  <si>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</si>
  <si>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</si>
  <si>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</si>
  <si>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</si>
  <si>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</si>
  <si>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</si>
  <si>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</si>
  <si>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</si>
  <si>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</si>
  <si>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</si>
  <si>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</si>
  <si>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</si>
  <si>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</si>
  <si>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</si>
  <si>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</si>
  <si>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</si>
  <si>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</si>
  <si>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</si>
  <si>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</si>
  <si>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</si>
  <si>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</si>
  <si>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</si>
  <si>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</si>
  <si>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</si>
  <si>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</si>
  <si>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</si>
  <si>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</si>
  <si>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</si>
  <si>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</si>
  <si>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</si>
  <si>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</si>
  <si>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</si>
  <si>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</si>
  <si>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</si>
  <si>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</si>
  <si>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</si>
  <si>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</si>
  <si>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</si>
  <si>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</si>
  <si>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</si>
  <si>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</si>
  <si>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</si>
  <si>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</si>
  <si>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</si>
  <si>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</si>
  <si>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</si>
  <si>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</si>
  <si>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</si>
  <si>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</si>
  <si>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</si>
  <si>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</si>
  <si>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</si>
  <si>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</si>
  <si>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</si>
  <si>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</si>
  <si>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</si>
  <si>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</si>
  <si>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</si>
  <si>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</si>
  <si>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</si>
  <si>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</si>
  <si>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</si>
  <si>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</si>
  <si>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</si>
  <si>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</si>
  <si>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</si>
  <si>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</si>
  <si>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</si>
  <si>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</si>
  <si>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</si>
  <si>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</si>
  <si>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</si>
  <si>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</si>
  <si>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</si>
  <si>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</si>
  <si>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</si>
  <si>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</si>
  <si>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</si>
  <si>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</si>
  <si>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</si>
  <si>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</si>
  <si>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</si>
  <si>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</si>
  <si>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</si>
  <si>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</si>
  <si>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</si>
  <si>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</si>
  <si>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</si>
  <si>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</si>
  <si>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</si>
  <si>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</si>
  <si>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</si>
  <si>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</si>
  <si>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</si>
  <si>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</si>
  <si>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</si>
  <si>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</si>
  <si>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</si>
  <si>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</si>
  <si>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</si>
  <si>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</si>
  <si>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</si>
  <si>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</si>
  <si>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</si>
  <si>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</si>
  <si>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</si>
  <si>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</si>
  <si>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</si>
  <si>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</si>
  <si>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</si>
  <si>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</si>
  <si>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</si>
  <si>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</si>
  <si>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</si>
  <si>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</si>
  <si>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</si>
  <si>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</si>
  <si>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</si>
  <si>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</si>
  <si>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</si>
  <si>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</si>
  <si>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</si>
  <si>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</si>
  <si>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</si>
  <si>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</si>
  <si>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</si>
  <si>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</si>
  <si>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</si>
  <si>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</si>
  <si>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</si>
  <si>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</si>
  <si>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</si>
  <si>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</si>
  <si>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</si>
  <si>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</si>
  <si>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</si>
  <si>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</si>
  <si>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</si>
  <si>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</si>
  <si>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</si>
  <si>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</si>
  <si>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</si>
  <si>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</si>
  <si>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</si>
  <si>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</si>
  <si>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</si>
  <si>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</si>
  <si>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</si>
  <si>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</si>
  <si>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</si>
  <si>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</si>
  <si>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</si>
  <si>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</si>
  <si>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</si>
  <si>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</si>
  <si>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</si>
  <si>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</si>
  <si>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</si>
  <si>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</si>
  <si>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</si>
  <si>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</si>
  <si>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</si>
  <si>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</si>
  <si>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</si>
  <si>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</si>
  <si>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</si>
  <si>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</si>
  <si>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</si>
  <si>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</si>
  <si>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</si>
  <si>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</si>
  <si>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</si>
  <si>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</si>
  <si>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</si>
  <si>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</si>
  <si>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</si>
  <si>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</si>
  <si>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</si>
  <si>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</si>
  <si>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</si>
  <si>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</si>
  <si>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</si>
  <si>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</si>
  <si>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</si>
  <si>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</si>
  <si>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</si>
  <si>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</si>
  <si>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</si>
  <si>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</si>
  <si>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</si>
  <si>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</si>
  <si>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</si>
  <si>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</si>
  <si>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</si>
  <si>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</si>
  <si>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</si>
  <si>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</si>
  <si>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</si>
  <si>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</si>
  <si>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</si>
  <si>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</si>
  <si>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</si>
  <si>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</si>
  <si>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</si>
  <si>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</si>
  <si>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</si>
  <si>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</si>
  <si>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</si>
  <si>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</si>
  <si>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</si>
  <si>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</si>
  <si>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</si>
  <si>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</si>
  <si>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</si>
  <si>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</si>
  <si>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</si>
  <si>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</si>
  <si>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</si>
  <si>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</si>
  <si>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</si>
  <si>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</si>
  <si>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</si>
  <si>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</si>
  <si>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</si>
  <si>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</si>
  <si>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</si>
  <si>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</si>
  <si>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</si>
  <si>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</si>
  <si>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</si>
  <si>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</si>
  <si>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</si>
  <si>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</si>
  <si>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</si>
  <si>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</si>
  <si>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</si>
  <si>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</si>
  <si>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</si>
  <si>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</si>
  <si>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</si>
  <si>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</si>
  <si>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</si>
  <si>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</si>
  <si>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</si>
  <si>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</si>
  <si>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</si>
  <si>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</si>
  <si>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</si>
  <si>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</si>
  <si>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</si>
  <si>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</si>
  <si>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</si>
  <si>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</si>
  <si>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</si>
  <si>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</si>
  <si>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</si>
  <si>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</si>
  <si>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</si>
  <si>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</si>
  <si>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</si>
  <si>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</si>
  <si>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</si>
  <si>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</si>
  <si>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</si>
  <si>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</si>
  <si>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</si>
  <si>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</si>
  <si>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</si>
  <si>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</si>
  <si>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</si>
  <si>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</si>
  <si>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</si>
  <si>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</si>
  <si>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</si>
  <si>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</si>
  <si>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</si>
  <si>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</si>
  <si>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</si>
  <si>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</si>
  <si>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</si>
  <si>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</si>
  <si>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</si>
  <si>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</si>
  <si>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</si>
  <si>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</si>
  <si>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</si>
  <si>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</si>
  <si>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</si>
  <si>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</si>
  <si>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</si>
  <si>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</si>
  <si>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</si>
  <si>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</si>
  <si>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</si>
  <si>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</si>
  <si>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</si>
  <si>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</si>
  <si>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</si>
  <si>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</si>
  <si>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</si>
  <si>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</si>
  <si>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</si>
  <si>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</si>
  <si>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</si>
  <si>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</si>
  <si>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</si>
  <si>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</si>
  <si>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</si>
  <si>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</si>
  <si>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</si>
  <si>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</si>
  <si>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</si>
  <si>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</si>
  <si>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</si>
  <si>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</si>
  <si>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</si>
  <si>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</si>
  <si>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</si>
  <si>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</si>
  <si>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</si>
  <si>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</si>
  <si>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</si>
  <si>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</si>
  <si>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</si>
  <si>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</si>
  <si>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</si>
  <si>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</si>
  <si>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</si>
  <si>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</si>
  <si>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</si>
  <si>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</si>
  <si>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</si>
  <si>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</si>
  <si>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</si>
  <si>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</si>
  <si>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</si>
  <si>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</si>
  <si>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</si>
  <si>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</si>
  <si>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</si>
  <si>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</si>
  <si>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</si>
  <si>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</si>
  <si>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</si>
  <si>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</si>
  <si>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</si>
  <si>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</si>
  <si>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</si>
  <si>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</si>
  <si>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</si>
  <si>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</si>
  <si>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</si>
  <si>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</si>
  <si>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</si>
  <si>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</si>
  <si>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</si>
  <si>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</si>
  <si>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</si>
  <si>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</si>
  <si>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</si>
  <si>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</si>
  <si>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</si>
  <si>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</si>
  <si>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</si>
  <si>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</si>
  <si>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</si>
  <si>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</si>
  <si>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</si>
  <si>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</si>
  <si>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</si>
  <si>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</si>
  <si>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</si>
  <si>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</si>
  <si>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</si>
  <si>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</si>
  <si>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</si>
  <si>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</si>
  <si>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</si>
  <si>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</si>
  <si>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</si>
  <si>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</si>
  <si>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</si>
  <si>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</si>
  <si>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</si>
  <si>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</si>
  <si>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</si>
  <si>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</si>
  <si>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</si>
  <si>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</si>
  <si>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</si>
  <si>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</si>
  <si>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</si>
  <si>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</si>
  <si>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</si>
  <si>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</si>
  <si>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</si>
  <si>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</si>
  <si>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</si>
  <si>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</si>
  <si>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</si>
  <si>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</si>
  <si>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</si>
  <si>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</si>
  <si>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</si>
  <si>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</si>
  <si>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</si>
  <si>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</si>
  <si>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</si>
  <si>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</si>
  <si>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</si>
  <si>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</si>
  <si>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</si>
  <si>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</si>
  <si>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</si>
  <si>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</si>
  <si>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</si>
  <si>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</si>
  <si>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</si>
  <si>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</si>
  <si>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</si>
  <si>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</si>
  <si>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</si>
  <si>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</si>
  <si>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</si>
  <si>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</si>
  <si>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</si>
  <si>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</si>
  <si>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</si>
  <si>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</si>
  <si>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</si>
  <si>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</si>
  <si>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</si>
  <si>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</si>
  <si>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</si>
  <si>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</si>
  <si>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</si>
  <si>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</si>
  <si>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</si>
  <si>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</si>
  <si>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</si>
  <si>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</si>
  <si>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</si>
  <si>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</si>
  <si>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</si>
  <si>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</si>
  <si>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</si>
  <si>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</si>
  <si>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</si>
  <si>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</si>
  <si>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</si>
  <si>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</si>
  <si>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</si>
  <si>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</si>
  <si>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</si>
  <si>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</si>
  <si>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</si>
  <si>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</si>
  <si>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</si>
  <si>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</si>
  <si>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</si>
  <si>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</si>
  <si>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</si>
  <si>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</si>
  <si>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</si>
  <si>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</si>
  <si>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</si>
  <si>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</si>
  <si>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</si>
  <si>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</si>
  <si>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</si>
  <si>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</si>
  <si>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</si>
  <si>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</si>
  <si>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</si>
  <si>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</si>
  <si>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</si>
  <si>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</si>
  <si>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</si>
  <si>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</si>
  <si>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</si>
  <si>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</si>
  <si>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</si>
  <si>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</si>
  <si>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</si>
  <si>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</si>
  <si>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</si>
  <si>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</si>
  <si>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</si>
  <si>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</si>
  <si>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</si>
  <si>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</si>
  <si>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</si>
  <si>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</si>
  <si>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</si>
  <si>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</si>
  <si>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</si>
  <si>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</si>
  <si>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</si>
  <si>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</si>
  <si>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</si>
  <si>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</si>
  <si>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</si>
  <si>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</si>
  <si>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</si>
  <si>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</si>
  <si>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</si>
  <si>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</si>
  <si>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</si>
  <si>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</si>
  <si>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</si>
  <si>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</si>
  <si>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</si>
  <si>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</si>
  <si>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</si>
  <si>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</si>
  <si>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</si>
  <si>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</si>
  <si>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</si>
  <si>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</si>
  <si>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</si>
  <si>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</si>
  <si>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</si>
  <si>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</si>
  <si>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</si>
  <si>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</si>
  <si>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</si>
  <si>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</si>
  <si>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</si>
  <si>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</si>
  <si>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</si>
  <si>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</si>
  <si>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</si>
  <si>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</si>
  <si>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</si>
  <si>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</si>
  <si>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</si>
  <si>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</si>
  <si>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</si>
  <si>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</si>
  <si>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</si>
  <si>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</si>
  <si>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</si>
  <si>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</si>
  <si>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</si>
  <si>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</si>
  <si>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</si>
  <si>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</si>
  <si>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</si>
  <si>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</si>
  <si>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</si>
  <si>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</si>
  <si>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</si>
  <si>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</si>
  <si>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</si>
  <si>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</si>
  <si>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</si>
  <si>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</si>
  <si>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</si>
  <si>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</si>
  <si>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</si>
  <si>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</si>
  <si>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</si>
  <si>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</si>
  <si>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</si>
  <si>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</si>
  <si>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</si>
  <si>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</si>
  <si>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</si>
  <si>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</si>
  <si>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</si>
  <si>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</si>
  <si>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</si>
  <si>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</si>
  <si>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</si>
  <si>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</si>
  <si>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</si>
  <si>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</si>
  <si>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</si>
  <si>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</si>
  <si>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</si>
  <si>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</si>
  <si>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</si>
  <si>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</si>
  <si>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</si>
  <si>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</si>
  <si>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</si>
  <si>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</si>
  <si>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</si>
  <si>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</si>
  <si>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</si>
  <si>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</si>
  <si>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</si>
  <si>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</si>
  <si>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</si>
  <si>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</si>
  <si>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</si>
  <si>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</si>
  <si>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</si>
  <si>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</si>
  <si>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</si>
  <si>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</si>
  <si>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</si>
  <si>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</si>
  <si>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</si>
  <si>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</si>
  <si>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</si>
  <si>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</si>
  <si>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</si>
  <si>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</si>
  <si>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</si>
  <si>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</si>
  <si>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</si>
  <si>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</si>
  <si>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</si>
  <si>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</si>
  <si>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</si>
  <si>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</si>
  <si>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</si>
  <si>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</si>
  <si>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</si>
  <si>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</si>
  <si>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</si>
  <si>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</si>
  <si>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</si>
  <si>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</si>
  <si>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</si>
  <si>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</si>
  <si>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</si>
  <si>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</si>
  <si>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</si>
  <si>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</si>
  <si>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</si>
  <si>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</si>
  <si>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</si>
  <si>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</si>
  <si>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</si>
  <si>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</si>
  <si>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</si>
  <si>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</si>
  <si>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</si>
  <si>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</si>
  <si>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</si>
  <si>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</si>
  <si>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</si>
  <si>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</si>
  <si>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</si>
  <si>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</si>
  <si>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</si>
  <si>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</si>
  <si>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</si>
  <si>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</si>
  <si>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</si>
  <si>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</si>
  <si>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</si>
  <si>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</si>
  <si>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</si>
  <si>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</si>
  <si>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</si>
  <si>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</si>
  <si>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</si>
  <si>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</si>
  <si>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</si>
  <si>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</si>
  <si>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</si>
  <si>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</si>
  <si>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</si>
  <si>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</si>
  <si>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</si>
  <si>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</si>
  <si>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</si>
  <si>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</si>
  <si>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</si>
  <si>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</si>
  <si>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</si>
  <si>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</si>
  <si>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</si>
  <si>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</si>
  <si>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</si>
  <si>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</si>
  <si>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</si>
  <si>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</si>
  <si>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</si>
  <si>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</si>
  <si>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</si>
  <si>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</si>
  <si>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</si>
  <si>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</si>
  <si>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</si>
  <si>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</si>
  <si>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</si>
  <si>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</si>
  <si>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</si>
  <si>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</si>
  <si>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</si>
  <si>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</si>
  <si>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</si>
  <si>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</si>
  <si>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</si>
  <si>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</si>
  <si>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</si>
  <si>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</si>
  <si>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</si>
  <si>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</si>
  <si>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</si>
  <si>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</si>
  <si>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</si>
  <si>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</si>
  <si>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</si>
  <si>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</si>
  <si>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</si>
  <si>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</si>
  <si>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</si>
  <si>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</si>
  <si>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</si>
  <si>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</si>
  <si>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</si>
  <si>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</si>
  <si>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</si>
  <si>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</si>
  <si>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</si>
  <si>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</si>
  <si>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</si>
  <si>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</si>
  <si>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</si>
  <si>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</si>
  <si>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</si>
  <si>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</si>
  <si>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</si>
  <si>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</si>
  <si>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</si>
  <si>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</si>
  <si>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</si>
  <si>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</si>
  <si>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</si>
  <si>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</si>
  <si>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</si>
  <si>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</si>
  <si>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</si>
  <si>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</si>
  <si>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</si>
  <si>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</si>
  <si>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</si>
  <si>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</si>
  <si>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</si>
  <si>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</si>
  <si>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</si>
  <si>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</si>
  <si>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</si>
  <si>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</si>
  <si>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</si>
  <si>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</si>
  <si>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</si>
  <si>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</si>
  <si>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</si>
  <si>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</si>
  <si>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</si>
  <si>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</si>
  <si>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</si>
  <si>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</si>
  <si>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</si>
  <si>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</si>
  <si>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</si>
  <si>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</si>
  <si>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</si>
  <si>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</si>
  <si>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</si>
  <si>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</si>
  <si>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</si>
  <si>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</si>
  <si>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</si>
  <si>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</si>
  <si>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</si>
  <si>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</si>
  <si>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</si>
  <si>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</si>
  <si>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</si>
  <si>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</si>
  <si>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</si>
  <si>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</si>
  <si>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</si>
  <si>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</si>
  <si>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</si>
  <si>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</si>
  <si>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</si>
  <si>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</si>
  <si>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</si>
  <si>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</si>
  <si>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</si>
  <si>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</si>
  <si>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</si>
  <si>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</si>
  <si>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</si>
  <si>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</si>
  <si>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</si>
  <si>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</si>
  <si>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</si>
  <si>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</si>
  <si>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</si>
  <si>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</si>
  <si>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</si>
  <si>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</si>
  <si>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</si>
  <si>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</si>
  <si>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</si>
  <si>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</si>
  <si>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</si>
  <si>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</si>
  <si>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</si>
  <si>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</si>
  <si>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</si>
  <si>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</si>
  <si>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</si>
  <si>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</si>
  <si>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</si>
  <si>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</si>
  <si>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</si>
  <si>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</si>
  <si>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</si>
  <si>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</si>
  <si>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</si>
  <si>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</si>
  <si>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</si>
  <si>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</si>
  <si>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</si>
  <si>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</si>
  <si>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</si>
  <si>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</si>
  <si>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</si>
  <si>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</si>
  <si>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</si>
  <si>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</si>
  <si>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</si>
  <si>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</si>
  <si>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</si>
  <si>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</si>
  <si>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</si>
  <si>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</si>
  <si>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</si>
  <si>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</si>
  <si>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</si>
  <si>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</si>
  <si>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</si>
  <si>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</si>
  <si>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</si>
  <si>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</si>
  <si>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</si>
  <si>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</si>
  <si>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</si>
  <si>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</si>
  <si>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</si>
  <si>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</si>
  <si>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</si>
  <si>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</si>
  <si>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</si>
  <si>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</si>
  <si>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</si>
  <si>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</si>
  <si>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</si>
  <si>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</si>
  <si>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</si>
  <si>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</si>
  <si>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</si>
  <si>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</si>
  <si>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</si>
  <si>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</si>
  <si>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</si>
  <si>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</si>
  <si>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</si>
  <si>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</si>
  <si>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</si>
  <si>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</si>
  <si>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</si>
  <si>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</si>
  <si>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</si>
  <si>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</si>
  <si>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</si>
  <si>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</si>
  <si>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</si>
  <si>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</si>
  <si>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</si>
  <si>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</si>
  <si>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</si>
  <si>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</si>
  <si>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</si>
  <si>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</si>
  <si>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</si>
  <si>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</si>
  <si>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</si>
  <si>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</si>
  <si>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</si>
  <si>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</si>
  <si>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</si>
  <si>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</si>
  <si>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</si>
  <si>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</si>
  <si>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</si>
  <si>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</si>
  <si>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</si>
  <si>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</si>
  <si>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</si>
  <si>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</si>
  <si>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</si>
  <si>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</si>
  <si>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</si>
  <si>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</si>
  <si>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</si>
  <si>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</si>
  <si>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</si>
  <si>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</si>
  <si>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</si>
  <si>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</si>
  <si>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</si>
  <si>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</si>
  <si>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</si>
  <si>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</si>
  <si>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</si>
  <si>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</si>
  <si>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</si>
  <si>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</si>
  <si>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</si>
  <si>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</si>
  <si>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</si>
  <si>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</si>
  <si>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</si>
  <si>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</si>
  <si>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</si>
  <si>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</si>
  <si>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</si>
  <si>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</si>
  <si>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</si>
  <si>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</si>
  <si>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</si>
  <si>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</si>
  <si>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</si>
  <si>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</si>
  <si>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</si>
  <si>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</si>
  <si>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</si>
  <si>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</si>
  <si>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</si>
  <si>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</si>
  <si>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</si>
  <si>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</si>
  <si>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</si>
  <si>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</si>
  <si>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</si>
  <si>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</si>
  <si>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</si>
  <si>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</si>
  <si>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</si>
  <si>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</si>
  <si>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</si>
  <si>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</si>
  <si>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</si>
  <si>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</si>
  <si>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</si>
  <si>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</si>
  <si>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</si>
  <si>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</si>
  <si>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</si>
  <si>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</si>
  <si>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</si>
  <si>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</si>
  <si>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</si>
  <si>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</si>
  <si>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</si>
  <si>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</si>
  <si>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</si>
  <si>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</si>
  <si>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</si>
  <si>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</si>
  <si>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</si>
  <si>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</si>
  <si>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</si>
  <si>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</si>
  <si>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</si>
  <si>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</si>
  <si>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</si>
  <si>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</si>
  <si>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</si>
  <si>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</si>
  <si>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</si>
  <si>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</si>
  <si>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</si>
  <si>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</si>
  <si>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</si>
  <si>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</si>
  <si>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</si>
  <si>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</si>
  <si>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</si>
  <si>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</si>
  <si>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</si>
  <si>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</si>
  <si>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</si>
  <si>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</si>
  <si>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</si>
  <si>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</si>
  <si>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</si>
  <si>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</si>
  <si>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</si>
  <si>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</si>
  <si>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</si>
  <si>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</si>
  <si>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</si>
  <si>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</si>
  <si>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</si>
  <si>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</si>
  <si>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</si>
  <si>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</si>
  <si>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</si>
  <si>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</si>
  <si>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</si>
  <si>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</si>
  <si>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</si>
  <si>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</si>
  <si>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</si>
  <si>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</si>
  <si>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</si>
  <si>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</si>
  <si>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</si>
  <si>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</si>
  <si>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</si>
  <si>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</si>
  <si>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</si>
  <si>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</si>
  <si>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</si>
  <si>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</si>
  <si>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</si>
  <si>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</si>
  <si>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</si>
  <si>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</si>
  <si>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</si>
  <si>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</si>
  <si>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</si>
  <si>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</si>
  <si>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</si>
  <si>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</si>
  <si>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</si>
  <si>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</si>
  <si>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</si>
  <si>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</si>
  <si>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</si>
  <si>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</si>
  <si>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</si>
  <si>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</si>
  <si>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</si>
  <si>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</si>
  <si>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</si>
  <si>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</si>
  <si>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</si>
  <si>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</si>
  <si>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</si>
  <si>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</si>
  <si>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</si>
  <si>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</si>
  <si>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</si>
  <si>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</si>
  <si>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</si>
  <si>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</si>
  <si>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</si>
  <si>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</si>
  <si>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</si>
  <si>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</si>
  <si>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</si>
  <si>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</si>
  <si>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</si>
  <si>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</si>
  <si>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</si>
  <si>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</si>
  <si>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</si>
  <si>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</si>
  <si>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</si>
  <si>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</si>
  <si>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</si>
  <si>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</si>
  <si>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</si>
  <si>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</si>
  <si>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</si>
  <si>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</si>
  <si>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</si>
  <si>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</si>
  <si>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</si>
  <si>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</si>
  <si>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</si>
  <si>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</si>
  <si>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</si>
  <si>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</si>
  <si>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</si>
  <si>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</si>
  <si>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</si>
  <si>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</si>
  <si>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</si>
  <si>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</si>
  <si>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</si>
  <si>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</si>
  <si>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</si>
  <si>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</si>
  <si>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</si>
  <si>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</si>
  <si>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</si>
  <si>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</si>
  <si>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</si>
  <si>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</si>
  <si>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</si>
  <si>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</si>
  <si>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</si>
  <si>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</si>
  <si>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</si>
  <si>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</si>
  <si>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</si>
  <si>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</si>
  <si>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</si>
  <si>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</si>
  <si>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</si>
  <si>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</si>
  <si>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</si>
  <si>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</si>
  <si>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</si>
  <si>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</si>
  <si>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</si>
  <si>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</si>
  <si>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</si>
  <si>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</si>
  <si>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</si>
  <si>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</si>
  <si>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</si>
  <si>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</si>
  <si>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</si>
  <si>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</si>
  <si>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</si>
  <si>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</si>
  <si>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</si>
  <si>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</si>
  <si>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</si>
  <si>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</si>
  <si>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</si>
  <si>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</si>
  <si>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</si>
  <si>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</si>
  <si>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</si>
  <si>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</si>
  <si>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</si>
  <si>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</si>
  <si>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</si>
  <si>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</si>
  <si>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</si>
  <si>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</si>
  <si>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</si>
  <si>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</si>
  <si>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</si>
  <si>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</si>
  <si>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</si>
  <si>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</si>
  <si>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</si>
  <si>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</si>
  <si>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</si>
  <si>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</si>
  <si>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</si>
  <si>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</si>
  <si>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</si>
  <si>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</si>
  <si>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</si>
  <si>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</si>
  <si>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</si>
  <si>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</si>
  <si>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</si>
  <si>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</si>
  <si>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</si>
  <si>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</si>
  <si>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</si>
  <si>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</si>
  <si>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</si>
  <si>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</si>
  <si>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</si>
  <si>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</si>
  <si>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</si>
  <si>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</si>
  <si>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</si>
  <si>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</si>
  <si>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</si>
  <si>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</si>
  <si>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</si>
  <si>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</si>
  <si>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</si>
  <si>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</si>
  <si>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</si>
  <si>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</si>
  <si>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</si>
  <si>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</si>
  <si>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</si>
  <si>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</si>
  <si>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</si>
  <si>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</si>
  <si>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</si>
  <si>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</si>
  <si>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</si>
  <si>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</si>
  <si>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</si>
  <si>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</si>
  <si>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</si>
  <si>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</si>
  <si>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</si>
  <si>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</si>
  <si>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</si>
  <si>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</si>
  <si>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</si>
  <si>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</si>
  <si>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</si>
  <si>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</si>
  <si>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</si>
  <si>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</si>
  <si>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</si>
  <si>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</si>
  <si>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</si>
  <si>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</si>
  <si>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</si>
  <si>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</si>
  <si>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</si>
  <si>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</si>
  <si>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</si>
  <si>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</si>
  <si>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</si>
  <si>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</si>
  <si>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</si>
  <si>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</si>
  <si>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</si>
  <si>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</si>
  <si>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</si>
  <si>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</si>
  <si>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</si>
  <si>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</si>
  <si>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</si>
  <si>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</si>
  <si>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</si>
  <si>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</si>
  <si>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</si>
  <si>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</si>
  <si>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</si>
  <si>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</si>
  <si>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</si>
  <si>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</si>
  <si>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</si>
  <si>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</si>
  <si>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</si>
  <si>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</si>
  <si>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</si>
  <si>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</si>
  <si>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</si>
  <si>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</si>
  <si>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</si>
  <si>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</si>
  <si>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</si>
  <si>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</si>
  <si>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</si>
  <si>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</si>
  <si>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</si>
  <si>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</si>
  <si>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</si>
  <si>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</si>
  <si>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</si>
  <si>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</si>
  <si>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</si>
  <si>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</si>
  <si>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</si>
  <si>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</si>
  <si>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</si>
  <si>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</si>
  <si>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</si>
  <si>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</si>
  <si>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</si>
  <si>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</si>
  <si>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</si>
  <si>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</si>
  <si>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</si>
  <si>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</si>
  <si>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</si>
  <si>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</si>
  <si>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</si>
  <si>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</si>
  <si>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</si>
  <si>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</si>
  <si>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</si>
  <si>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</si>
  <si>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</si>
  <si>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</si>
  <si>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</si>
  <si>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</si>
  <si>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</si>
  <si>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</si>
  <si>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</si>
  <si>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</si>
  <si>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</si>
  <si>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</si>
  <si>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</si>
  <si>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</si>
  <si>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</si>
  <si>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</si>
  <si>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</si>
  <si>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</si>
  <si>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</si>
  <si>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</si>
  <si>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</si>
  <si>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</si>
  <si>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</si>
  <si>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</si>
  <si>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</si>
  <si>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</si>
  <si>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</si>
  <si>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</si>
  <si>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</si>
  <si>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</si>
  <si>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</si>
  <si>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</si>
  <si>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</si>
  <si>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</si>
  <si>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</si>
  <si>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</si>
  <si>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</si>
  <si>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</si>
  <si>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</si>
  <si>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</si>
  <si>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</si>
  <si>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</si>
  <si>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</si>
  <si>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</si>
  <si>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</si>
  <si>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</si>
  <si>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</si>
  <si>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</si>
  <si>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</si>
  <si>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</si>
  <si>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</si>
  <si>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</si>
  <si>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</si>
  <si>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</si>
  <si>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</si>
  <si>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</si>
  <si>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</si>
  <si>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</si>
  <si>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</si>
  <si>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</si>
  <si>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</si>
  <si>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</si>
  <si>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</si>
  <si>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</si>
  <si>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</si>
  <si>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</si>
  <si>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</si>
  <si>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</si>
  <si>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</si>
  <si>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</si>
  <si>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</si>
  <si>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</si>
  <si>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</si>
  <si>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</si>
  <si>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</si>
  <si>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</si>
  <si>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</si>
  <si>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</si>
  <si>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</si>
  <si>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</si>
  <si>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</si>
  <si>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</si>
  <si>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</si>
  <si>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</si>
  <si>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</si>
  <si>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</si>
  <si>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</si>
  <si>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</si>
  <si>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</si>
  <si>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</si>
  <si>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</si>
  <si>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</si>
  <si>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</si>
  <si>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</si>
  <si>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</si>
  <si>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</si>
  <si>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</si>
  <si>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</si>
  <si>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</si>
  <si>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</si>
  <si>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</si>
  <si>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</si>
  <si>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</si>
  <si>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</si>
  <si>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</si>
  <si>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</si>
  <si>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</si>
  <si>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</si>
  <si>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</si>
  <si>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</si>
  <si>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</si>
  <si>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</si>
  <si>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</si>
  <si>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</si>
  <si>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</si>
  <si>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</si>
  <si>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</si>
  <si>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</si>
  <si>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</si>
  <si>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</si>
  <si>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</si>
  <si>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</si>
  <si>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</si>
  <si>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</si>
  <si>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</si>
  <si>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</si>
  <si>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</si>
  <si>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</si>
  <si>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</si>
  <si>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</si>
  <si>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</si>
  <si>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</si>
  <si>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</si>
  <si>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</si>
  <si>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</si>
  <si>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</si>
  <si>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</si>
  <si>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</si>
  <si>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</si>
  <si>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</si>
  <si>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</si>
  <si>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</si>
  <si>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</si>
  <si>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</si>
  <si>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</si>
  <si>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</si>
  <si>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</si>
  <si>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</si>
  <si>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</si>
  <si>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</si>
  <si>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</si>
  <si>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</si>
  <si>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</si>
  <si>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</si>
  <si>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</si>
  <si>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</si>
  <si>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</si>
  <si>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</si>
  <si>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</si>
  <si>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</si>
  <si>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</si>
  <si>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</si>
  <si>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</si>
  <si>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</si>
  <si>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</si>
  <si>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</si>
  <si>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</si>
  <si>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</si>
  <si>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</si>
  <si>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</si>
  <si>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</si>
  <si>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</si>
  <si>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</si>
  <si>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</si>
  <si>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</si>
  <si>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</si>
  <si>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</si>
  <si>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</si>
  <si>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</si>
  <si>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</si>
  <si>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</si>
  <si>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</si>
  <si>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</si>
  <si>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</si>
  <si>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</si>
  <si>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</si>
  <si>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</si>
  <si>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</si>
  <si>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</si>
  <si>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</si>
  <si>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</si>
  <si>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</si>
  <si>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</si>
  <si>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</si>
  <si>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</si>
  <si>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</si>
  <si>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</si>
  <si>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</si>
  <si>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</si>
  <si>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</si>
  <si>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</si>
  <si>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</si>
  <si>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</si>
  <si>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</si>
  <si>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</si>
  <si>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</si>
  <si>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</si>
  <si>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</si>
  <si>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</si>
  <si>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</si>
  <si>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</si>
  <si>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</si>
  <si>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</si>
  <si>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</si>
  <si>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</si>
  <si>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</si>
  <si>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</si>
  <si>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</si>
  <si>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</si>
  <si>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</si>
  <si>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</si>
  <si>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</si>
  <si>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</si>
  <si>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</si>
  <si>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</si>
  <si>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</si>
  <si>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</si>
  <si>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</si>
  <si>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</si>
  <si>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</si>
  <si>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</si>
  <si>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</si>
  <si>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</si>
  <si>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</si>
  <si>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</si>
  <si>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</si>
  <si>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</si>
  <si>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</si>
  <si>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</si>
  <si>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</si>
  <si>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</si>
  <si>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</si>
  <si>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</si>
  <si>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</si>
  <si>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</si>
  <si>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</si>
  <si>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</si>
  <si>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</si>
  <si>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</si>
  <si>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</si>
  <si>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</si>
  <si>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</si>
  <si>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</si>
  <si>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</si>
  <si>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</si>
  <si>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</si>
  <si>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</si>
  <si>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</si>
  <si>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</si>
  <si>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</si>
  <si>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</si>
  <si>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</si>
  <si>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</si>
  <si>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</si>
  <si>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</si>
  <si>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</si>
  <si>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</si>
  <si>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</si>
  <si>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</si>
  <si>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</si>
  <si>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</si>
  <si>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</si>
  <si>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</si>
  <si>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</si>
  <si>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</si>
  <si>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</si>
  <si>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</si>
  <si>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</si>
  <si>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</si>
  <si>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</si>
  <si>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</si>
  <si>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</si>
  <si>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</si>
  <si>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</si>
  <si>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</si>
  <si>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</si>
  <si>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</si>
  <si>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</si>
  <si>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</si>
  <si>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</si>
  <si>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</si>
  <si>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</si>
  <si>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</si>
  <si>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</si>
  <si>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</si>
  <si>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</si>
  <si>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</si>
  <si>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</si>
  <si>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</si>
  <si>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</si>
  <si>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</si>
  <si>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</si>
  <si>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</si>
  <si>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</si>
  <si>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</si>
  <si>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</si>
  <si>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</si>
  <si>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</si>
  <si>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</si>
  <si>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</si>
  <si>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</si>
  <si>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</si>
  <si>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</si>
  <si>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</si>
  <si>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</si>
  <si>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</si>
  <si>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</si>
  <si>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</si>
  <si>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</si>
  <si>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</si>
  <si>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</si>
  <si>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</si>
  <si>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</si>
  <si>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</si>
  <si>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</si>
  <si>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</si>
  <si>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</si>
  <si>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</si>
  <si>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</si>
  <si>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</si>
  <si>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</si>
  <si>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</si>
  <si>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</si>
  <si>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</si>
  <si>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</si>
  <si>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</si>
  <si>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</si>
  <si>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</si>
  <si>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</si>
  <si>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</si>
  <si>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</si>
  <si>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</si>
  <si>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</si>
  <si>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</si>
  <si>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</si>
  <si>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</si>
  <si>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</si>
  <si>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</si>
  <si>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</si>
  <si>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</si>
  <si>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</si>
  <si>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</si>
  <si>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</si>
  <si>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</si>
  <si>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</si>
  <si>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</si>
  <si>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</si>
  <si>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</si>
  <si>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</si>
  <si>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</si>
  <si>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</si>
  <si>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</si>
  <si>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</si>
  <si>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</si>
  <si>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</si>
  <si>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</si>
  <si>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</si>
  <si>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</si>
  <si>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</si>
  <si>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</si>
  <si>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</si>
  <si>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</si>
  <si>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</si>
  <si>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</si>
  <si>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</si>
  <si>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</si>
  <si>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</si>
  <si>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</si>
  <si>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</si>
  <si>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</si>
  <si>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</si>
  <si>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</si>
  <si>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</si>
  <si>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</si>
  <si>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</si>
  <si>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</si>
  <si>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</si>
  <si>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</si>
  <si>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</si>
  <si>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</si>
  <si>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</si>
  <si>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</si>
  <si>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</si>
  <si>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</si>
  <si>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</si>
  <si>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</si>
  <si>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</si>
  <si>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</si>
  <si>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</si>
  <si>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</si>
  <si>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</si>
  <si>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</si>
  <si>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</si>
  <si>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</si>
  <si>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</si>
  <si>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</si>
  <si>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</si>
  <si>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</si>
  <si>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</si>
  <si>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</si>
  <si>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</si>
  <si>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</si>
  <si>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</si>
  <si>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</si>
  <si>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</si>
  <si>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</si>
  <si>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</si>
  <si>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</si>
  <si>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</si>
  <si>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</si>
  <si>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</si>
  <si>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</si>
  <si>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</si>
  <si>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</si>
  <si>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</si>
  <si>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</si>
  <si>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</si>
  <si>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</si>
  <si>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</si>
  <si>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</si>
  <si>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</si>
  <si>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</si>
  <si>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</si>
  <si>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</si>
  <si>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</si>
  <si>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</si>
  <si>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</si>
  <si>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</si>
  <si>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</si>
  <si>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</si>
  <si>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</si>
  <si>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</si>
  <si>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</si>
  <si>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</si>
  <si>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</si>
  <si>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</si>
  <si>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</si>
  <si>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</si>
  <si>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</si>
  <si>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</si>
  <si>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</si>
  <si>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</si>
  <si>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</si>
  <si>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</si>
  <si>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</si>
  <si>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</si>
  <si>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</si>
  <si>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</si>
  <si>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</si>
  <si>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</si>
  <si>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</si>
  <si>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</si>
  <si>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</si>
  <si>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</si>
  <si>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</si>
  <si>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</si>
  <si>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</si>
  <si>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</si>
  <si>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</si>
  <si>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</si>
  <si>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</si>
  <si>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</si>
  <si>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</si>
  <si>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</si>
  <si>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</si>
  <si>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</si>
  <si>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</si>
  <si>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</si>
  <si>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</si>
  <si>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</si>
  <si>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</si>
  <si>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</si>
  <si>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</si>
  <si>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</si>
  <si>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</si>
  <si>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</si>
  <si>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</si>
  <si>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</si>
  <si>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</si>
  <si>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</si>
  <si>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</si>
  <si>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</si>
  <si>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</si>
  <si>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</si>
  <si>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</si>
  <si>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</si>
  <si>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</si>
  <si>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</si>
  <si>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</si>
  <si>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</si>
  <si>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</si>
  <si>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</si>
  <si>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</si>
  <si>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</si>
  <si>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</si>
  <si>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</si>
  <si>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</si>
  <si>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</si>
  <si>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</si>
  <si>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</si>
  <si>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</si>
  <si>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</si>
  <si>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</si>
  <si>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</si>
  <si>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</si>
  <si>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</si>
  <si>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</si>
  <si>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</si>
  <si>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</si>
  <si>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</si>
  <si>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</si>
  <si>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</si>
  <si>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</si>
  <si>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</si>
  <si>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</si>
  <si>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</si>
  <si>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</si>
  <si>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</si>
  <si>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</si>
  <si>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</si>
  <si>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</si>
  <si>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</si>
  <si>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</si>
  <si>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</si>
  <si>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</si>
  <si>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</si>
  <si>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</si>
  <si>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</si>
  <si>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</si>
  <si>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</si>
  <si>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</si>
  <si>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</si>
  <si>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</si>
  <si>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</si>
  <si>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</si>
  <si>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</si>
  <si>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</si>
  <si>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</si>
  <si>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</si>
  <si>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</si>
  <si>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</si>
  <si>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</si>
  <si>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</si>
  <si>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</si>
  <si>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</si>
  <si>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</si>
  <si>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</si>
  <si>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</si>
  <si>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</si>
  <si>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</si>
  <si>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</si>
  <si>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</si>
  <si>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</si>
  <si>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</si>
  <si>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</si>
  <si>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</si>
  <si>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</si>
  <si>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</si>
  <si>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</si>
  <si>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</si>
  <si>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</si>
  <si>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</si>
  <si>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</si>
  <si>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</si>
  <si>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</si>
  <si>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</si>
  <si>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</si>
  <si>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</si>
  <si>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</si>
  <si>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</si>
  <si>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</si>
  <si>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</si>
  <si>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</si>
  <si>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</si>
  <si>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</si>
  <si>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</si>
  <si>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</si>
  <si>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</si>
  <si>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</si>
  <si>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</si>
  <si>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</si>
  <si>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</si>
  <si>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</si>
  <si>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</si>
  <si>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</si>
  <si>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</si>
  <si>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</si>
  <si>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</si>
  <si>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</si>
  <si>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</si>
  <si>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</si>
  <si>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</si>
  <si>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</si>
  <si>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</si>
  <si>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</si>
  <si>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</si>
  <si>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</si>
  <si>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</si>
  <si>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</si>
  <si>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</si>
  <si>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</si>
  <si>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</si>
  <si>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</si>
  <si>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</si>
  <si>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</si>
  <si>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</si>
  <si>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</si>
  <si>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</si>
  <si>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</si>
  <si>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</si>
  <si>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</si>
  <si>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</si>
  <si>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</si>
  <si>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</si>
  <si>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</si>
  <si>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</si>
  <si>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</si>
  <si>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</si>
  <si>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</si>
  <si>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</si>
  <si>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</si>
  <si>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</si>
  <si>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</si>
  <si>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</si>
  <si>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</si>
  <si>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</si>
  <si>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</si>
  <si>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</si>
  <si>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</si>
  <si>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</si>
  <si>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</si>
  <si>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</si>
  <si>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</si>
  <si>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</si>
  <si>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</si>
  <si>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</si>
  <si>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</si>
  <si>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</si>
  <si>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</si>
  <si>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</si>
  <si>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</si>
  <si>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</si>
  <si>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</si>
  <si>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</si>
  <si>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</si>
  <si>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</si>
  <si>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</si>
  <si>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</si>
  <si>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</si>
  <si>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</si>
  <si>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</si>
  <si>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</si>
  <si>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</si>
  <si>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</si>
  <si>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</si>
  <si>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</si>
  <si>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</si>
  <si>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</si>
  <si>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</si>
  <si>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</si>
  <si>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</si>
  <si>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</si>
  <si>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</si>
  <si>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</si>
  <si>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</si>
  <si>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</si>
  <si>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</si>
  <si>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</si>
  <si>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</si>
  <si>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</si>
  <si>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</si>
  <si>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</si>
  <si>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</si>
  <si>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</si>
  <si>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</si>
  <si>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</si>
  <si>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</si>
  <si>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</si>
  <si>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</si>
  <si>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</si>
  <si>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</si>
  <si>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</si>
  <si>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</si>
  <si>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</si>
  <si>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</si>
  <si>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</si>
  <si>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</si>
  <si>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</si>
  <si>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</si>
  <si>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</si>
  <si>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</si>
  <si>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</si>
  <si>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</si>
  <si>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</si>
  <si>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</si>
  <si>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</si>
  <si>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</si>
  <si>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</si>
  <si>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</si>
  <si>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</si>
  <si>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</si>
  <si>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</si>
  <si>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</si>
  <si>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</si>
  <si>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</si>
  <si>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</si>
  <si>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</si>
  <si>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</si>
  <si>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</si>
  <si>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</si>
  <si>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</si>
  <si>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</si>
  <si>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</si>
  <si>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</si>
  <si>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</si>
  <si>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</si>
  <si>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</si>
  <si>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</si>
  <si>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</si>
  <si>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</si>
  <si>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</si>
  <si>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</si>
  <si>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</si>
  <si>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</si>
  <si>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</si>
  <si>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</si>
  <si>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</si>
  <si>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</si>
  <si>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</si>
  <si>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</si>
  <si>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</si>
  <si>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</si>
  <si>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</si>
  <si>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</si>
  <si>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</si>
  <si>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</si>
  <si>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</si>
  <si>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</si>
  <si>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</si>
  <si>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</si>
  <si>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</si>
  <si>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</si>
  <si>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</si>
  <si>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</si>
  <si>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</si>
  <si>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</si>
  <si>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</si>
  <si>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</si>
  <si>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</si>
  <si>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</si>
  <si>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</si>
  <si>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</si>
  <si>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</si>
  <si>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</si>
  <si>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</si>
  <si>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</si>
  <si>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</si>
  <si>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</si>
  <si>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</si>
  <si>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</si>
  <si>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</si>
  <si>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</si>
  <si>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</si>
  <si>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</si>
  <si>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</si>
  <si>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</si>
  <si>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</si>
  <si>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</si>
  <si>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</si>
  <si>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</si>
  <si>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</si>
  <si>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</si>
  <si>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</si>
  <si>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</si>
  <si>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</si>
  <si>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</si>
  <si>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</si>
  <si>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</si>
  <si>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</si>
  <si>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</si>
  <si>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</si>
  <si>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</si>
  <si>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</si>
  <si>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</si>
  <si>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</si>
  <si>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</si>
  <si>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</si>
  <si>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</si>
  <si>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</si>
  <si>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</si>
  <si>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</si>
  <si>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</si>
  <si>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</si>
  <si>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</si>
  <si>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</si>
  <si>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</si>
  <si>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</si>
  <si>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</si>
  <si>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</si>
  <si>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</si>
  <si>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</si>
  <si>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</si>
  <si>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</si>
  <si>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</si>
  <si>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</si>
  <si>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</si>
  <si>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</si>
  <si>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</si>
  <si>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</si>
  <si>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</si>
  <si>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</si>
  <si>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</si>
  <si>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</si>
  <si>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</si>
  <si>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</si>
  <si>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</si>
  <si>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</si>
  <si>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</si>
  <si>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</si>
  <si>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</si>
  <si>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</si>
  <si>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</si>
  <si>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</si>
  <si>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</si>
  <si>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</si>
  <si>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</si>
  <si>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</si>
  <si>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</si>
  <si>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</si>
  <si>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</si>
  <si>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</si>
  <si>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</si>
  <si>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</si>
  <si>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</si>
  <si>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</si>
  <si>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</si>
  <si>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</si>
  <si>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</si>
  <si>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</si>
  <si>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</si>
  <si>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</si>
  <si>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</si>
  <si>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</si>
  <si>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</si>
  <si>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</si>
  <si>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</si>
  <si>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</si>
  <si>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</si>
  <si>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</si>
  <si>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</si>
  <si>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</si>
  <si>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</si>
  <si>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</si>
  <si>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</si>
  <si>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</si>
  <si>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</si>
  <si>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</si>
  <si>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</si>
  <si>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</si>
  <si>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</si>
  <si>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</si>
  <si>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</si>
  <si>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</si>
  <si>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</si>
  <si>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</si>
  <si>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</si>
  <si>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</si>
  <si>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</si>
  <si>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</si>
  <si>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</si>
  <si>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</si>
  <si>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</si>
  <si>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</si>
  <si>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</si>
  <si>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</si>
  <si>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</si>
  <si>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</si>
  <si>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</si>
  <si>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</si>
  <si>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</si>
  <si>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</si>
  <si>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</si>
  <si>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</si>
  <si>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</si>
  <si>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</si>
  <si>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</si>
  <si>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</si>
  <si>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</si>
  <si>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</si>
  <si>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</si>
  <si>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</si>
  <si>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</si>
  <si>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</si>
  <si>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</si>
  <si>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</si>
  <si>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</si>
  <si>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</si>
  <si>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</si>
  <si>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</si>
  <si>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</si>
  <si>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</si>
  <si>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</si>
  <si>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</si>
  <si>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</si>
  <si>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</si>
  <si>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</si>
  <si>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</si>
  <si>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</si>
  <si>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</si>
  <si>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</si>
  <si>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</si>
  <si>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</si>
  <si>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</si>
  <si>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</si>
  <si>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</si>
  <si>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</si>
  <si>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</si>
  <si>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</si>
  <si>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</si>
  <si>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</si>
  <si>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</si>
  <si>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</si>
  <si>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</si>
  <si>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</si>
  <si>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</si>
  <si>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</si>
  <si>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</si>
  <si>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</si>
  <si>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</si>
  <si>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</si>
  <si>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</si>
  <si>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</si>
  <si>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</si>
  <si>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</si>
  <si>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</si>
  <si>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</si>
  <si>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</si>
  <si>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</si>
  <si>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</si>
  <si>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</si>
  <si>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</si>
  <si>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</si>
  <si>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</si>
  <si>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</si>
  <si>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</si>
  <si>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</si>
  <si>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</si>
  <si>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</si>
  <si>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</si>
  <si>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</si>
  <si>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</si>
  <si>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</si>
  <si>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</si>
  <si>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</si>
  <si>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</si>
  <si>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</si>
  <si>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</si>
  <si>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</si>
  <si>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</si>
  <si>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</si>
  <si>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</si>
  <si>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</si>
  <si>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</si>
  <si>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</si>
  <si>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</si>
  <si>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</si>
  <si>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</si>
  <si>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</si>
  <si>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</si>
  <si>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</si>
  <si>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</si>
  <si>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</si>
  <si>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</si>
  <si>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</si>
  <si>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</si>
  <si>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</si>
  <si>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</si>
  <si>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</si>
  <si>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</si>
  <si>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</si>
  <si>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</si>
  <si>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</si>
  <si>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</si>
  <si>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</si>
  <si>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</si>
  <si>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</si>
  <si>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</si>
  <si>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</si>
  <si>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</si>
  <si>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</si>
  <si>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</si>
  <si>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</si>
  <si>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</si>
  <si>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</si>
  <si>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</si>
  <si>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</si>
  <si>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</si>
  <si>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</si>
  <si>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</si>
  <si>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</si>
  <si>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</si>
  <si>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</si>
  <si>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</si>
  <si>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</si>
  <si>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</si>
  <si>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</si>
  <si>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</si>
  <si>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</si>
  <si>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</si>
  <si>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</si>
  <si>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</si>
  <si>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</si>
  <si>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</si>
  <si>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</si>
  <si>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</si>
  <si>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</si>
  <si>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</si>
  <si>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</si>
  <si>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</si>
  <si>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</si>
  <si>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</si>
  <si>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</si>
  <si>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</si>
  <si>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</si>
  <si>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</si>
  <si>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</si>
  <si>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</si>
  <si>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</si>
  <si>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</si>
  <si>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</si>
  <si>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</si>
  <si>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</si>
  <si>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</si>
  <si>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</si>
  <si>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</si>
  <si>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</si>
  <si>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</si>
  <si>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</si>
  <si>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</si>
  <si>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</si>
  <si>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</si>
  <si>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</si>
  <si>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</si>
  <si>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</si>
  <si>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</si>
  <si>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</si>
  <si>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</si>
  <si>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</si>
  <si>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</si>
  <si>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</si>
  <si>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</si>
  <si>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</si>
  <si>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</si>
  <si>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</si>
  <si>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</si>
  <si>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</si>
  <si>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</si>
  <si>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</si>
  <si>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</si>
  <si>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</si>
  <si>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</si>
  <si>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</si>
  <si>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</si>
  <si>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</si>
  <si>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</si>
  <si>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</si>
  <si>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</si>
  <si>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</si>
  <si>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</si>
  <si>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</si>
  <si>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</si>
  <si>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</si>
  <si>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</si>
  <si>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</si>
  <si>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</si>
  <si>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</si>
  <si>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</si>
  <si>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</si>
  <si>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</si>
  <si>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</si>
  <si>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</si>
  <si>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</si>
  <si>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</si>
  <si>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</si>
  <si>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</si>
  <si>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</si>
  <si>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</si>
  <si>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</si>
  <si>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</si>
  <si>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</si>
  <si>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</si>
  <si>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</si>
  <si>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</si>
  <si>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</si>
  <si>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</si>
  <si>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</si>
  <si>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</si>
  <si>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</si>
  <si>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</si>
  <si>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</si>
  <si>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</si>
  <si>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</si>
  <si>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</si>
  <si>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</si>
  <si>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</si>
  <si>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</si>
  <si>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</si>
  <si>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</si>
  <si>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</si>
  <si>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</si>
  <si>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</si>
  <si>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</si>
  <si>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</si>
  <si>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</si>
  <si>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</si>
  <si>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</si>
  <si>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</si>
  <si>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</si>
  <si>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</si>
  <si>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</si>
  <si>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</si>
  <si>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</si>
  <si>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</si>
  <si>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</si>
  <si>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</si>
  <si>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</si>
  <si>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</si>
  <si>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</si>
  <si>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</si>
  <si>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</si>
  <si>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</si>
  <si>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</si>
  <si>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</si>
  <si>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</si>
  <si>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</si>
  <si>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</si>
  <si>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</si>
  <si>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</si>
  <si>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</si>
  <si>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</si>
  <si>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</si>
  <si>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</si>
  <si>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</si>
  <si>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</si>
  <si>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</si>
  <si>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</si>
  <si>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</si>
  <si>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</si>
  <si>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</si>
  <si>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</si>
  <si>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</si>
  <si>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</si>
  <si>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</si>
  <si>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</si>
  <si>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</si>
  <si>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</si>
  <si>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</si>
  <si>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</si>
  <si>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</si>
  <si>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</si>
  <si>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</si>
  <si>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</si>
  <si>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</si>
  <si>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</si>
  <si>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</si>
  <si>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</si>
  <si>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</si>
  <si>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</si>
  <si>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</si>
  <si>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</si>
  <si>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</si>
  <si>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</si>
  <si>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</si>
  <si>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</si>
  <si>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</si>
  <si>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</si>
  <si>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</si>
  <si>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</si>
  <si>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</si>
  <si>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</si>
  <si>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</si>
  <si>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</si>
  <si>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</si>
  <si>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</si>
  <si>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</si>
  <si>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</si>
  <si>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</si>
  <si>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</si>
  <si>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</si>
  <si>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</si>
  <si>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</si>
  <si>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</si>
  <si>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</si>
  <si>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</si>
  <si>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</si>
  <si>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</si>
  <si>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</si>
  <si>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</si>
  <si>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</si>
  <si>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</si>
  <si>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</si>
  <si>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</si>
  <si>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</si>
  <si>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</si>
  <si>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</si>
  <si>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</si>
  <si>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</si>
  <si>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</si>
  <si>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</si>
  <si>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</si>
  <si>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</si>
  <si>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</si>
  <si>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</si>
  <si>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</si>
  <si>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</si>
  <si>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</si>
  <si>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</si>
  <si>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</si>
  <si>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</si>
  <si>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</si>
  <si>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</si>
  <si>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</si>
  <si>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</si>
  <si>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</si>
  <si>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</si>
  <si>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</si>
  <si>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</si>
  <si>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</si>
  <si>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</si>
  <si>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</si>
  <si>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</si>
  <si>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</si>
  <si>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</si>
  <si>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</si>
  <si>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</si>
  <si>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</si>
  <si>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</si>
  <si>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</si>
  <si>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</si>
  <si>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</si>
  <si>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</si>
  <si>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</si>
  <si>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</si>
  <si>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</si>
  <si>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</si>
  <si>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</si>
  <si>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</si>
  <si>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</si>
  <si>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</si>
  <si>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</si>
  <si>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</si>
  <si>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</si>
  <si>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</si>
  <si>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</si>
  <si>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</si>
  <si>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</si>
  <si>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</si>
  <si>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</si>
  <si>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</si>
  <si>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</si>
  <si>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</si>
  <si>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</si>
  <si>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</si>
  <si>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</si>
  <si>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</si>
  <si>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</si>
  <si>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</si>
  <si>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</si>
  <si>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</si>
  <si>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</si>
  <si>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</si>
  <si>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</si>
  <si>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</si>
  <si>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</si>
  <si>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</si>
  <si>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</si>
  <si>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</si>
  <si>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</si>
  <si>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</si>
  <si>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</si>
  <si>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</si>
  <si>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</si>
  <si>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</si>
  <si>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</si>
  <si>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</si>
  <si>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</si>
  <si>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</si>
  <si>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</si>
  <si>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</si>
  <si>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</si>
  <si>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</si>
  <si>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</si>
  <si>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</si>
  <si>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</si>
  <si>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</si>
  <si>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</si>
  <si>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</si>
  <si>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</si>
  <si>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</si>
  <si>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</si>
  <si>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</si>
  <si>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</si>
  <si>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</si>
  <si>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</si>
  <si>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</si>
  <si>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</si>
  <si>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</si>
  <si>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</si>
  <si>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</si>
  <si>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</si>
  <si>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</si>
  <si>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</si>
  <si>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</si>
  <si>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</si>
  <si>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</si>
  <si>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</si>
  <si>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</si>
  <si>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</si>
  <si>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</si>
  <si>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</si>
  <si>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</si>
  <si>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</si>
  <si>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</si>
  <si>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</si>
  <si>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</si>
  <si>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</si>
  <si>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</si>
  <si>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</si>
  <si>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</si>
  <si>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</si>
  <si>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</si>
  <si>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</si>
  <si>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</si>
  <si>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</si>
  <si>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</si>
  <si>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</si>
  <si>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</si>
  <si>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</si>
  <si>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</si>
  <si>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</si>
  <si>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</si>
  <si>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</si>
  <si>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</si>
  <si>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</si>
  <si>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</si>
  <si>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</si>
  <si>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</si>
  <si>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</si>
  <si>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</si>
  <si>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</si>
  <si>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</si>
  <si>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</si>
  <si>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</si>
  <si>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</si>
  <si>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</si>
  <si>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</si>
  <si>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</si>
  <si>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</si>
  <si>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</si>
  <si>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</si>
  <si>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</si>
  <si>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</si>
  <si>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</si>
  <si>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</si>
  <si>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</si>
  <si>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</si>
  <si>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</si>
  <si>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</si>
  <si>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</si>
  <si>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</si>
  <si>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</si>
  <si>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</si>
  <si>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</si>
  <si>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</si>
  <si>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</si>
  <si>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</si>
  <si>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</si>
  <si>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</si>
  <si>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</si>
  <si>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</si>
  <si>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</si>
  <si>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</si>
  <si>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</si>
  <si>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</si>
  <si>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</si>
  <si>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</si>
  <si>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</si>
  <si>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</si>
  <si>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</si>
  <si>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</si>
  <si>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</si>
  <si>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</si>
  <si>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</si>
  <si>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</si>
  <si>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</si>
  <si>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</si>
  <si>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</si>
  <si>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</si>
  <si>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</si>
  <si>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</si>
  <si>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</si>
  <si>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</si>
  <si>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</si>
  <si>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</si>
  <si>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</si>
  <si>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</si>
  <si>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</si>
  <si>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</si>
  <si>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</si>
  <si>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</si>
  <si>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</si>
  <si>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</si>
  <si>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</si>
  <si>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</si>
  <si>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</si>
  <si>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</si>
  <si>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</si>
  <si>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</si>
  <si>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</si>
  <si>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</si>
  <si>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</si>
  <si>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</si>
  <si>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</si>
  <si>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</si>
  <si>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</si>
  <si>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</si>
  <si>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</si>
  <si>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</si>
  <si>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</si>
  <si>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</si>
  <si>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</si>
  <si>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</si>
  <si>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</si>
  <si>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</si>
  <si>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</si>
  <si>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</si>
  <si>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</si>
  <si>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</si>
  <si>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</si>
  <si>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</si>
  <si>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</si>
  <si>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</si>
  <si>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</si>
  <si>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</si>
  <si>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</si>
  <si>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</si>
  <si>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</si>
  <si>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</si>
  <si>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</si>
  <si>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</si>
  <si>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</si>
  <si>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</si>
  <si>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</si>
  <si>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</si>
  <si>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</si>
  <si>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</si>
  <si>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</si>
  <si>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</si>
  <si>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</si>
  <si>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</si>
  <si>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</si>
  <si>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</si>
  <si>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</si>
  <si>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</si>
  <si>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</si>
  <si>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</si>
  <si>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</si>
  <si>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</si>
  <si>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</si>
  <si>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</si>
  <si>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</si>
  <si>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</si>
  <si>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</si>
  <si>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</si>
  <si>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</si>
  <si>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</si>
  <si>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</si>
  <si>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</si>
  <si>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</si>
  <si>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</si>
  <si>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</si>
  <si>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</si>
  <si>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</si>
  <si>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</si>
  <si>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</si>
  <si>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</si>
  <si>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</si>
  <si>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</si>
  <si>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</si>
  <si>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</si>
  <si>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</si>
  <si>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</si>
  <si>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</si>
  <si>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</si>
  <si>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</si>
  <si>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</si>
  <si>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</si>
  <si>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</si>
  <si>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</si>
  <si>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</si>
  <si>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</si>
  <si>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</si>
  <si>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</si>
  <si>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</si>
  <si>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</si>
  <si>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</si>
  <si>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</si>
  <si>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</si>
  <si>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</si>
  <si>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</si>
  <si>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</si>
  <si>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</si>
  <si>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</si>
  <si>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</si>
  <si>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</si>
  <si>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</si>
  <si>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</si>
  <si>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</si>
  <si>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</si>
  <si>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</si>
  <si>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</si>
  <si>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</si>
  <si>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</si>
  <si>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</si>
  <si>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</si>
  <si>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</si>
  <si>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</si>
  <si>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</si>
  <si>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</si>
  <si>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</si>
  <si>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</si>
  <si>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</si>
  <si>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</si>
  <si>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</si>
  <si>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</si>
  <si>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</si>
  <si>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</si>
  <si>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</si>
  <si>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</si>
  <si>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</si>
  <si>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</si>
  <si>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</si>
  <si>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</si>
  <si>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</si>
  <si>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</si>
  <si>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</si>
  <si>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</si>
  <si>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</si>
  <si>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</si>
  <si>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</si>
  <si>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</si>
  <si>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</si>
  <si>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</si>
  <si>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</si>
  <si>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</si>
  <si>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</si>
  <si>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</si>
  <si>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</si>
  <si>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</si>
  <si>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</si>
  <si>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</si>
  <si>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</si>
  <si>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</si>
  <si>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</si>
  <si>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</si>
  <si>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</si>
  <si>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</si>
  <si>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</si>
  <si>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</si>
  <si>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</si>
  <si>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</si>
  <si>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</si>
  <si>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</si>
  <si>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</si>
  <si>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</si>
  <si>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</si>
  <si>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</si>
  <si>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</si>
  <si>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</si>
  <si>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</si>
  <si>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</si>
  <si>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</si>
  <si>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</si>
  <si>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</si>
  <si>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</si>
  <si>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</si>
  <si>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</si>
  <si>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</si>
  <si>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</si>
  <si>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</si>
  <si>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</si>
  <si>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</si>
  <si>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</si>
  <si>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</si>
  <si>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</si>
  <si>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</si>
  <si>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</si>
  <si>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</si>
  <si>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</si>
  <si>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</si>
  <si>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</si>
  <si>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</si>
  <si>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</si>
  <si>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</si>
  <si>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</si>
  <si>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</si>
  <si>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</si>
  <si>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</si>
  <si>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</si>
  <si>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</si>
  <si>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</si>
  <si>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</si>
  <si>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</si>
  <si>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</si>
  <si>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</si>
  <si>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</si>
  <si>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</si>
  <si>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</si>
  <si>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</si>
  <si>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</si>
  <si>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</si>
  <si>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</si>
  <si>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</si>
  <si>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</si>
  <si>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</si>
  <si>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</si>
  <si>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</si>
  <si>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</si>
  <si>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</si>
  <si>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</si>
  <si>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</si>
  <si>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</si>
  <si>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</si>
  <si>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</si>
  <si>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</si>
  <si>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</si>
  <si>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</si>
  <si>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</si>
  <si>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</si>
  <si>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</si>
  <si>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</si>
  <si>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</si>
  <si>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</si>
  <si>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</si>
  <si>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</si>
  <si>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</si>
  <si>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</si>
  <si>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</si>
  <si>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</si>
  <si>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</si>
  <si>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</si>
  <si>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</si>
  <si>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</si>
  <si>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</si>
  <si>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</si>
  <si>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</si>
  <si>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</si>
  <si>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</si>
  <si>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</si>
  <si>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</si>
  <si>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</si>
  <si>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</si>
  <si>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</si>
  <si>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</si>
  <si>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</si>
  <si>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</si>
  <si>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</si>
  <si>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</si>
  <si>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</si>
  <si>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</si>
  <si>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</si>
  <si>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</si>
  <si>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</si>
  <si>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</si>
  <si>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</si>
  <si>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</si>
  <si>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</si>
  <si>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</si>
  <si>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</si>
  <si>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</si>
  <si>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</si>
  <si>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</si>
  <si>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</si>
  <si>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</si>
  <si>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</si>
  <si>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</si>
  <si>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</si>
  <si>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</si>
  <si>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</si>
  <si>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</si>
  <si>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</si>
  <si>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</si>
  <si>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</si>
  <si>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</si>
  <si>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</si>
  <si>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</si>
  <si>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</si>
  <si>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</si>
  <si>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</si>
  <si>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</si>
  <si>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</si>
  <si>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</si>
  <si>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</si>
  <si>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</si>
  <si>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</si>
  <si>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</si>
  <si>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</si>
  <si>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</si>
  <si>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</si>
  <si>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</si>
  <si>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</si>
  <si>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</si>
  <si>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</si>
  <si>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</si>
  <si>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</si>
  <si>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</si>
  <si>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</si>
  <si>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</si>
  <si>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</si>
  <si>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</si>
  <si>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</si>
  <si>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</si>
  <si>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</si>
  <si>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</si>
  <si>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</si>
  <si>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</si>
  <si>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</si>
  <si>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</si>
  <si>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</si>
  <si>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</si>
  <si>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</si>
  <si>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</si>
  <si>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</si>
  <si>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</si>
  <si>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</si>
  <si>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</si>
  <si>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</si>
  <si>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</si>
  <si>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</si>
  <si>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</si>
  <si>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</si>
  <si>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</si>
  <si>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</si>
  <si>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</si>
  <si>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</si>
  <si>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</si>
  <si>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</si>
  <si>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</si>
  <si>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</si>
  <si>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</si>
  <si>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</si>
  <si>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</si>
  <si>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</si>
  <si>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</si>
  <si>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</si>
  <si>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</si>
  <si>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</si>
  <si>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</si>
  <si>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</si>
  <si>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</si>
  <si>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</si>
  <si>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</si>
  <si>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</si>
  <si>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</si>
  <si>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</si>
  <si>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</si>
  <si>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</si>
  <si>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</si>
  <si>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</si>
  <si>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</si>
  <si>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</si>
  <si>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</si>
  <si>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</si>
  <si>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</si>
  <si>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</si>
  <si>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</si>
  <si>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</si>
  <si>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</si>
  <si>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</si>
  <si>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</si>
  <si>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</si>
  <si>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</si>
  <si>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</si>
  <si>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</si>
  <si>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</si>
  <si>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</si>
  <si>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</si>
  <si>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</si>
  <si>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</si>
  <si>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</si>
  <si>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</si>
  <si>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</si>
  <si>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</si>
  <si>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</si>
  <si>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</si>
  <si>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</si>
  <si>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</si>
  <si>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</si>
  <si>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</si>
  <si>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</si>
  <si>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</si>
  <si>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</si>
  <si>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</si>
  <si>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</si>
  <si>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</si>
  <si>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</si>
  <si>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</si>
  <si>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</si>
  <si>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</si>
  <si>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</si>
  <si>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</si>
  <si>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</si>
  <si>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</si>
  <si>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</si>
  <si>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</si>
  <si>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</si>
  <si>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</si>
  <si>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</si>
  <si>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</si>
  <si>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</si>
  <si>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</si>
  <si>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</si>
  <si>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</si>
  <si>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</si>
  <si>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</si>
  <si>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</si>
  <si>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</si>
  <si>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</si>
  <si>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</si>
  <si>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</si>
  <si>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</si>
  <si>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</si>
  <si>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</si>
  <si>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</si>
  <si>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</si>
  <si>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</si>
  <si>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</si>
  <si>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</si>
  <si>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</si>
  <si>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</si>
  <si>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</si>
  <si>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</si>
  <si>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</si>
  <si>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</si>
  <si>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</si>
  <si>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</si>
  <si>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</si>
  <si>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</si>
  <si>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</si>
  <si>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</si>
  <si>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</si>
  <si>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</si>
  <si>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</si>
  <si>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</si>
  <si>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</si>
  <si>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</si>
  <si>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</si>
  <si>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</si>
  <si>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</si>
  <si>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</si>
  <si>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</si>
  <si>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</si>
  <si>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</si>
  <si>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</si>
  <si>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</si>
  <si>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</si>
  <si>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</si>
  <si>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</si>
  <si>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</si>
  <si>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</si>
  <si>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</si>
  <si>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</si>
  <si>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</si>
  <si>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</si>
  <si>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</si>
  <si>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</si>
  <si>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</si>
  <si>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</si>
  <si>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</si>
  <si>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</si>
  <si>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</si>
  <si>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</si>
  <si>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</si>
  <si>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</si>
  <si>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</si>
  <si>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</si>
  <si>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</si>
  <si>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</si>
  <si>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</si>
  <si>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</si>
  <si>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</si>
  <si>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</si>
  <si>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</si>
  <si>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</si>
  <si>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</si>
  <si>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</si>
  <si>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</si>
  <si>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</si>
  <si>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</si>
  <si>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</si>
  <si>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</si>
  <si>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</si>
  <si>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</si>
  <si>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</si>
  <si>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</si>
  <si>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</si>
  <si>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</si>
  <si>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</si>
  <si>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</si>
  <si>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</si>
  <si>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</si>
  <si>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</si>
  <si>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</si>
  <si>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</si>
  <si>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</si>
  <si>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</si>
  <si>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</si>
  <si>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</si>
  <si>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</si>
  <si>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</si>
  <si>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</si>
  <si>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</si>
  <si>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</si>
  <si>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</si>
  <si>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</si>
  <si>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</si>
  <si>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</si>
  <si>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</si>
  <si>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</si>
  <si>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</si>
  <si>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</si>
  <si>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</si>
  <si>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</si>
  <si>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</si>
  <si>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</si>
  <si>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</si>
  <si>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</si>
  <si>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</si>
  <si>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</si>
  <si>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</si>
  <si>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</si>
  <si>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</si>
  <si>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</si>
  <si>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</si>
  <si>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</si>
  <si>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</si>
  <si>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</si>
  <si>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</si>
  <si>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</si>
  <si>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</si>
  <si>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</si>
  <si>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</si>
  <si>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</si>
  <si>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</si>
  <si>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</si>
  <si>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</si>
  <si>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</si>
  <si>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</si>
  <si>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</si>
  <si>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</si>
  <si>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</si>
  <si>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</si>
  <si>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</si>
  <si>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</si>
  <si>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</si>
  <si>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</si>
  <si>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</si>
  <si>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</si>
  <si>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</si>
  <si>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</si>
  <si>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</si>
  <si>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</si>
  <si>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</si>
  <si>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</si>
  <si>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</si>
  <si>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</si>
  <si>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</si>
  <si>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</si>
  <si>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</si>
  <si>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</si>
  <si>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</si>
  <si>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</si>
  <si>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</si>
  <si>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</si>
  <si>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</si>
  <si>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</si>
  <si>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</si>
  <si>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</si>
  <si>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</si>
  <si>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</si>
  <si>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</si>
  <si>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</si>
  <si>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</si>
  <si>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</si>
  <si>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</si>
  <si>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</si>
  <si>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</si>
  <si>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</si>
  <si>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</si>
  <si>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</si>
  <si>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</si>
  <si>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</si>
  <si>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</si>
  <si>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</si>
  <si>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</si>
  <si>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</si>
  <si>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</si>
  <si>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</si>
  <si>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</si>
  <si>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</si>
  <si>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</si>
  <si>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</si>
  <si>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</si>
  <si>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</si>
  <si>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</si>
  <si>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</si>
  <si>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</si>
  <si>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</si>
  <si>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</si>
  <si>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</si>
  <si>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</si>
  <si>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</si>
  <si>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</si>
  <si>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</si>
  <si>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</si>
  <si>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</si>
  <si>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</si>
  <si>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</si>
  <si>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</si>
  <si>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</si>
  <si>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</si>
  <si>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</si>
  <si>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</si>
  <si>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</si>
  <si>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</si>
  <si>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</si>
  <si>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</si>
  <si>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</si>
  <si>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</si>
  <si>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</si>
  <si>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</si>
  <si>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</si>
  <si>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</si>
  <si>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</si>
  <si>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</si>
  <si>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</si>
  <si>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</si>
  <si>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</si>
  <si>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</si>
  <si>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</si>
  <si>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</si>
  <si>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</si>
  <si>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</si>
  <si>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</si>
  <si>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</si>
  <si>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</si>
  <si>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</si>
  <si>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</si>
  <si>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</si>
  <si>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</si>
  <si>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</si>
  <si>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</si>
  <si>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</si>
  <si>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</si>
  <si>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</si>
  <si>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</si>
  <si>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</si>
  <si>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</si>
  <si>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</si>
  <si>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</si>
  <si>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</si>
  <si>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</si>
  <si>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</si>
  <si>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</si>
  <si>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</si>
  <si>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</si>
  <si>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</si>
  <si>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</si>
  <si>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</si>
  <si>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</si>
  <si>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</si>
  <si>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</si>
  <si>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</si>
  <si>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</si>
  <si>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</si>
  <si>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</si>
  <si>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</si>
  <si>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</si>
  <si>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</si>
  <si>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</si>
  <si>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</si>
  <si>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</si>
  <si>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</si>
  <si>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</si>
  <si>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</si>
  <si>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</si>
  <si>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</si>
  <si>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</si>
  <si>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</si>
  <si>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</si>
  <si>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</si>
  <si>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</si>
  <si>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</si>
  <si>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</si>
  <si>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</si>
  <si>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</si>
  <si>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</si>
  <si>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</si>
  <si>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</si>
  <si>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</si>
  <si>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</si>
  <si>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</si>
  <si>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</si>
  <si>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</si>
  <si>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</si>
  <si>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</si>
  <si>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</si>
  <si>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</si>
  <si>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</si>
  <si>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</si>
  <si>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</si>
  <si>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</si>
  <si>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</si>
  <si>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</si>
  <si>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</si>
  <si>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</si>
  <si>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</si>
  <si>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</si>
  <si>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</si>
  <si>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</si>
  <si>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</si>
  <si>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</si>
  <si>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</si>
  <si>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</si>
  <si>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</si>
  <si>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</si>
  <si>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</si>
  <si>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</si>
  <si>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</si>
  <si>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</si>
  <si>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</si>
  <si>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</si>
  <si>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</si>
  <si>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</si>
  <si>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</si>
  <si>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</si>
  <si>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</si>
  <si>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</si>
  <si>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</si>
  <si>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</si>
  <si>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</si>
  <si>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</si>
  <si>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</si>
  <si>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</si>
  <si>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</si>
  <si>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</si>
  <si>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</si>
  <si>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</si>
  <si>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</si>
  <si>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</si>
  <si>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</si>
  <si>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</si>
  <si>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</si>
  <si>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</si>
  <si>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</si>
  <si>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</si>
  <si>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</si>
  <si>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</si>
  <si>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</si>
  <si>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</si>
  <si>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</si>
  <si>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</si>
  <si>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</si>
  <si>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</si>
  <si>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</si>
  <si>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</si>
  <si>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</si>
  <si>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</si>
  <si>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</si>
  <si>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</si>
  <si>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</si>
  <si>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</si>
  <si>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</si>
  <si>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</si>
  <si>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</si>
  <si>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</si>
  <si>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</si>
  <si>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</si>
  <si>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</si>
  <si>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</si>
  <si>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</si>
  <si>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</si>
  <si>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</si>
  <si>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</si>
  <si>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</si>
  <si>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</si>
  <si>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</si>
  <si>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</si>
  <si>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</si>
  <si>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</si>
  <si>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</si>
  <si>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</si>
  <si>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</si>
  <si>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</si>
  <si>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</si>
  <si>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</si>
  <si>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</si>
  <si>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</si>
  <si>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</si>
  <si>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</si>
  <si>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</si>
  <si>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</si>
  <si>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</si>
  <si>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</si>
  <si>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</si>
  <si>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</si>
  <si>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</si>
  <si>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</si>
  <si>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</si>
  <si>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</si>
  <si>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</si>
  <si>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</si>
  <si>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</si>
  <si>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</si>
  <si>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</si>
  <si>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</si>
  <si>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</si>
  <si>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</si>
  <si>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</si>
  <si>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</si>
  <si>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</si>
  <si>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</si>
  <si>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</si>
  <si>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</si>
  <si>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</si>
  <si>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</si>
  <si>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</si>
  <si>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</si>
  <si>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</si>
  <si>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</si>
  <si>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</si>
  <si>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</si>
  <si>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</si>
  <si>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</si>
  <si>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</si>
  <si>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</si>
  <si>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</si>
  <si>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</si>
  <si>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</si>
  <si>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</si>
  <si>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</si>
  <si>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</si>
  <si>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</si>
  <si>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</si>
  <si>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</si>
  <si>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</si>
  <si>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</si>
  <si>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</si>
  <si>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</si>
  <si>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</si>
  <si>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</si>
  <si>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</si>
  <si>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</si>
  <si>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</si>
  <si>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</si>
  <si>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</si>
  <si>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</si>
  <si>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</si>
  <si>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</si>
  <si>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</si>
  <si>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</si>
  <si>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</si>
  <si>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</si>
  <si>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</si>
  <si>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</si>
  <si>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</si>
  <si>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</si>
  <si>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</si>
  <si>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</si>
  <si>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</si>
  <si>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</si>
  <si>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</si>
  <si>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</si>
  <si>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</si>
  <si>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</si>
  <si>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</si>
  <si>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</si>
  <si>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</si>
  <si>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</si>
  <si>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</si>
  <si>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</si>
  <si>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</si>
  <si>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</si>
  <si>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</si>
  <si>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</si>
  <si>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</si>
  <si>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</si>
  <si>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</si>
  <si>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</si>
  <si>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</si>
  <si>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</si>
  <si>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</si>
  <si>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</si>
  <si>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</si>
  <si>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</si>
  <si>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</si>
  <si>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</si>
  <si>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</si>
  <si>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</si>
  <si>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</si>
  <si>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</si>
  <si>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</si>
  <si>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</si>
  <si>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</si>
  <si>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</si>
  <si>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</si>
  <si>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</si>
  <si>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</si>
  <si>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</si>
  <si>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</si>
  <si>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</si>
  <si>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</si>
  <si>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</si>
  <si>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</si>
  <si>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</si>
  <si>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</si>
  <si>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</si>
  <si>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</si>
  <si>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</si>
  <si>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</si>
  <si>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</si>
  <si>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</si>
  <si>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</si>
  <si>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</si>
  <si>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</si>
  <si>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</si>
  <si>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</si>
  <si>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</si>
  <si>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</si>
  <si>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</si>
  <si>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</si>
  <si>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</si>
  <si>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</si>
  <si>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</si>
  <si>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</si>
  <si>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</si>
  <si>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</si>
  <si>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</si>
  <si>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</si>
  <si>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</si>
  <si>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</si>
  <si>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</si>
  <si>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</si>
  <si>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</si>
  <si>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</si>
  <si>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</si>
  <si>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</si>
  <si>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</si>
  <si>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</si>
  <si>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</si>
  <si>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</si>
  <si>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</si>
  <si>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</si>
  <si>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</si>
  <si>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</si>
  <si>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</si>
  <si>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</si>
  <si>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</si>
  <si>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</si>
  <si>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</si>
  <si>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</si>
  <si>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</si>
  <si>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</si>
  <si>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</si>
  <si>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</si>
  <si>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</si>
  <si>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</si>
  <si>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</si>
  <si>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</si>
  <si>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</si>
  <si>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</si>
  <si>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</si>
  <si>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</si>
  <si>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</si>
  <si>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</si>
  <si>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</si>
  <si>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</si>
  <si>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</si>
  <si>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</si>
  <si>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</si>
  <si>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</si>
  <si>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</si>
  <si>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</si>
  <si>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</si>
  <si>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</si>
  <si>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</si>
  <si>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</si>
  <si>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</si>
  <si>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</si>
  <si>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</si>
  <si>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</si>
  <si>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</si>
  <si>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</si>
  <si>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</si>
  <si>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</si>
  <si>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</si>
  <si>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</si>
  <si>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</si>
  <si>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</si>
  <si>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</si>
  <si>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</si>
  <si>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</si>
  <si>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</si>
  <si>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</si>
  <si>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</si>
  <si>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</si>
  <si>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</si>
  <si>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</si>
  <si>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</si>
  <si>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</si>
  <si>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</si>
  <si>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</si>
  <si>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</si>
  <si>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</si>
  <si>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</si>
  <si>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</si>
  <si>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</si>
  <si>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</si>
  <si>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</si>
  <si>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</si>
  <si>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</si>
  <si>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</si>
  <si>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</si>
  <si>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</si>
  <si>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</si>
  <si>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</si>
  <si>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</si>
  <si>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</si>
  <si>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</si>
  <si>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</si>
  <si>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</si>
  <si>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</si>
  <si>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</si>
  <si>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</si>
  <si>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</si>
  <si>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</si>
  <si>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</si>
  <si>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</si>
  <si>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</si>
  <si>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</si>
  <si>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</si>
  <si>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</si>
  <si>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</si>
  <si>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</si>
  <si>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</si>
  <si>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</si>
  <si>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</si>
  <si>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</si>
  <si>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</si>
  <si>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</si>
  <si>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</si>
  <si>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</si>
  <si>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</si>
  <si>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</si>
  <si>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</si>
  <si>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</si>
  <si>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</si>
  <si>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</si>
  <si>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</si>
  <si>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</si>
  <si>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</si>
  <si>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</si>
  <si>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</si>
  <si>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</si>
  <si>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</si>
  <si>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</si>
  <si>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</si>
  <si>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</si>
  <si>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</si>
  <si>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</si>
  <si>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</si>
  <si>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</si>
  <si>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</si>
  <si>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</si>
  <si>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</si>
  <si>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</si>
  <si>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</si>
  <si>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</si>
  <si>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</si>
  <si>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</si>
  <si>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</si>
  <si>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</si>
  <si>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</si>
  <si>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</si>
  <si>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</si>
  <si>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</si>
  <si>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</si>
  <si>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</si>
  <si>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</si>
  <si>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</si>
  <si>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</si>
  <si>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</si>
  <si>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</si>
  <si>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</si>
  <si>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</si>
  <si>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</si>
  <si>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</si>
  <si>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</si>
  <si>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</si>
  <si>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</si>
  <si>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</si>
  <si>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</si>
  <si>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</si>
  <si>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</si>
  <si>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</si>
  <si>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</si>
  <si>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</si>
  <si>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</si>
  <si>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</si>
  <si>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</si>
  <si>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</si>
  <si>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</si>
  <si>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</si>
  <si>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</si>
  <si>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</si>
  <si>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</si>
  <si>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</si>
  <si>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</si>
  <si>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</si>
  <si>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</si>
  <si>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</si>
  <si>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</si>
  <si>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</si>
  <si>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</si>
  <si>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</si>
  <si>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</si>
  <si>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</si>
  <si>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</si>
  <si>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</si>
  <si>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</si>
  <si>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</si>
  <si>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</si>
  <si>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</si>
  <si>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</si>
  <si>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</si>
  <si>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</si>
  <si>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</si>
  <si>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</si>
  <si>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</si>
  <si>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</si>
  <si>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</si>
  <si>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</si>
  <si>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</si>
  <si>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</si>
  <si>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</si>
  <si>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</si>
  <si>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</si>
  <si>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</si>
  <si>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</si>
  <si>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</si>
  <si>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</si>
  <si>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</si>
  <si>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</si>
  <si>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</si>
  <si>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</si>
  <si>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</si>
  <si>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</si>
  <si>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</si>
  <si>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</si>
  <si>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</si>
  <si>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</si>
  <si>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</si>
  <si>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</si>
  <si>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</si>
  <si>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</si>
  <si>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</si>
  <si>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</si>
  <si>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</si>
  <si>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</si>
  <si>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</si>
  <si>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</si>
  <si>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</si>
  <si>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</si>
  <si>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</si>
  <si>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</si>
  <si>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</si>
  <si>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</si>
  <si>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</si>
  <si>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</si>
  <si>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</si>
  <si>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</si>
  <si>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</si>
  <si>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</si>
  <si>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</si>
  <si>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</si>
  <si>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</si>
  <si>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</si>
  <si>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</si>
  <si>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</si>
  <si>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</si>
  <si>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</si>
  <si>
    <t>收益法-酒店模型</t>
  </si>
  <si>
    <t>按房产原值计税</t>
  </si>
  <si>
    <t>成本</t>
    <phoneticPr fontId="76" type="noConversion"/>
  </si>
  <si>
    <t>估值</t>
    <phoneticPr fontId="76" type="noConversion"/>
  </si>
  <si>
    <t>单价分配</t>
    <phoneticPr fontId="76" type="noConversion"/>
  </si>
  <si>
    <t>层系数</t>
    <phoneticPr fontId="76" type="noConversion"/>
  </si>
  <si>
    <t>地价/单</t>
    <phoneticPr fontId="76" type="noConversion"/>
  </si>
  <si>
    <r>
      <rPr>
        <sz val="10"/>
        <rFont val="宋体"/>
        <family val="3"/>
        <charset val="134"/>
      </rPr>
      <t>地价</t>
    </r>
    <r>
      <rPr>
        <sz val="10"/>
        <rFont val="Arial"/>
        <family val="2"/>
      </rPr>
      <t>/</t>
    </r>
    <r>
      <rPr>
        <sz val="10"/>
        <rFont val="宋体"/>
        <family val="3"/>
        <charset val="134"/>
      </rPr>
      <t>总</t>
    </r>
    <phoneticPr fontId="76" type="noConversion"/>
  </si>
  <si>
    <t>建筑物/单</t>
    <phoneticPr fontId="76" type="noConversion"/>
  </si>
  <si>
    <t>建筑物/总</t>
    <phoneticPr fontId="7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</si>
</sst>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53" fillId="7" borderId="1" xfId="0" applyFont="1" applyFill="1" applyBorder="1" applyAlignment="1" applyProtection="1">
      <alignment horizontal="left" vertical="center" wrapText="1"/>
      <protection locked="0"/>
    </xf>
    <xf numFmtId="0" fontId="53" fillId="6" borderId="1" xfId="8" applyFont="1" applyFill="1" applyBorder="1" applyAlignment="1" applyProtection="1">
      <alignment horizontal="left" vertical="center" wrapText="1"/>
      <protection locked="0"/>
    </xf>
    <xf numFmtId="1" fontId="53" fillId="6" borderId="1" xfId="8" applyNumberFormat="1" applyFont="1" applyFill="1" applyBorder="1" applyAlignment="1" applyProtection="1">
      <alignment horizontal="left" vertical="center" wrapText="1"/>
      <protection locked="0"/>
    </xf>
    <xf numFmtId="2" fontId="53" fillId="6" borderId="1" xfId="8" applyNumberFormat="1" applyFont="1" applyFill="1" applyBorder="1" applyAlignment="1" applyProtection="1">
      <alignment horizontal="left" vertical="center" wrapText="1"/>
      <protection locked="0"/>
    </xf>
    <xf numFmtId="0" fontId="19" fillId="7" borderId="1" xfId="0" applyFont="1" applyFill="1" applyBorder="1" applyAlignment="1" applyProtection="1">
      <alignment horizontal="left" vertical="center" wrapText="1"/>
      <protection locked="0"/>
    </xf>
    <xf numFmtId="0" fontId="94" fillId="0" borderId="1" xfId="0" applyFont="1" applyBorder="1" applyAlignment="1" applyProtection="1">
      <alignment horizontal="left" vertical="center" wrapText="1"/>
      <protection locked="0"/>
    </xf>
    <xf numFmtId="0" fontId="94" fillId="7" borderId="1"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xf numFmtId="10" fontId="54" fillId="22" borderId="32" xfId="4" applyNumberFormat="1" applyFont="1" applyFill="1" applyBorder="1" applyAlignment="1" applyProtection="1">
      <alignment horizontal="left"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112289</v>
      </c>
    </row>
    <row r="21" spans="1:2" s="1203" customFormat="1">
      <c r="A21" s="1201" t="s">
        <v>537</v>
      </c>
      <c r="B21" s="1202">
        <f ca="1">'预评函-2'!D7</f>
        <v>36632</v>
      </c>
    </row>
    <row r="22" spans="1:2" s="1203" customFormat="1">
      <c r="A22" s="1201" t="s">
        <v>538</v>
      </c>
      <c r="B22" s="1202" t="str">
        <f ca="1">'预评函-2'!D6</f>
        <v>壹拾壹亿贰仟贰佰捌拾玖万元整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112289</v>
      </c>
    </row>
    <row r="31" spans="1:2" s="1203" customFormat="1">
      <c r="A31" s="1201" t="s">
        <v>576</v>
      </c>
      <c r="B31" s="1202">
        <f ca="1">'预评函-2'!D15</f>
        <v>36632</v>
      </c>
    </row>
    <row r="32" spans="1:2" s="1203" customFormat="1">
      <c r="A32" s="1201" t="s">
        <v>543</v>
      </c>
      <c r="B32" s="1202" t="str">
        <f ca="1">'预评函-2'!D14</f>
        <v>壹拾壹亿贰仟贰佰捌拾玖万元整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86463</v>
      </c>
    </row>
    <row r="48" spans="1:2" s="1203" customFormat="1">
      <c r="A48" s="1201" t="s">
        <v>549</v>
      </c>
      <c r="B48" s="1202">
        <f ca="1">'预评函-3'!E4</f>
        <v>28207</v>
      </c>
    </row>
    <row r="49" spans="1:2" s="1203" customFormat="1">
      <c r="A49" s="1201" t="s">
        <v>550</v>
      </c>
      <c r="B49" s="1202" t="str">
        <f ca="1">'预评函-3'!D5</f>
        <v>捌亿陆仟肆佰陆拾叁万元整</v>
      </c>
    </row>
    <row r="50" spans="1:2" s="1203" customFormat="1">
      <c r="A50" s="1201" t="s">
        <v>574</v>
      </c>
      <c r="B50" s="1202" t="str">
        <f>'预评函-3'!F2</f>
        <v>在建建筑物价值</v>
      </c>
    </row>
    <row r="51" spans="1:2" s="1203" customFormat="1">
      <c r="A51" s="1201" t="s">
        <v>551</v>
      </c>
      <c r="B51" s="1202">
        <f ca="1">'预评函-3'!F4</f>
        <v>25826</v>
      </c>
    </row>
    <row r="52" spans="1:2" s="1203" customFormat="1">
      <c r="A52" s="1201" t="s">
        <v>552</v>
      </c>
      <c r="B52" s="1202">
        <f ca="1">'预评函-3'!G4</f>
        <v>8425</v>
      </c>
    </row>
    <row r="53" spans="1:2" s="1203" customFormat="1">
      <c r="A53" s="1201" t="s">
        <v>580</v>
      </c>
      <c r="B53" s="1202" t="str">
        <f ca="1">'预评函-3'!F5</f>
        <v>贰亿伍仟捌佰贰拾陆万元整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4" t="s">
        <v>385</v>
      </c>
      <c r="C54" s="1551" t="s">
        <v>583</v>
      </c>
    </row>
    <row r="55" spans="1:4">
      <c r="A55" s="3559"/>
      <c r="B55" s="1554" t="s">
        <v>386</v>
      </c>
      <c r="C55" s="1551" t="s">
        <v>584</v>
      </c>
    </row>
    <row r="56" spans="1:4">
      <c r="A56" s="3559"/>
      <c r="B56" s="1554" t="s">
        <v>387</v>
      </c>
      <c r="C56" s="1551" t="s">
        <v>588</v>
      </c>
    </row>
    <row r="57" spans="1:4">
      <c r="A57" s="355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60" t="s">
        <v>2584</v>
      </c>
      <c r="J2" s="3560"/>
      <c r="K2" s="3560"/>
      <c r="L2" s="3560"/>
      <c r="M2" s="3560"/>
      <c r="N2" s="3560"/>
      <c r="O2" s="3560"/>
      <c r="P2" s="3560"/>
      <c r="Q2" s="3560"/>
      <c r="R2" s="3560"/>
    </row>
    <row r="3" spans="1:18">
      <c r="A3" s="3019" t="s">
        <v>2505</v>
      </c>
      <c r="B3" s="3020">
        <f>项目基本情况!D3</f>
        <v>45128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3.41</v>
      </c>
      <c r="D5" s="3024">
        <f>IF(ISERROR(ROUND(POWER(1+E5,A5-C5)*(POWER(1+E5,C5)-1)/(POWER(1+E5,A5)-1),3)),0,ROUND(POWER(1+E5,A5-C5)*(POWER(1+E5,C5)-1)/(POWER(1+E5,A5)-1),4))</f>
        <v>0.15809999999999999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13.42</v>
      </c>
      <c r="D6" s="3024">
        <f>IF(ISERROR(ROUND(POWER(1+E6,A6-C6)*(POWER(1+E6,C6)-1)/(POWER(1+E6,A6)-1),3)),0,ROUND(POWER(1+E6,A6-C6)*(POWER(1+E6,C6)-1)/(POWER(1+E6,A6)-1),4))</f>
        <v>0.4763</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9" t="str">
        <f>IF(B10="北京市","北京市",C10)&amp;F10&amp;IF(结果表!G1="在建","出让国有建设用地使用权及在建建筑物",IF(结果表!G1="土地","出让国有建设用地使用权",))&amp;B9&amp;"预评估"</f>
        <v>北京市房地产抵押价值预评估</v>
      </c>
      <c r="C1" s="3570"/>
      <c r="D1" s="3570"/>
      <c r="E1" s="3570"/>
      <c r="F1" s="3570"/>
      <c r="G1" s="3570"/>
      <c r="H1" s="3570"/>
      <c r="I1" s="357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72"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73"/>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3338</v>
      </c>
      <c r="B13" s="2407" t="s">
        <v>2190</v>
      </c>
      <c r="C13" s="856"/>
      <c r="D13" s="856">
        <v>52439</v>
      </c>
      <c r="E13" s="856"/>
      <c r="F13" s="856">
        <v>56092</v>
      </c>
      <c r="G13" s="856"/>
      <c r="H13" s="856"/>
      <c r="I13" s="856"/>
      <c r="J13" s="3061"/>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79"/>
      <c r="C16" s="3580"/>
      <c r="D16" s="3581"/>
      <c r="E16" s="2413" t="s">
        <v>2194</v>
      </c>
      <c r="F16" s="3582"/>
      <c r="G16" s="3583"/>
      <c r="H16" s="3583"/>
      <c r="I16" s="3584"/>
      <c r="J16" s="2439"/>
      <c r="K16" s="2617"/>
      <c r="L16" s="2451"/>
      <c r="M16" s="2451"/>
      <c r="N16" s="2509"/>
      <c r="O16" s="2451"/>
      <c r="P16" s="2509"/>
      <c r="Q16" s="2439"/>
      <c r="R16" s="2439"/>
    </row>
    <row r="17" spans="1:28">
      <c r="A17" s="313" t="s">
        <v>2195</v>
      </c>
      <c r="B17" s="302" t="s">
        <v>2196</v>
      </c>
      <c r="C17" s="8">
        <f>'数据-汇总表'!E3</f>
        <v>30652.949999999997</v>
      </c>
      <c r="D17" s="2322" t="s">
        <v>2197</v>
      </c>
      <c r="E17" s="3585" t="s">
        <v>2198</v>
      </c>
      <c r="F17" s="3586"/>
      <c r="G17" s="3586"/>
      <c r="H17" s="3586"/>
      <c r="I17" s="358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3233.28</v>
      </c>
      <c r="D18" s="1092" t="s">
        <v>2201</v>
      </c>
      <c r="E18" s="3588" t="s">
        <v>2202</v>
      </c>
      <c r="F18" s="3589"/>
      <c r="G18" s="3589"/>
      <c r="H18" s="3589"/>
      <c r="I18" s="359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5" t="s">
        <v>2206</v>
      </c>
      <c r="C20" s="3576"/>
      <c r="D20" s="3577" t="s">
        <v>2207</v>
      </c>
      <c r="E20" s="3578"/>
      <c r="F20" s="2647" t="s">
        <v>1056</v>
      </c>
      <c r="G20" s="2664"/>
      <c r="H20" s="2664"/>
      <c r="I20" s="2664"/>
      <c r="J20" s="2439"/>
      <c r="K20" s="357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3"/>
      <c r="B30" s="302" t="s">
        <v>2218</v>
      </c>
      <c r="C30" s="3564"/>
      <c r="D30" s="3565"/>
      <c r="E30" s="2664"/>
      <c r="F30" s="2664"/>
      <c r="G30" s="2664"/>
      <c r="H30" s="2664"/>
      <c r="I30" s="2664"/>
      <c r="J30" s="2439"/>
      <c r="K30" s="2616"/>
      <c r="L30" s="2613"/>
      <c r="M30" s="2613"/>
      <c r="N30" s="2439"/>
      <c r="O30" s="2450"/>
      <c r="P30" s="2439"/>
      <c r="Q30" s="2439"/>
      <c r="R30" s="2439"/>
      <c r="S30" s="2439"/>
      <c r="T30" s="2439"/>
      <c r="U30" s="2439"/>
      <c r="V30" s="2439"/>
    </row>
    <row r="31" spans="1:28">
      <c r="A31" s="356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61" t="s">
        <v>2228</v>
      </c>
      <c r="T34" s="2428" t="str">
        <f>NUMBERSTRING(7-K34,1)&amp;"通"</f>
        <v>七通</v>
      </c>
      <c r="U34" s="2439"/>
      <c r="V34" s="2439"/>
    </row>
    <row r="35" spans="1:30">
      <c r="A35" s="2429"/>
      <c r="B35" s="3568" t="s">
        <v>2229</v>
      </c>
      <c r="C35" s="3568"/>
      <c r="D35" s="3568"/>
      <c r="E35" s="356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G13" activePane="bottomRight" state="frozen"/>
      <selection activeCell="C50" sqref="C50"/>
      <selection pane="topRight" activeCell="C50" sqref="C50"/>
      <selection pane="bottomLeft" activeCell="C50" sqref="C50"/>
      <selection pane="bottomRight" activeCell="O5" activeCellId="1" sqref="I5 O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topLeftCell="A19" workbookViewId="0">
      <selection activeCell="I31" sqref="I31"/>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91" t="s">
        <v>3416</v>
      </c>
      <c r="D3" s="3591"/>
      <c r="E3" s="3591"/>
      <c r="F3" s="3591"/>
      <c r="G3" s="3591"/>
      <c r="H3" s="3452"/>
    </row>
    <row r="4" spans="3:11" ht="14.25" thickBot="1">
      <c r="C4" s="3452"/>
      <c r="D4" s="3452"/>
      <c r="E4" s="3452"/>
      <c r="F4" s="3592"/>
      <c r="G4" s="3592"/>
      <c r="H4" s="3452"/>
    </row>
    <row r="5" spans="3:11" ht="24">
      <c r="C5" s="3593" t="s">
        <v>3417</v>
      </c>
      <c r="D5" s="3453" t="s">
        <v>3418</v>
      </c>
      <c r="E5" s="3453" t="s">
        <v>3419</v>
      </c>
      <c r="F5" s="3453" t="s">
        <v>3420</v>
      </c>
      <c r="G5" s="3454" t="s">
        <v>3421</v>
      </c>
      <c r="H5" s="3455" t="s">
        <v>3422</v>
      </c>
      <c r="K5" s="3487" t="s">
        <v>4046</v>
      </c>
    </row>
    <row r="6" spans="3:11">
      <c r="C6" s="3594"/>
      <c r="D6" s="3456" t="s">
        <v>3423</v>
      </c>
      <c r="E6" s="3456">
        <v>11931.87</v>
      </c>
      <c r="F6" s="3457">
        <v>4790.22</v>
      </c>
      <c r="G6" s="3458">
        <f>E6-F6</f>
        <v>7141.6500000000005</v>
      </c>
      <c r="H6" s="3459"/>
    </row>
    <row r="7" spans="3:11">
      <c r="C7" s="3594"/>
      <c r="D7" s="3456" t="s">
        <v>3424</v>
      </c>
      <c r="E7" s="3456">
        <v>7608.48</v>
      </c>
      <c r="F7" s="3457">
        <f>3319.41+60.23</f>
        <v>3379.64</v>
      </c>
      <c r="G7" s="3458">
        <f t="shared" ref="G7:G12" si="0">E7-F7</f>
        <v>4228.84</v>
      </c>
      <c r="H7" s="3459"/>
    </row>
    <row r="8" spans="3:11">
      <c r="C8" s="3594"/>
      <c r="D8" s="3456">
        <v>1</v>
      </c>
      <c r="E8" s="3456">
        <v>4642.6499999999996</v>
      </c>
      <c r="F8" s="3457">
        <v>3374.73</v>
      </c>
      <c r="G8" s="3458">
        <f t="shared" si="0"/>
        <v>1267.9199999999996</v>
      </c>
      <c r="H8" s="3459"/>
    </row>
    <row r="9" spans="3:11">
      <c r="C9" s="3594"/>
      <c r="D9" s="3456">
        <v>2</v>
      </c>
      <c r="E9" s="3456">
        <v>6462.51</v>
      </c>
      <c r="F9" s="3457">
        <v>1649.02</v>
      </c>
      <c r="G9" s="3458">
        <f t="shared" si="0"/>
        <v>4813.49</v>
      </c>
      <c r="H9" s="3459"/>
    </row>
    <row r="10" spans="3:11">
      <c r="C10" s="3594"/>
      <c r="D10" s="3456">
        <v>3</v>
      </c>
      <c r="E10" s="3456">
        <v>6154.06</v>
      </c>
      <c r="F10" s="3457">
        <v>1586.04</v>
      </c>
      <c r="G10" s="3458">
        <f t="shared" si="0"/>
        <v>4568.0200000000004</v>
      </c>
      <c r="H10" s="3459"/>
    </row>
    <row r="11" spans="3:11">
      <c r="C11" s="3594"/>
      <c r="D11" s="3456">
        <v>4</v>
      </c>
      <c r="E11" s="3456">
        <v>5716.36</v>
      </c>
      <c r="F11" s="3457">
        <v>472.52</v>
      </c>
      <c r="G11" s="3458">
        <f t="shared" si="0"/>
        <v>5243.84</v>
      </c>
      <c r="H11" s="3459"/>
    </row>
    <row r="12" spans="3:11">
      <c r="C12" s="3594"/>
      <c r="D12" s="3456" t="s">
        <v>3425</v>
      </c>
      <c r="E12" s="3456">
        <v>3389.19</v>
      </c>
      <c r="F12" s="3457">
        <v>0</v>
      </c>
      <c r="G12" s="3458">
        <f t="shared" si="0"/>
        <v>3389.19</v>
      </c>
      <c r="H12" s="3459"/>
    </row>
    <row r="13" spans="3:11" ht="14.25" thickBot="1">
      <c r="C13" s="3595"/>
      <c r="D13" s="3460" t="s">
        <v>3426</v>
      </c>
      <c r="E13" s="3460">
        <f>SUM(E6:E12)</f>
        <v>45905.120000000003</v>
      </c>
      <c r="F13" s="3460">
        <f>SUM(F6:F12)</f>
        <v>15252.170000000002</v>
      </c>
      <c r="G13" s="3461">
        <f>E13-F13</f>
        <v>30652.95</v>
      </c>
      <c r="H13" s="3462"/>
    </row>
    <row r="14" spans="3:11">
      <c r="C14" s="3450"/>
    </row>
    <row r="16" spans="3:11">
      <c r="D16" s="3449"/>
      <c r="E16" s="3449" t="s">
        <v>3428</v>
      </c>
      <c r="F16" s="3449" t="s">
        <v>3429</v>
      </c>
      <c r="G16" s="3449" t="s">
        <v>3430</v>
      </c>
    </row>
    <row r="17" spans="1:7">
      <c r="D17" s="3449" t="s">
        <v>3431</v>
      </c>
      <c r="E17" s="3449">
        <f>SUM(E8:E11)</f>
        <v>22975.58</v>
      </c>
      <c r="F17" s="3449">
        <v>23713.58</v>
      </c>
      <c r="G17" s="3449">
        <f>E17-F17</f>
        <v>-738</v>
      </c>
    </row>
    <row r="18" spans="1:7">
      <c r="D18" s="3449" t="s">
        <v>3427</v>
      </c>
      <c r="E18" s="3449">
        <f>E12</f>
        <v>3389.19</v>
      </c>
      <c r="F18" s="3449">
        <f>3077.65</f>
        <v>3077.65</v>
      </c>
      <c r="G18" s="3449">
        <f t="shared" ref="G18:G19" si="1">E18-F18</f>
        <v>311.53999999999996</v>
      </c>
    </row>
    <row r="19" spans="1:7">
      <c r="D19" s="3449" t="s">
        <v>3432</v>
      </c>
      <c r="E19" s="3449">
        <f>E6+E7</f>
        <v>19540.349999999999</v>
      </c>
      <c r="F19" s="3449">
        <v>19129.13</v>
      </c>
      <c r="G19" s="3449">
        <f t="shared" si="1"/>
        <v>411.21999999999753</v>
      </c>
    </row>
    <row r="23" spans="1:7">
      <c r="F23">
        <f>5530.65-89.96</f>
        <v>5440.69</v>
      </c>
    </row>
    <row r="24" spans="1:7">
      <c r="F24">
        <v>6314.52</v>
      </c>
    </row>
    <row r="25" spans="1:7">
      <c r="A25" s="3464"/>
      <c r="B25" s="3463">
        <v>139.69</v>
      </c>
      <c r="D25">
        <v>139.69</v>
      </c>
      <c r="F25">
        <v>5999.32</v>
      </c>
    </row>
    <row r="26" spans="1:7">
      <c r="A26" s="3464"/>
      <c r="B26" s="3463">
        <v>116.57</v>
      </c>
      <c r="D26">
        <v>116.57</v>
      </c>
      <c r="F26">
        <v>5959.05</v>
      </c>
    </row>
    <row r="27" spans="1:7">
      <c r="A27" s="3464"/>
      <c r="B27" s="3463">
        <v>170.88</v>
      </c>
      <c r="D27">
        <v>170.88</v>
      </c>
      <c r="F27">
        <f>SUM(F23:F26)</f>
        <v>23713.579999999998</v>
      </c>
    </row>
    <row r="28" spans="1:7">
      <c r="A28" s="3464"/>
      <c r="B28" s="3463">
        <v>128.13999999999999</v>
      </c>
      <c r="D28">
        <v>128.13999999999999</v>
      </c>
    </row>
    <row r="29" spans="1:7">
      <c r="A29" s="3464"/>
      <c r="B29" s="3463">
        <v>143.63999999999999</v>
      </c>
      <c r="D29">
        <v>143.63999999999999</v>
      </c>
    </row>
    <row r="30" spans="1:7">
      <c r="A30" s="3464"/>
      <c r="B30" s="3463">
        <v>159.03</v>
      </c>
      <c r="D30">
        <v>159.03</v>
      </c>
    </row>
    <row r="31" spans="1:7">
      <c r="A31" s="3464"/>
      <c r="B31" s="3463">
        <v>152.1</v>
      </c>
      <c r="D31">
        <v>152.1</v>
      </c>
    </row>
    <row r="32" spans="1:7">
      <c r="A32" s="3464"/>
      <c r="B32" s="3463">
        <v>132.38</v>
      </c>
      <c r="D32">
        <v>132.38</v>
      </c>
      <c r="G32">
        <f>117696.48-9900.19-3196.24</f>
        <v>104600.04999999999</v>
      </c>
    </row>
    <row r="33" spans="1:4">
      <c r="A33" s="3464"/>
      <c r="B33" s="3463">
        <v>166.55</v>
      </c>
      <c r="D33">
        <v>166.55</v>
      </c>
    </row>
    <row r="34" spans="1:4">
      <c r="A34" s="3464"/>
      <c r="B34" s="3463">
        <v>161.65</v>
      </c>
      <c r="D34">
        <v>161.65</v>
      </c>
    </row>
    <row r="35" spans="1:4">
      <c r="A35" s="3464"/>
      <c r="B35" s="3463">
        <v>132.28</v>
      </c>
      <c r="D35">
        <v>132.28</v>
      </c>
    </row>
    <row r="36" spans="1:4">
      <c r="A36" s="3464"/>
      <c r="B36" s="3463">
        <v>130.12</v>
      </c>
      <c r="D36">
        <v>130.12</v>
      </c>
    </row>
    <row r="37" spans="1:4">
      <c r="A37" s="3464"/>
      <c r="B37" s="3463">
        <v>148.46</v>
      </c>
      <c r="D37">
        <v>148.46</v>
      </c>
    </row>
    <row r="38" spans="1:4">
      <c r="A38" s="3464"/>
      <c r="B38" s="3463">
        <v>76.89</v>
      </c>
      <c r="D38">
        <v>76.89</v>
      </c>
    </row>
    <row r="39" spans="1:4">
      <c r="A39" s="3464"/>
      <c r="B39" s="3463">
        <v>122.96</v>
      </c>
      <c r="D39">
        <v>122.96</v>
      </c>
    </row>
    <row r="40" spans="1:4">
      <c r="A40" s="3464"/>
      <c r="B40" s="3463">
        <v>107.17</v>
      </c>
      <c r="D40">
        <v>107.17</v>
      </c>
    </row>
    <row r="41" spans="1:4">
      <c r="A41" s="3464"/>
      <c r="B41" s="3463">
        <v>86.64</v>
      </c>
      <c r="D41">
        <v>86.64</v>
      </c>
    </row>
    <row r="42" spans="1:4">
      <c r="A42" s="3464"/>
      <c r="B42" s="3463">
        <v>160.07</v>
      </c>
      <c r="D42">
        <v>160.07</v>
      </c>
    </row>
    <row r="43" spans="1:4">
      <c r="A43" s="3464"/>
      <c r="B43" s="3463">
        <v>159.93</v>
      </c>
      <c r="D43">
        <v>159.93</v>
      </c>
    </row>
    <row r="44" spans="1:4">
      <c r="A44" s="3464"/>
      <c r="B44" s="3463">
        <v>75.42</v>
      </c>
      <c r="D44">
        <v>75.42</v>
      </c>
    </row>
    <row r="45" spans="1:4">
      <c r="A45" s="3464"/>
      <c r="B45" s="3463">
        <v>147.41</v>
      </c>
      <c r="D45">
        <v>147.41</v>
      </c>
    </row>
    <row r="46" spans="1:4">
      <c r="A46" s="3464"/>
      <c r="B46" s="3463">
        <v>72.61</v>
      </c>
      <c r="D46">
        <v>72.61</v>
      </c>
    </row>
    <row r="47" spans="1:4">
      <c r="A47" s="3464"/>
      <c r="B47" s="3463">
        <v>153.85</v>
      </c>
      <c r="D47">
        <v>153.85</v>
      </c>
    </row>
    <row r="48" spans="1:4">
      <c r="A48" s="3464"/>
      <c r="B48" s="3463">
        <v>105.51</v>
      </c>
      <c r="D48">
        <v>105.51</v>
      </c>
    </row>
    <row r="49" spans="1:4">
      <c r="A49" s="3464"/>
      <c r="B49" s="3463">
        <v>86.71</v>
      </c>
      <c r="D49">
        <v>86.71</v>
      </c>
    </row>
    <row r="50" spans="1:4">
      <c r="A50" s="3464"/>
      <c r="B50" s="3463">
        <v>105.44</v>
      </c>
      <c r="D50">
        <v>105.44</v>
      </c>
    </row>
    <row r="51" spans="1:4">
      <c r="A51" s="3464"/>
      <c r="B51" s="3463">
        <v>86.71</v>
      </c>
      <c r="D51">
        <v>86.71</v>
      </c>
    </row>
    <row r="52" spans="1:4">
      <c r="A52" s="3464"/>
      <c r="B52" s="3463">
        <v>188.12</v>
      </c>
      <c r="D52">
        <v>188.12</v>
      </c>
    </row>
    <row r="53" spans="1:4">
      <c r="A53" s="3464"/>
      <c r="B53" s="3463">
        <v>190.42</v>
      </c>
      <c r="D53">
        <v>190.42</v>
      </c>
    </row>
    <row r="54" spans="1:4">
      <c r="A54" s="3464"/>
      <c r="B54" s="3463">
        <v>179.7</v>
      </c>
      <c r="D54">
        <v>179.7</v>
      </c>
    </row>
    <row r="55" spans="1:4">
      <c r="A55" s="3464"/>
      <c r="B55" s="3463">
        <v>191.98</v>
      </c>
      <c r="D55">
        <v>191.98</v>
      </c>
    </row>
    <row r="56" spans="1:4">
      <c r="A56" s="3464"/>
      <c r="B56" s="3463">
        <v>256.01</v>
      </c>
      <c r="D56">
        <v>256.01</v>
      </c>
    </row>
    <row r="57" spans="1:4">
      <c r="A57" s="3464"/>
      <c r="B57" s="3463">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3.5"/>
  <cols>
    <col min="1" max="1" width="9" style="3472"/>
    <col min="2" max="2" width="12.625" style="3472" customWidth="1"/>
    <col min="3" max="3" width="16" style="3472" customWidth="1"/>
    <col min="4" max="6" width="11.5" style="3472" customWidth="1"/>
    <col min="7" max="7" width="19.25" style="3482" customWidth="1"/>
    <col min="8" max="9" width="9" style="3472"/>
    <col min="10" max="10" width="15.125" style="3472" bestFit="1" customWidth="1"/>
    <col min="11" max="11" width="10.5" style="3472" bestFit="1" customWidth="1"/>
    <col min="12" max="16384" width="9" style="3472"/>
  </cols>
  <sheetData>
    <row r="1" spans="1:7" s="3466" customFormat="1" ht="12">
      <c r="B1" s="3465" t="s">
        <v>3433</v>
      </c>
      <c r="C1" s="3465" t="s">
        <v>3434</v>
      </c>
      <c r="D1" s="3465" t="s">
        <v>3435</v>
      </c>
      <c r="E1" s="3465" t="s">
        <v>3436</v>
      </c>
      <c r="F1" s="3465" t="s">
        <v>3437</v>
      </c>
      <c r="G1" s="3465" t="s">
        <v>3438</v>
      </c>
    </row>
    <row r="2" spans="1:7">
      <c r="B2" s="3467" t="s">
        <v>3439</v>
      </c>
      <c r="C2" s="3468"/>
      <c r="D2" s="3469">
        <v>1235</v>
      </c>
      <c r="E2" s="3470">
        <v>1213.42</v>
      </c>
      <c r="F2" s="3463">
        <v>21.58</v>
      </c>
      <c r="G2" s="3471"/>
    </row>
    <row r="3" spans="1:7" hidden="1">
      <c r="B3" s="3473" t="s">
        <v>3440</v>
      </c>
      <c r="C3" s="3457" t="s">
        <v>3441</v>
      </c>
      <c r="D3" s="3463">
        <v>120.41</v>
      </c>
      <c r="E3" s="3470">
        <v>62.42</v>
      </c>
      <c r="F3" s="3463">
        <v>57.99</v>
      </c>
      <c r="G3" s="3471"/>
    </row>
    <row r="4" spans="1:7">
      <c r="A4" s="3501"/>
      <c r="B4" s="3467" t="s">
        <v>3442</v>
      </c>
      <c r="C4" s="3457"/>
      <c r="D4" s="3463">
        <v>103.76</v>
      </c>
      <c r="E4" s="3470">
        <v>53.79</v>
      </c>
      <c r="F4" s="3463">
        <v>49.97</v>
      </c>
      <c r="G4" s="3471"/>
    </row>
    <row r="5" spans="1:7">
      <c r="A5" s="3501"/>
      <c r="B5" s="3467" t="s">
        <v>3443</v>
      </c>
      <c r="C5" s="3457"/>
      <c r="D5" s="3463">
        <v>131.41999999999999</v>
      </c>
      <c r="E5" s="3470">
        <v>68.13</v>
      </c>
      <c r="F5" s="3463">
        <v>63.29</v>
      </c>
      <c r="G5" s="3471"/>
    </row>
    <row r="6" spans="1:7">
      <c r="A6" s="3501"/>
      <c r="B6" s="3467" t="s">
        <v>3444</v>
      </c>
      <c r="C6" s="3457"/>
      <c r="D6" s="3463">
        <v>207.41</v>
      </c>
      <c r="E6" s="3470">
        <v>107.52</v>
      </c>
      <c r="F6" s="3463">
        <v>99.89</v>
      </c>
      <c r="G6" s="3471"/>
    </row>
    <row r="7" spans="1:7">
      <c r="A7" s="3501"/>
      <c r="B7" s="3467" t="s">
        <v>3445</v>
      </c>
      <c r="C7" s="3457"/>
      <c r="D7" s="3463">
        <v>233.04</v>
      </c>
      <c r="E7" s="3470">
        <v>120.81</v>
      </c>
      <c r="F7" s="3463">
        <v>112.23</v>
      </c>
      <c r="G7" s="3471"/>
    </row>
    <row r="8" spans="1:7">
      <c r="A8" s="3501"/>
      <c r="B8" s="3467" t="s">
        <v>3446</v>
      </c>
      <c r="C8" s="3457"/>
      <c r="D8" s="3463">
        <v>131.44</v>
      </c>
      <c r="E8" s="3470">
        <v>68.14</v>
      </c>
      <c r="F8" s="3463">
        <v>63.3</v>
      </c>
      <c r="G8" s="3471"/>
    </row>
    <row r="9" spans="1:7">
      <c r="A9" s="3501"/>
      <c r="B9" s="3467" t="s">
        <v>3447</v>
      </c>
      <c r="C9" s="3457"/>
      <c r="D9" s="3463">
        <v>141.63</v>
      </c>
      <c r="E9" s="3470">
        <v>73.42</v>
      </c>
      <c r="F9" s="3463">
        <v>68.209999999999994</v>
      </c>
      <c r="G9" s="3471"/>
    </row>
    <row r="10" spans="1:7" hidden="1">
      <c r="B10" s="3473" t="s">
        <v>3448</v>
      </c>
      <c r="C10" s="3457" t="s">
        <v>3441</v>
      </c>
      <c r="D10" s="3463">
        <v>43.69</v>
      </c>
      <c r="E10" s="3470">
        <v>22.65</v>
      </c>
      <c r="F10" s="3463">
        <v>21.04</v>
      </c>
      <c r="G10" s="3471"/>
    </row>
    <row r="11" spans="1:7" hidden="1">
      <c r="B11" s="3473" t="s">
        <v>3449</v>
      </c>
      <c r="C11" s="3457" t="s">
        <v>3441</v>
      </c>
      <c r="D11" s="3463">
        <v>63.25</v>
      </c>
      <c r="E11" s="3470">
        <v>32.79</v>
      </c>
      <c r="F11" s="3463">
        <v>30.46</v>
      </c>
      <c r="G11" s="3471"/>
    </row>
    <row r="12" spans="1:7" hidden="1">
      <c r="B12" s="3473" t="s">
        <v>3450</v>
      </c>
      <c r="C12" s="3457" t="s">
        <v>3441</v>
      </c>
      <c r="D12" s="3463">
        <v>99.46</v>
      </c>
      <c r="E12" s="3470">
        <v>51.56</v>
      </c>
      <c r="F12" s="3463">
        <v>47.9</v>
      </c>
      <c r="G12" s="3471"/>
    </row>
    <row r="13" spans="1:7" hidden="1">
      <c r="B13" s="3473" t="s">
        <v>3451</v>
      </c>
      <c r="C13" s="3457" t="s">
        <v>3441</v>
      </c>
      <c r="D13" s="3463">
        <v>60.47</v>
      </c>
      <c r="E13" s="3470">
        <v>31.35</v>
      </c>
      <c r="F13" s="3463">
        <v>29.12</v>
      </c>
      <c r="G13" s="3471"/>
    </row>
    <row r="14" spans="1:7" hidden="1">
      <c r="B14" s="3473" t="s">
        <v>3452</v>
      </c>
      <c r="C14" s="3457" t="s">
        <v>3441</v>
      </c>
      <c r="D14" s="3463">
        <v>65.08</v>
      </c>
      <c r="E14" s="3470">
        <v>33.74</v>
      </c>
      <c r="F14" s="3463">
        <v>31.34</v>
      </c>
      <c r="G14" s="3471"/>
    </row>
    <row r="15" spans="1:7" hidden="1">
      <c r="B15" s="3473" t="s">
        <v>3453</v>
      </c>
      <c r="C15" s="3457" t="s">
        <v>3441</v>
      </c>
      <c r="D15" s="3463">
        <v>74.5</v>
      </c>
      <c r="E15" s="3470">
        <v>38.619999999999997</v>
      </c>
      <c r="F15" s="3463">
        <v>35.880000000000003</v>
      </c>
      <c r="G15" s="3471"/>
    </row>
    <row r="16" spans="1:7" hidden="1">
      <c r="B16" s="3473" t="s">
        <v>3454</v>
      </c>
      <c r="C16" s="3457" t="s">
        <v>3441</v>
      </c>
      <c r="D16" s="3463">
        <v>70.89</v>
      </c>
      <c r="E16" s="3470">
        <v>36.75</v>
      </c>
      <c r="F16" s="3463">
        <v>34.14</v>
      </c>
      <c r="G16" s="3471"/>
    </row>
    <row r="17" spans="1:11" hidden="1">
      <c r="B17" s="3473" t="s">
        <v>3455</v>
      </c>
      <c r="C17" s="3457" t="s">
        <v>3441</v>
      </c>
      <c r="D17" s="3463">
        <v>99.46</v>
      </c>
      <c r="E17" s="3470">
        <v>51.56</v>
      </c>
      <c r="F17" s="3463">
        <v>47.9</v>
      </c>
      <c r="G17" s="3471"/>
    </row>
    <row r="18" spans="1:11" hidden="1">
      <c r="B18" s="3473" t="s">
        <v>3456</v>
      </c>
      <c r="C18" s="3457" t="s">
        <v>3441</v>
      </c>
      <c r="D18" s="3463">
        <v>106.75</v>
      </c>
      <c r="E18" s="3470">
        <v>55.34</v>
      </c>
      <c r="F18" s="3463">
        <v>51.41</v>
      </c>
      <c r="G18" s="3471"/>
    </row>
    <row r="19" spans="1:11" hidden="1">
      <c r="B19" s="3473" t="s">
        <v>3457</v>
      </c>
      <c r="C19" s="3457" t="s">
        <v>3441</v>
      </c>
      <c r="D19" s="3463">
        <v>47.11</v>
      </c>
      <c r="E19" s="3470">
        <v>24.42</v>
      </c>
      <c r="F19" s="3463">
        <v>22.69</v>
      </c>
      <c r="G19" s="3471"/>
    </row>
    <row r="20" spans="1:11" hidden="1">
      <c r="B20" s="3473" t="s">
        <v>3458</v>
      </c>
      <c r="C20" s="3457" t="s">
        <v>3441</v>
      </c>
      <c r="D20" s="3463">
        <v>46.72</v>
      </c>
      <c r="E20" s="3470">
        <v>24.22</v>
      </c>
      <c r="F20" s="3463">
        <v>22.5</v>
      </c>
      <c r="G20" s="3471"/>
    </row>
    <row r="21" spans="1:11">
      <c r="A21" s="3501"/>
      <c r="B21" s="3467" t="s">
        <v>3459</v>
      </c>
      <c r="C21" s="3457"/>
      <c r="D21" s="3463">
        <v>110.76</v>
      </c>
      <c r="E21" s="3470">
        <v>57.42</v>
      </c>
      <c r="F21" s="3463">
        <v>53.34</v>
      </c>
      <c r="G21" s="3471"/>
    </row>
    <row r="22" spans="1:11">
      <c r="A22" s="3501"/>
      <c r="B22" s="3467" t="s">
        <v>3460</v>
      </c>
      <c r="C22" s="3457"/>
      <c r="D22" s="3463">
        <v>110.09</v>
      </c>
      <c r="E22" s="3470">
        <v>57.07</v>
      </c>
      <c r="F22" s="3463">
        <v>53.02</v>
      </c>
      <c r="G22" s="3471"/>
      <c r="J22" s="3485" t="s">
        <v>4037</v>
      </c>
      <c r="K22" s="3486">
        <f>SUM(D200:D201,D203,D205:D206,D208,D212,D214)</f>
        <v>1267.92</v>
      </c>
    </row>
    <row r="23" spans="1:11">
      <c r="A23" s="3501"/>
      <c r="B23" s="3467" t="s">
        <v>3461</v>
      </c>
      <c r="C23" s="3457"/>
      <c r="D23" s="3463">
        <v>110.24</v>
      </c>
      <c r="E23" s="3470">
        <v>57.15</v>
      </c>
      <c r="F23" s="3463">
        <v>53.09</v>
      </c>
      <c r="G23" s="3471"/>
      <c r="J23" s="3485" t="s">
        <v>4038</v>
      </c>
      <c r="K23" s="3486">
        <f>SUM(D216:D222,D224:D225,D227,D234:D237,D240:D243,D245:D254,D257:D260,D265:D270,D275:D276,D284:D286,D289:D296)</f>
        <v>4813.49</v>
      </c>
    </row>
    <row r="24" spans="1:11">
      <c r="A24" s="3501"/>
      <c r="B24" s="3467" t="s">
        <v>3462</v>
      </c>
      <c r="C24" s="3457"/>
      <c r="D24" s="3463">
        <v>111.38</v>
      </c>
      <c r="E24" s="3470">
        <v>57.74</v>
      </c>
      <c r="F24" s="3463">
        <v>53.64</v>
      </c>
      <c r="G24" s="3471"/>
      <c r="J24" s="3485" t="s">
        <v>4039</v>
      </c>
      <c r="K24" s="3486">
        <f>SUM(D297:D305,D308,D314:D318,D322:D333,D338:D341,D345,D347:D353,D355,D365:D366,D370:D377)</f>
        <v>4568.0200000000004</v>
      </c>
    </row>
    <row r="25" spans="1:11">
      <c r="A25" s="3501"/>
      <c r="B25" s="3467" t="s">
        <v>3463</v>
      </c>
      <c r="C25" s="3457"/>
      <c r="D25" s="3463">
        <v>113.73</v>
      </c>
      <c r="E25" s="3470">
        <v>58.96</v>
      </c>
      <c r="F25" s="3463">
        <v>54.77</v>
      </c>
      <c r="G25" s="3471"/>
      <c r="J25" s="3485" t="s">
        <v>4040</v>
      </c>
      <c r="K25" s="3486">
        <f>SUM(D378:D384,D386:D390,D392:D400,D403,D405:D439,D444:D445,D447:D449,D451:D453,D456:D460,D462,D464:D478,D480,D483:D487,D489:D513,D515:D544,D546:D589)</f>
        <v>5243.8399999999983</v>
      </c>
    </row>
    <row r="26" spans="1:11">
      <c r="A26" s="3501"/>
      <c r="B26" s="3467" t="s">
        <v>3464</v>
      </c>
      <c r="C26" s="3457"/>
      <c r="D26" s="3463">
        <v>118.5</v>
      </c>
      <c r="E26" s="3470">
        <v>61.43</v>
      </c>
      <c r="F26" s="3463">
        <v>57.07</v>
      </c>
      <c r="G26" s="3471"/>
      <c r="J26" s="3485" t="s">
        <v>4041</v>
      </c>
      <c r="K26" s="3486">
        <f>SUM(D590:D594)</f>
        <v>3389.19</v>
      </c>
    </row>
    <row r="27" spans="1:11">
      <c r="B27" s="3467" t="s">
        <v>3465</v>
      </c>
      <c r="C27" s="3457"/>
      <c r="D27" s="3463">
        <v>119.87</v>
      </c>
      <c r="E27" s="3470">
        <v>62.14</v>
      </c>
      <c r="F27" s="3463">
        <v>57.73</v>
      </c>
      <c r="G27" s="3471"/>
      <c r="J27" s="3485" t="s">
        <v>4044</v>
      </c>
      <c r="K27" s="3486">
        <f>SUM(D120,D135:D143,D148:D149,D152,D154,D156,D158,D163:D164,D170:D179,D181)</f>
        <v>4228.84</v>
      </c>
    </row>
    <row r="28" spans="1:11">
      <c r="B28" s="3467" t="s">
        <v>3466</v>
      </c>
      <c r="C28" s="3457"/>
      <c r="D28" s="3463">
        <v>210.32</v>
      </c>
      <c r="E28" s="3470">
        <v>109.03</v>
      </c>
      <c r="F28" s="3463">
        <v>101.29</v>
      </c>
      <c r="G28" s="3471"/>
      <c r="J28" s="3485" t="s">
        <v>4045</v>
      </c>
      <c r="K28" s="3486">
        <f>SUM(D4:D9,D21:D32,D34,D37:D38,D43:D45,D48,D50:D51,D53,D63,D102,D103)</f>
        <v>7141.65</v>
      </c>
    </row>
    <row r="29" spans="1:11">
      <c r="B29" s="3467" t="s">
        <v>3467</v>
      </c>
      <c r="C29" s="3457"/>
      <c r="D29" s="3463">
        <v>201.91</v>
      </c>
      <c r="E29" s="3470">
        <v>104.67</v>
      </c>
      <c r="F29" s="3463">
        <v>97.24</v>
      </c>
      <c r="G29" s="3471"/>
      <c r="J29" s="3485" t="s">
        <v>4042</v>
      </c>
      <c r="K29" s="3486">
        <f>D2+D182</f>
        <v>1839.4299999999998</v>
      </c>
    </row>
    <row r="30" spans="1:11">
      <c r="B30" s="3467" t="s">
        <v>3468</v>
      </c>
      <c r="C30" s="3457"/>
      <c r="D30" s="3463">
        <v>151.43</v>
      </c>
      <c r="E30" s="3470">
        <v>78.5</v>
      </c>
      <c r="F30" s="3463">
        <v>72.930000000000007</v>
      </c>
      <c r="G30" s="3471"/>
      <c r="J30" s="3485" t="s">
        <v>4043</v>
      </c>
      <c r="K30" s="3486">
        <f>SUM(K22:K28)</f>
        <v>30652.949999999997</v>
      </c>
    </row>
    <row r="31" spans="1:11">
      <c r="B31" s="3467" t="s">
        <v>3469</v>
      </c>
      <c r="C31" s="3457"/>
      <c r="D31" s="3463">
        <v>145.43</v>
      </c>
      <c r="E31" s="3470">
        <v>75.39</v>
      </c>
      <c r="F31" s="3463">
        <v>70.040000000000006</v>
      </c>
      <c r="G31" s="3471"/>
    </row>
    <row r="32" spans="1:11">
      <c r="B32" s="3467" t="s">
        <v>3470</v>
      </c>
      <c r="C32" s="3457"/>
      <c r="D32" s="3463">
        <v>97.88</v>
      </c>
      <c r="E32" s="3470">
        <v>50.74</v>
      </c>
      <c r="F32" s="3463">
        <v>47.14</v>
      </c>
      <c r="G32" s="3471"/>
    </row>
    <row r="33" spans="2:7" hidden="1">
      <c r="B33" s="3473" t="s">
        <v>3471</v>
      </c>
      <c r="C33" s="3457" t="s">
        <v>3472</v>
      </c>
      <c r="D33" s="3463">
        <v>39.6</v>
      </c>
      <c r="E33" s="3470">
        <v>20.53</v>
      </c>
      <c r="F33" s="3463">
        <v>19.07</v>
      </c>
      <c r="G33" s="3471"/>
    </row>
    <row r="34" spans="2:7">
      <c r="B34" s="3467" t="s">
        <v>3473</v>
      </c>
      <c r="C34" s="3457"/>
      <c r="D34" s="3463">
        <v>93.4</v>
      </c>
      <c r="E34" s="3470">
        <v>48.42</v>
      </c>
      <c r="F34" s="3463">
        <v>44.98</v>
      </c>
      <c r="G34" s="3471"/>
    </row>
    <row r="35" spans="2:7" hidden="1">
      <c r="B35" s="3473" t="s">
        <v>3474</v>
      </c>
      <c r="C35" s="3457" t="s">
        <v>3441</v>
      </c>
      <c r="D35" s="3463">
        <v>75.599999999999994</v>
      </c>
      <c r="E35" s="3470">
        <v>39.19</v>
      </c>
      <c r="F35" s="3463">
        <v>36.409999999999997</v>
      </c>
      <c r="G35" s="3471"/>
    </row>
    <row r="36" spans="2:7" hidden="1">
      <c r="B36" s="3473" t="s">
        <v>3475</v>
      </c>
      <c r="C36" s="3457" t="s">
        <v>3441</v>
      </c>
      <c r="D36" s="3463">
        <v>83.56</v>
      </c>
      <c r="E36" s="3470">
        <v>43.32</v>
      </c>
      <c r="F36" s="3463">
        <v>40.24</v>
      </c>
      <c r="G36" s="3471"/>
    </row>
    <row r="37" spans="2:7">
      <c r="B37" s="3467" t="s">
        <v>3476</v>
      </c>
      <c r="C37" s="3457"/>
      <c r="D37" s="3463">
        <v>79.53</v>
      </c>
      <c r="E37" s="3470">
        <v>41.23</v>
      </c>
      <c r="F37" s="3463">
        <v>38.299999999999997</v>
      </c>
      <c r="G37" s="3471"/>
    </row>
    <row r="38" spans="2:7">
      <c r="B38" s="3467" t="s">
        <v>3477</v>
      </c>
      <c r="C38" s="3457"/>
      <c r="D38" s="3463">
        <v>326.7</v>
      </c>
      <c r="E38" s="3470">
        <v>169.36</v>
      </c>
      <c r="F38" s="3463">
        <v>157.34</v>
      </c>
      <c r="G38" s="3471"/>
    </row>
    <row r="39" spans="2:7" hidden="1">
      <c r="B39" s="3473" t="s">
        <v>3478</v>
      </c>
      <c r="C39" s="3457" t="s">
        <v>3441</v>
      </c>
      <c r="D39" s="3463">
        <v>32.31</v>
      </c>
      <c r="E39" s="3470">
        <v>16.75</v>
      </c>
      <c r="F39" s="3463">
        <v>15.56</v>
      </c>
      <c r="G39" s="3471"/>
    </row>
    <row r="40" spans="2:7" hidden="1">
      <c r="B40" s="3473" t="s">
        <v>3479</v>
      </c>
      <c r="C40" s="3457" t="s">
        <v>3441</v>
      </c>
      <c r="D40" s="3463">
        <v>90.8</v>
      </c>
      <c r="E40" s="3470">
        <v>47.07</v>
      </c>
      <c r="F40" s="3463">
        <v>43.73</v>
      </c>
      <c r="G40" s="3471"/>
    </row>
    <row r="41" spans="2:7" hidden="1">
      <c r="B41" s="3473" t="s">
        <v>3480</v>
      </c>
      <c r="C41" s="3457" t="s">
        <v>3441</v>
      </c>
      <c r="D41" s="3463">
        <v>67.92</v>
      </c>
      <c r="E41" s="3470">
        <v>35.21</v>
      </c>
      <c r="F41" s="3463">
        <v>32.71</v>
      </c>
      <c r="G41" s="3471"/>
    </row>
    <row r="42" spans="2:7" hidden="1">
      <c r="B42" s="3473" t="s">
        <v>3481</v>
      </c>
      <c r="C42" s="3457" t="s">
        <v>3441</v>
      </c>
      <c r="D42" s="3463">
        <v>30.32</v>
      </c>
      <c r="E42" s="3470">
        <v>15.72</v>
      </c>
      <c r="F42" s="3463">
        <v>14.6</v>
      </c>
      <c r="G42" s="3471"/>
    </row>
    <row r="43" spans="2:7">
      <c r="B43" s="3467" t="s">
        <v>3482</v>
      </c>
      <c r="C43" s="3457"/>
      <c r="D43" s="3463">
        <v>29.65</v>
      </c>
      <c r="E43" s="3470">
        <v>15.37</v>
      </c>
      <c r="F43" s="3463">
        <v>14.28</v>
      </c>
      <c r="G43" s="3471"/>
    </row>
    <row r="44" spans="2:7">
      <c r="B44" s="3467" t="s">
        <v>3483</v>
      </c>
      <c r="C44" s="3457"/>
      <c r="D44" s="3463">
        <v>38.31</v>
      </c>
      <c r="E44" s="3470">
        <v>19.86</v>
      </c>
      <c r="F44" s="3463">
        <v>18.45</v>
      </c>
      <c r="G44" s="3471"/>
    </row>
    <row r="45" spans="2:7">
      <c r="B45" s="3467" t="s">
        <v>3484</v>
      </c>
      <c r="C45" s="3457"/>
      <c r="D45" s="3463">
        <v>171.57</v>
      </c>
      <c r="E45" s="3470">
        <v>88.94</v>
      </c>
      <c r="F45" s="3463">
        <v>82.63</v>
      </c>
      <c r="G45" s="3471"/>
    </row>
    <row r="46" spans="2:7" hidden="1">
      <c r="B46" s="3473" t="s">
        <v>3485</v>
      </c>
      <c r="C46" s="3457" t="s">
        <v>3441</v>
      </c>
      <c r="D46" s="3463">
        <v>63.6</v>
      </c>
      <c r="E46" s="3470">
        <v>32.97</v>
      </c>
      <c r="F46" s="3463">
        <v>30.63</v>
      </c>
      <c r="G46" s="3471"/>
    </row>
    <row r="47" spans="2:7" hidden="1">
      <c r="B47" s="3473" t="s">
        <v>3486</v>
      </c>
      <c r="C47" s="3457" t="s">
        <v>3441</v>
      </c>
      <c r="D47" s="3463">
        <v>121.1</v>
      </c>
      <c r="E47" s="3470">
        <v>62.78</v>
      </c>
      <c r="F47" s="3463">
        <v>58.32</v>
      </c>
      <c r="G47" s="3471"/>
    </row>
    <row r="48" spans="2:7">
      <c r="B48" s="3467" t="s">
        <v>3487</v>
      </c>
      <c r="C48" s="3457"/>
      <c r="D48" s="3463">
        <v>118.36</v>
      </c>
      <c r="E48" s="3470">
        <v>61.36</v>
      </c>
      <c r="F48" s="3463">
        <v>57</v>
      </c>
      <c r="G48" s="3471"/>
    </row>
    <row r="49" spans="2:7" hidden="1">
      <c r="B49" s="3473" t="s">
        <v>3488</v>
      </c>
      <c r="C49" s="3457" t="s">
        <v>3441</v>
      </c>
      <c r="D49" s="3463">
        <v>55.36</v>
      </c>
      <c r="E49" s="3470">
        <v>28.7</v>
      </c>
      <c r="F49" s="3463">
        <v>26.66</v>
      </c>
      <c r="G49" s="3471"/>
    </row>
    <row r="50" spans="2:7">
      <c r="B50" s="3467" t="s">
        <v>3489</v>
      </c>
      <c r="C50" s="3474"/>
      <c r="D50" s="3463">
        <v>115.1</v>
      </c>
      <c r="E50" s="3470">
        <v>59.67</v>
      </c>
      <c r="F50" s="3463">
        <v>55.43</v>
      </c>
      <c r="G50" s="3471"/>
    </row>
    <row r="51" spans="2:7">
      <c r="B51" s="3467" t="s">
        <v>3490</v>
      </c>
      <c r="C51" s="3474"/>
      <c r="D51" s="3463">
        <v>114.54</v>
      </c>
      <c r="E51" s="3470">
        <v>59.38</v>
      </c>
      <c r="F51" s="3463">
        <v>55.16</v>
      </c>
      <c r="G51" s="3471"/>
    </row>
    <row r="52" spans="2:7" hidden="1">
      <c r="B52" s="3473" t="s">
        <v>3491</v>
      </c>
      <c r="C52" s="3457" t="s">
        <v>3492</v>
      </c>
      <c r="D52" s="3463">
        <v>53.47</v>
      </c>
      <c r="E52" s="3470">
        <v>27.72</v>
      </c>
      <c r="F52" s="3463">
        <v>25.75</v>
      </c>
      <c r="G52" s="3471"/>
    </row>
    <row r="53" spans="2:7">
      <c r="B53" s="3467" t="s">
        <v>3493</v>
      </c>
      <c r="C53" s="3457"/>
      <c r="D53" s="3463">
        <v>114.49</v>
      </c>
      <c r="E53" s="3470">
        <v>59.35</v>
      </c>
      <c r="F53" s="3463">
        <v>55.14</v>
      </c>
      <c r="G53" s="3471"/>
    </row>
    <row r="54" spans="2:7" hidden="1">
      <c r="B54" s="3473" t="s">
        <v>3494</v>
      </c>
      <c r="C54" s="3457" t="s">
        <v>3492</v>
      </c>
      <c r="D54" s="3463">
        <v>175.96</v>
      </c>
      <c r="E54" s="3470">
        <v>91.22</v>
      </c>
      <c r="F54" s="3463">
        <v>84.74</v>
      </c>
      <c r="G54" s="3471"/>
    </row>
    <row r="55" spans="2:7" hidden="1">
      <c r="B55" s="3473" t="s">
        <v>3495</v>
      </c>
      <c r="C55" s="3457" t="s">
        <v>3492</v>
      </c>
      <c r="D55" s="3463">
        <v>79.959999999999994</v>
      </c>
      <c r="E55" s="3470">
        <v>41.45</v>
      </c>
      <c r="F55" s="3463">
        <v>38.51</v>
      </c>
      <c r="G55" s="3471"/>
    </row>
    <row r="56" spans="2:7" hidden="1">
      <c r="B56" s="3473" t="s">
        <v>3496</v>
      </c>
      <c r="C56" s="3457" t="s">
        <v>3492</v>
      </c>
      <c r="D56" s="3463">
        <v>152.80000000000001</v>
      </c>
      <c r="E56" s="3470">
        <v>79.209999999999994</v>
      </c>
      <c r="F56" s="3463">
        <v>73.59</v>
      </c>
      <c r="G56" s="3471"/>
    </row>
    <row r="57" spans="2:7" hidden="1">
      <c r="B57" s="3473" t="s">
        <v>3497</v>
      </c>
      <c r="C57" s="3457" t="s">
        <v>3492</v>
      </c>
      <c r="D57" s="3463">
        <v>60.17</v>
      </c>
      <c r="E57" s="3470">
        <v>31.19</v>
      </c>
      <c r="F57" s="3463">
        <v>28.98</v>
      </c>
      <c r="G57" s="3471"/>
    </row>
    <row r="58" spans="2:7" hidden="1">
      <c r="B58" s="3473" t="s">
        <v>3498</v>
      </c>
      <c r="C58" s="3457" t="s">
        <v>3492</v>
      </c>
      <c r="D58" s="3463">
        <v>60.17</v>
      </c>
      <c r="E58" s="3470">
        <v>31.19</v>
      </c>
      <c r="F58" s="3463">
        <v>28.98</v>
      </c>
      <c r="G58" s="3471"/>
    </row>
    <row r="59" spans="2:7" hidden="1">
      <c r="B59" s="3473" t="s">
        <v>3499</v>
      </c>
      <c r="C59" s="3457" t="s">
        <v>3492</v>
      </c>
      <c r="D59" s="3463">
        <v>151.66</v>
      </c>
      <c r="E59" s="3470">
        <v>78.62</v>
      </c>
      <c r="F59" s="3463">
        <v>73.040000000000006</v>
      </c>
      <c r="G59" s="3471"/>
    </row>
    <row r="60" spans="2:7" hidden="1">
      <c r="B60" s="3473" t="s">
        <v>3500</v>
      </c>
      <c r="C60" s="3457" t="s">
        <v>3492</v>
      </c>
      <c r="D60" s="3463">
        <v>147.41999999999999</v>
      </c>
      <c r="E60" s="3470">
        <v>76.42</v>
      </c>
      <c r="F60" s="3463">
        <v>71</v>
      </c>
      <c r="G60" s="3471"/>
    </row>
    <row r="61" spans="2:7" hidden="1">
      <c r="B61" s="3473" t="s">
        <v>3501</v>
      </c>
      <c r="C61" s="3457" t="s">
        <v>3492</v>
      </c>
      <c r="D61" s="3463">
        <v>57.39</v>
      </c>
      <c r="E61" s="3470">
        <v>29.75</v>
      </c>
      <c r="F61" s="3463">
        <v>27.64</v>
      </c>
      <c r="G61" s="3471"/>
    </row>
    <row r="62" spans="2:7" hidden="1">
      <c r="B62" s="3473" t="s">
        <v>3502</v>
      </c>
      <c r="C62" s="3457" t="s">
        <v>3492</v>
      </c>
      <c r="D62" s="3463">
        <v>57.39</v>
      </c>
      <c r="E62" s="3470">
        <v>29.75</v>
      </c>
      <c r="F62" s="3463">
        <v>27.64</v>
      </c>
      <c r="G62" s="3471"/>
    </row>
    <row r="63" spans="2:7">
      <c r="B63" s="3467" t="s">
        <v>3503</v>
      </c>
      <c r="C63" s="3457"/>
      <c r="D63" s="3463">
        <v>235.42</v>
      </c>
      <c r="E63" s="3470">
        <v>122.04</v>
      </c>
      <c r="F63" s="3463">
        <v>113.38</v>
      </c>
      <c r="G63" s="3471"/>
    </row>
    <row r="64" spans="2:7" hidden="1">
      <c r="B64" s="3473" t="s">
        <v>3504</v>
      </c>
      <c r="C64" s="3457" t="s">
        <v>3492</v>
      </c>
      <c r="D64" s="3463">
        <v>88.46</v>
      </c>
      <c r="E64" s="3470">
        <v>45.86</v>
      </c>
      <c r="F64" s="3463">
        <v>42.6</v>
      </c>
      <c r="G64" s="3471"/>
    </row>
    <row r="65" spans="2:7" hidden="1">
      <c r="B65" s="3473" t="s">
        <v>3505</v>
      </c>
      <c r="C65" s="3457" t="s">
        <v>3492</v>
      </c>
      <c r="D65" s="3463">
        <v>59.78</v>
      </c>
      <c r="E65" s="3470">
        <v>30.99</v>
      </c>
      <c r="F65" s="3463">
        <v>28.79</v>
      </c>
      <c r="G65" s="3471"/>
    </row>
    <row r="66" spans="2:7" hidden="1">
      <c r="B66" s="3473" t="s">
        <v>3506</v>
      </c>
      <c r="C66" s="3457" t="s">
        <v>3492</v>
      </c>
      <c r="D66" s="3463">
        <v>25.81</v>
      </c>
      <c r="E66" s="3470">
        <v>13.38</v>
      </c>
      <c r="F66" s="3463">
        <v>12.43</v>
      </c>
      <c r="G66" s="3471"/>
    </row>
    <row r="67" spans="2:7" hidden="1">
      <c r="B67" s="3473" t="s">
        <v>3507</v>
      </c>
      <c r="C67" s="3457" t="s">
        <v>3492</v>
      </c>
      <c r="D67" s="3463">
        <v>52.64</v>
      </c>
      <c r="E67" s="3470">
        <v>27.29</v>
      </c>
      <c r="F67" s="3463">
        <v>25.35</v>
      </c>
      <c r="G67" s="3471"/>
    </row>
    <row r="68" spans="2:7" hidden="1">
      <c r="B68" s="3473" t="s">
        <v>3508</v>
      </c>
      <c r="C68" s="3457" t="s">
        <v>3492</v>
      </c>
      <c r="D68" s="3463">
        <v>48.42</v>
      </c>
      <c r="E68" s="3470">
        <v>25.1</v>
      </c>
      <c r="F68" s="3463">
        <v>23.32</v>
      </c>
      <c r="G68" s="3471"/>
    </row>
    <row r="69" spans="2:7" hidden="1">
      <c r="B69" s="3473" t="s">
        <v>3509</v>
      </c>
      <c r="C69" s="3457" t="s">
        <v>3492</v>
      </c>
      <c r="D69" s="3463">
        <v>48.48</v>
      </c>
      <c r="E69" s="3470">
        <v>25.13</v>
      </c>
      <c r="F69" s="3463">
        <v>23.35</v>
      </c>
      <c r="G69" s="3471"/>
    </row>
    <row r="70" spans="2:7" hidden="1">
      <c r="B70" s="3473" t="s">
        <v>3510</v>
      </c>
      <c r="C70" s="3457" t="s">
        <v>3492</v>
      </c>
      <c r="D70" s="3463">
        <v>48.42</v>
      </c>
      <c r="E70" s="3470">
        <v>25.1</v>
      </c>
      <c r="F70" s="3463">
        <v>23.32</v>
      </c>
      <c r="G70" s="3471"/>
    </row>
    <row r="71" spans="2:7" hidden="1">
      <c r="B71" s="3473" t="s">
        <v>3511</v>
      </c>
      <c r="C71" s="3457" t="s">
        <v>3492</v>
      </c>
      <c r="D71" s="3463">
        <v>48.48</v>
      </c>
      <c r="E71" s="3470">
        <v>25.13</v>
      </c>
      <c r="F71" s="3463">
        <v>23.35</v>
      </c>
      <c r="G71" s="3471"/>
    </row>
    <row r="72" spans="2:7" hidden="1">
      <c r="B72" s="3473" t="s">
        <v>3512</v>
      </c>
      <c r="C72" s="3457" t="s">
        <v>3492</v>
      </c>
      <c r="D72" s="3463">
        <v>48.42</v>
      </c>
      <c r="E72" s="3470">
        <v>25.1</v>
      </c>
      <c r="F72" s="3463">
        <v>23.32</v>
      </c>
      <c r="G72" s="3471"/>
    </row>
    <row r="73" spans="2:7" hidden="1">
      <c r="B73" s="3473" t="s">
        <v>3513</v>
      </c>
      <c r="C73" s="3457" t="s">
        <v>3492</v>
      </c>
      <c r="D73" s="3463">
        <v>48.48</v>
      </c>
      <c r="E73" s="3470">
        <v>25.13</v>
      </c>
      <c r="F73" s="3463">
        <v>23.35</v>
      </c>
      <c r="G73" s="3471"/>
    </row>
    <row r="74" spans="2:7" hidden="1">
      <c r="B74" s="3473" t="s">
        <v>3514</v>
      </c>
      <c r="C74" s="3457" t="s">
        <v>3492</v>
      </c>
      <c r="D74" s="3463">
        <v>48.42</v>
      </c>
      <c r="E74" s="3470">
        <v>25.1</v>
      </c>
      <c r="F74" s="3463">
        <v>23.32</v>
      </c>
      <c r="G74" s="3471"/>
    </row>
    <row r="75" spans="2:7" hidden="1">
      <c r="B75" s="3473" t="s">
        <v>3515</v>
      </c>
      <c r="C75" s="3457" t="s">
        <v>3492</v>
      </c>
      <c r="D75" s="3463">
        <v>51.14</v>
      </c>
      <c r="E75" s="3470">
        <v>26.51</v>
      </c>
      <c r="F75" s="3463">
        <v>24.63</v>
      </c>
      <c r="G75" s="3471"/>
    </row>
    <row r="76" spans="2:7" hidden="1">
      <c r="B76" s="3473" t="s">
        <v>3516</v>
      </c>
      <c r="C76" s="3457" t="s">
        <v>3492</v>
      </c>
      <c r="D76" s="3463">
        <v>48.07</v>
      </c>
      <c r="E76" s="3470">
        <v>24.92</v>
      </c>
      <c r="F76" s="3463">
        <v>23.15</v>
      </c>
      <c r="G76" s="3471"/>
    </row>
    <row r="77" spans="2:7" hidden="1">
      <c r="B77" s="3473" t="s">
        <v>3517</v>
      </c>
      <c r="C77" s="3457" t="s">
        <v>3492</v>
      </c>
      <c r="D77" s="3463">
        <v>66.34</v>
      </c>
      <c r="E77" s="3470">
        <v>34.39</v>
      </c>
      <c r="F77" s="3463">
        <v>31.95</v>
      </c>
      <c r="G77" s="3471"/>
    </row>
    <row r="78" spans="2:7" hidden="1">
      <c r="B78" s="3473" t="s">
        <v>3518</v>
      </c>
      <c r="C78" s="3457" t="s">
        <v>3492</v>
      </c>
      <c r="D78" s="3463">
        <v>63.16</v>
      </c>
      <c r="E78" s="3470">
        <v>32.74</v>
      </c>
      <c r="F78" s="3463">
        <v>30.42</v>
      </c>
      <c r="G78" s="3471"/>
    </row>
    <row r="79" spans="2:7" hidden="1">
      <c r="B79" s="3473" t="s">
        <v>3519</v>
      </c>
      <c r="C79" s="3457" t="s">
        <v>3492</v>
      </c>
      <c r="D79" s="3463">
        <v>50.44</v>
      </c>
      <c r="E79" s="3470">
        <v>26.15</v>
      </c>
      <c r="F79" s="3463">
        <v>24.29</v>
      </c>
      <c r="G79" s="3471"/>
    </row>
    <row r="80" spans="2:7" hidden="1">
      <c r="B80" s="3473" t="s">
        <v>3520</v>
      </c>
      <c r="C80" s="3457" t="s">
        <v>3492</v>
      </c>
      <c r="D80" s="3463">
        <v>60.13</v>
      </c>
      <c r="E80" s="3470">
        <v>31.17</v>
      </c>
      <c r="F80" s="3463">
        <v>28.96</v>
      </c>
      <c r="G80" s="3471"/>
    </row>
    <row r="81" spans="2:7" hidden="1">
      <c r="B81" s="3473" t="s">
        <v>3521</v>
      </c>
      <c r="C81" s="3457" t="s">
        <v>3492</v>
      </c>
      <c r="D81" s="3463">
        <v>72.69</v>
      </c>
      <c r="E81" s="3470">
        <v>37.68</v>
      </c>
      <c r="F81" s="3463">
        <v>35.01</v>
      </c>
      <c r="G81" s="3471"/>
    </row>
    <row r="82" spans="2:7" hidden="1">
      <c r="B82" s="3473" t="s">
        <v>3522</v>
      </c>
      <c r="C82" s="3457" t="s">
        <v>3492</v>
      </c>
      <c r="D82" s="3463">
        <v>51.99</v>
      </c>
      <c r="E82" s="3470">
        <v>26.95</v>
      </c>
      <c r="F82" s="3463">
        <v>25.04</v>
      </c>
      <c r="G82" s="3471"/>
    </row>
    <row r="83" spans="2:7" hidden="1">
      <c r="B83" s="3473" t="s">
        <v>3523</v>
      </c>
      <c r="C83" s="3457" t="s">
        <v>3492</v>
      </c>
      <c r="D83" s="3463">
        <v>102.24</v>
      </c>
      <c r="E83" s="3470">
        <v>53</v>
      </c>
      <c r="F83" s="3463">
        <v>49.24</v>
      </c>
      <c r="G83" s="3471"/>
    </row>
    <row r="84" spans="2:7" hidden="1">
      <c r="B84" s="3473" t="s">
        <v>3524</v>
      </c>
      <c r="C84" s="3457" t="s">
        <v>3492</v>
      </c>
      <c r="D84" s="3463">
        <v>88.5</v>
      </c>
      <c r="E84" s="3470">
        <v>45.88</v>
      </c>
      <c r="F84" s="3463">
        <v>42.62</v>
      </c>
      <c r="G84" s="3471"/>
    </row>
    <row r="85" spans="2:7" hidden="1">
      <c r="B85" s="3473" t="s">
        <v>3525</v>
      </c>
      <c r="C85" s="3457" t="s">
        <v>3492</v>
      </c>
      <c r="D85" s="3463">
        <v>27.53</v>
      </c>
      <c r="E85" s="3470">
        <v>14.27</v>
      </c>
      <c r="F85" s="3463">
        <v>13.26</v>
      </c>
      <c r="G85" s="3471"/>
    </row>
    <row r="86" spans="2:7" hidden="1">
      <c r="B86" s="3473" t="s">
        <v>3526</v>
      </c>
      <c r="C86" s="3457" t="s">
        <v>3492</v>
      </c>
      <c r="D86" s="3463">
        <v>27.8</v>
      </c>
      <c r="E86" s="3470">
        <v>14.41</v>
      </c>
      <c r="F86" s="3463">
        <v>13.39</v>
      </c>
      <c r="G86" s="3471"/>
    </row>
    <row r="87" spans="2:7" hidden="1">
      <c r="B87" s="3473" t="s">
        <v>3527</v>
      </c>
      <c r="C87" s="3457" t="s">
        <v>3492</v>
      </c>
      <c r="D87" s="3463">
        <v>62.92</v>
      </c>
      <c r="E87" s="3470">
        <v>32.619999999999997</v>
      </c>
      <c r="F87" s="3463">
        <v>30.3</v>
      </c>
      <c r="G87" s="3471"/>
    </row>
    <row r="88" spans="2:7" hidden="1">
      <c r="B88" s="3473" t="s">
        <v>3528</v>
      </c>
      <c r="C88" s="3457" t="s">
        <v>3492</v>
      </c>
      <c r="D88" s="3463">
        <v>41.49</v>
      </c>
      <c r="E88" s="3470">
        <v>21.51</v>
      </c>
      <c r="F88" s="3463">
        <v>19.98</v>
      </c>
      <c r="G88" s="3471"/>
    </row>
    <row r="89" spans="2:7" hidden="1">
      <c r="B89" s="3473" t="s">
        <v>3529</v>
      </c>
      <c r="C89" s="3457" t="s">
        <v>3492</v>
      </c>
      <c r="D89" s="3463">
        <v>76.16</v>
      </c>
      <c r="E89" s="3470">
        <v>39.479999999999997</v>
      </c>
      <c r="F89" s="3463">
        <v>36.68</v>
      </c>
      <c r="G89" s="3471"/>
    </row>
    <row r="90" spans="2:7" hidden="1">
      <c r="B90" s="3473" t="s">
        <v>3530</v>
      </c>
      <c r="C90" s="3457" t="s">
        <v>3492</v>
      </c>
      <c r="D90" s="3463">
        <v>20.309999999999999</v>
      </c>
      <c r="E90" s="3470">
        <v>10.53</v>
      </c>
      <c r="F90" s="3463">
        <v>9.7799999999999994</v>
      </c>
      <c r="G90" s="3471"/>
    </row>
    <row r="91" spans="2:7" hidden="1">
      <c r="B91" s="3473" t="s">
        <v>3531</v>
      </c>
      <c r="C91" s="3457" t="s">
        <v>3492</v>
      </c>
      <c r="D91" s="3463">
        <v>43.56</v>
      </c>
      <c r="E91" s="3470">
        <v>22.58</v>
      </c>
      <c r="F91" s="3463">
        <v>20.98</v>
      </c>
      <c r="G91" s="3471"/>
    </row>
    <row r="92" spans="2:7" hidden="1">
      <c r="B92" s="3473" t="s">
        <v>3532</v>
      </c>
      <c r="C92" s="3457" t="s">
        <v>3492</v>
      </c>
      <c r="D92" s="3463">
        <v>75.709999999999994</v>
      </c>
      <c r="E92" s="3470">
        <v>39.25</v>
      </c>
      <c r="F92" s="3463">
        <v>36.46</v>
      </c>
      <c r="G92" s="3471"/>
    </row>
    <row r="93" spans="2:7" hidden="1">
      <c r="B93" s="3473" t="s">
        <v>3533</v>
      </c>
      <c r="C93" s="3457" t="s">
        <v>3492</v>
      </c>
      <c r="D93" s="3463">
        <v>67.819999999999993</v>
      </c>
      <c r="E93" s="3470">
        <v>35.159999999999997</v>
      </c>
      <c r="F93" s="3463">
        <v>32.659999999999997</v>
      </c>
      <c r="G93" s="3471"/>
    </row>
    <row r="94" spans="2:7" hidden="1">
      <c r="B94" s="3473" t="s">
        <v>3534</v>
      </c>
      <c r="C94" s="3457" t="s">
        <v>3492</v>
      </c>
      <c r="D94" s="3463">
        <v>100.08</v>
      </c>
      <c r="E94" s="3470">
        <v>51.88</v>
      </c>
      <c r="F94" s="3463">
        <v>48.2</v>
      </c>
      <c r="G94" s="3471"/>
    </row>
    <row r="95" spans="2:7" hidden="1">
      <c r="B95" s="3473" t="s">
        <v>3535</v>
      </c>
      <c r="C95" s="3457" t="s">
        <v>3492</v>
      </c>
      <c r="D95" s="3463">
        <v>84.22</v>
      </c>
      <c r="E95" s="3470">
        <v>43.66</v>
      </c>
      <c r="F95" s="3463">
        <v>40.56</v>
      </c>
      <c r="G95" s="3471"/>
    </row>
    <row r="96" spans="2:7" hidden="1">
      <c r="B96" s="3473" t="s">
        <v>3536</v>
      </c>
      <c r="C96" s="3457" t="s">
        <v>3492</v>
      </c>
      <c r="D96" s="3463">
        <v>81.23</v>
      </c>
      <c r="E96" s="3470">
        <v>42.11</v>
      </c>
      <c r="F96" s="3463">
        <v>39.119999999999997</v>
      </c>
      <c r="G96" s="3471"/>
    </row>
    <row r="97" spans="2:7" hidden="1">
      <c r="B97" s="3473" t="s">
        <v>3537</v>
      </c>
      <c r="C97" s="3457" t="s">
        <v>3492</v>
      </c>
      <c r="D97" s="3463">
        <v>85.28</v>
      </c>
      <c r="E97" s="3470">
        <v>44.21</v>
      </c>
      <c r="F97" s="3463">
        <v>41.07</v>
      </c>
      <c r="G97" s="3471"/>
    </row>
    <row r="98" spans="2:7" hidden="1">
      <c r="B98" s="3473" t="s">
        <v>3538</v>
      </c>
      <c r="C98" s="3457" t="s">
        <v>3492</v>
      </c>
      <c r="D98" s="3463">
        <v>83.58</v>
      </c>
      <c r="E98" s="3470">
        <v>43.33</v>
      </c>
      <c r="F98" s="3463">
        <v>40.25</v>
      </c>
      <c r="G98" s="3471"/>
    </row>
    <row r="99" spans="2:7" hidden="1">
      <c r="B99" s="3473" t="s">
        <v>3539</v>
      </c>
      <c r="C99" s="3457" t="s">
        <v>3492</v>
      </c>
      <c r="D99" s="3463">
        <v>108.87</v>
      </c>
      <c r="E99" s="3470">
        <v>56.44</v>
      </c>
      <c r="F99" s="3463">
        <v>52.43</v>
      </c>
      <c r="G99" s="3471"/>
    </row>
    <row r="100" spans="2:7" hidden="1">
      <c r="B100" s="3473" t="s">
        <v>3540</v>
      </c>
      <c r="C100" s="3457" t="s">
        <v>3492</v>
      </c>
      <c r="D100" s="3463">
        <v>14.6</v>
      </c>
      <c r="E100" s="3470">
        <v>7.57</v>
      </c>
      <c r="F100" s="3463">
        <v>7.03</v>
      </c>
      <c r="G100" s="3471"/>
    </row>
    <row r="101" spans="2:7" hidden="1">
      <c r="B101" s="3473" t="s">
        <v>3541</v>
      </c>
      <c r="C101" s="3457" t="s">
        <v>3492</v>
      </c>
      <c r="D101" s="3463">
        <v>14.2</v>
      </c>
      <c r="E101" s="3470">
        <v>7.36</v>
      </c>
      <c r="F101" s="3463">
        <v>6.84</v>
      </c>
      <c r="G101" s="3471"/>
    </row>
    <row r="102" spans="2:7">
      <c r="B102" s="3467" t="s">
        <v>3542</v>
      </c>
      <c r="C102" s="3457"/>
      <c r="D102" s="3463">
        <v>77.569999999999993</v>
      </c>
      <c r="E102" s="3470">
        <v>40.21</v>
      </c>
      <c r="F102" s="3463">
        <v>37.36</v>
      </c>
      <c r="G102" s="3471"/>
    </row>
    <row r="103" spans="2:7">
      <c r="B103" s="3467" t="s">
        <v>3543</v>
      </c>
      <c r="C103" s="3457"/>
      <c r="D103" s="3463">
        <v>3076.77</v>
      </c>
      <c r="E103" s="3470">
        <v>2904.23</v>
      </c>
      <c r="F103" s="3463">
        <v>172.54</v>
      </c>
      <c r="G103" s="3471"/>
    </row>
    <row r="104" spans="2:7" hidden="1">
      <c r="B104" s="3473" t="s">
        <v>3544</v>
      </c>
      <c r="C104" s="3457" t="s">
        <v>3492</v>
      </c>
      <c r="D104" s="3463">
        <v>59.56</v>
      </c>
      <c r="E104" s="3470">
        <v>31.17</v>
      </c>
      <c r="F104" s="3463">
        <v>28.39</v>
      </c>
      <c r="G104" s="3471"/>
    </row>
    <row r="105" spans="2:7" hidden="1">
      <c r="B105" s="3473" t="s">
        <v>3545</v>
      </c>
      <c r="C105" s="3457" t="s">
        <v>3492</v>
      </c>
      <c r="D105" s="3463">
        <v>60.11</v>
      </c>
      <c r="E105" s="3470">
        <v>31.46</v>
      </c>
      <c r="F105" s="3463">
        <v>28.65</v>
      </c>
      <c r="G105" s="3471"/>
    </row>
    <row r="106" spans="2:7" hidden="1">
      <c r="B106" s="3473" t="s">
        <v>3546</v>
      </c>
      <c r="C106" s="3457" t="s">
        <v>3492</v>
      </c>
      <c r="D106" s="3463">
        <v>72.650000000000006</v>
      </c>
      <c r="E106" s="3470">
        <v>38.020000000000003</v>
      </c>
      <c r="F106" s="3463">
        <v>34.630000000000003</v>
      </c>
      <c r="G106" s="3471"/>
    </row>
    <row r="107" spans="2:7" hidden="1">
      <c r="B107" s="3473" t="s">
        <v>3547</v>
      </c>
      <c r="C107" s="3457" t="s">
        <v>3492</v>
      </c>
      <c r="D107" s="3463">
        <v>128.85</v>
      </c>
      <c r="E107" s="3470">
        <v>67.430000000000007</v>
      </c>
      <c r="F107" s="3463">
        <v>61.42</v>
      </c>
      <c r="G107" s="3471"/>
    </row>
    <row r="108" spans="2:7" hidden="1">
      <c r="B108" s="3473" t="s">
        <v>3548</v>
      </c>
      <c r="C108" s="3457" t="s">
        <v>3492</v>
      </c>
      <c r="D108" s="3463">
        <v>115.36</v>
      </c>
      <c r="E108" s="3470">
        <v>60.37</v>
      </c>
      <c r="F108" s="3463">
        <v>54.99</v>
      </c>
      <c r="G108" s="3471"/>
    </row>
    <row r="109" spans="2:7" hidden="1">
      <c r="B109" s="3473" t="s">
        <v>3549</v>
      </c>
      <c r="C109" s="3457" t="s">
        <v>3492</v>
      </c>
      <c r="D109" s="3463">
        <v>193.66</v>
      </c>
      <c r="E109" s="3470">
        <v>101.35</v>
      </c>
      <c r="F109" s="3463">
        <v>92.31</v>
      </c>
      <c r="G109" s="3471"/>
    </row>
    <row r="110" spans="2:7" hidden="1">
      <c r="B110" s="3473" t="s">
        <v>3550</v>
      </c>
      <c r="C110" s="3457" t="s">
        <v>3492</v>
      </c>
      <c r="D110" s="3463">
        <v>82.93</v>
      </c>
      <c r="E110" s="3470">
        <v>43.4</v>
      </c>
      <c r="F110" s="3463">
        <v>39.53</v>
      </c>
      <c r="G110" s="3471"/>
    </row>
    <row r="111" spans="2:7" hidden="1">
      <c r="B111" s="3473" t="s">
        <v>3551</v>
      </c>
      <c r="C111" s="3457" t="s">
        <v>3492</v>
      </c>
      <c r="D111" s="3463">
        <v>42.86</v>
      </c>
      <c r="E111" s="3470">
        <v>22.43</v>
      </c>
      <c r="F111" s="3463">
        <v>20.43</v>
      </c>
      <c r="G111" s="3471"/>
    </row>
    <row r="112" spans="2:7" hidden="1">
      <c r="B112" s="3473" t="s">
        <v>3552</v>
      </c>
      <c r="C112" s="3457" t="s">
        <v>3492</v>
      </c>
      <c r="D112" s="3463">
        <v>62.08</v>
      </c>
      <c r="E112" s="3470">
        <v>32.49</v>
      </c>
      <c r="F112" s="3463">
        <v>29.59</v>
      </c>
      <c r="G112" s="3471"/>
    </row>
    <row r="113" spans="2:7" hidden="1">
      <c r="B113" s="3473" t="s">
        <v>3553</v>
      </c>
      <c r="C113" s="3457" t="s">
        <v>3492</v>
      </c>
      <c r="D113" s="3463">
        <v>101.75</v>
      </c>
      <c r="E113" s="3470">
        <v>53.25</v>
      </c>
      <c r="F113" s="3463">
        <v>48.5</v>
      </c>
      <c r="G113" s="3471"/>
    </row>
    <row r="114" spans="2:7" hidden="1">
      <c r="B114" s="3473" t="s">
        <v>3554</v>
      </c>
      <c r="C114" s="3457" t="s">
        <v>3492</v>
      </c>
      <c r="D114" s="3463">
        <v>63.97</v>
      </c>
      <c r="E114" s="3470">
        <v>33.479999999999997</v>
      </c>
      <c r="F114" s="3463">
        <v>30.49</v>
      </c>
      <c r="G114" s="3471"/>
    </row>
    <row r="115" spans="2:7" hidden="1">
      <c r="B115" s="3473" t="s">
        <v>3555</v>
      </c>
      <c r="C115" s="3457" t="s">
        <v>3556</v>
      </c>
      <c r="D115" s="3463">
        <v>63.31</v>
      </c>
      <c r="E115" s="3470">
        <v>33.130000000000003</v>
      </c>
      <c r="F115" s="3463">
        <v>30.18</v>
      </c>
      <c r="G115" s="3471"/>
    </row>
    <row r="116" spans="2:7" hidden="1">
      <c r="B116" s="3473" t="s">
        <v>3557</v>
      </c>
      <c r="C116" s="3457" t="s">
        <v>3556</v>
      </c>
      <c r="D116" s="3463">
        <v>63.46</v>
      </c>
      <c r="E116" s="3470">
        <v>33.21</v>
      </c>
      <c r="F116" s="3463">
        <v>30.25</v>
      </c>
      <c r="G116" s="3471"/>
    </row>
    <row r="117" spans="2:7" hidden="1">
      <c r="B117" s="3473" t="s">
        <v>3558</v>
      </c>
      <c r="C117" s="3457" t="s">
        <v>3556</v>
      </c>
      <c r="D117" s="3463">
        <v>64.59</v>
      </c>
      <c r="E117" s="3470">
        <v>33.799999999999997</v>
      </c>
      <c r="F117" s="3463">
        <v>30.79</v>
      </c>
      <c r="G117" s="3471"/>
    </row>
    <row r="118" spans="2:7" hidden="1">
      <c r="B118" s="3473" t="s">
        <v>3559</v>
      </c>
      <c r="C118" s="3457" t="s">
        <v>3556</v>
      </c>
      <c r="D118" s="3463">
        <v>66.92</v>
      </c>
      <c r="E118" s="3470">
        <v>35.020000000000003</v>
      </c>
      <c r="F118" s="3463">
        <v>31.9</v>
      </c>
      <c r="G118" s="3471"/>
    </row>
    <row r="119" spans="2:7" hidden="1">
      <c r="B119" s="3473" t="s">
        <v>3560</v>
      </c>
      <c r="C119" s="3457" t="s">
        <v>3556</v>
      </c>
      <c r="D119" s="3463">
        <v>71.64</v>
      </c>
      <c r="E119" s="3470">
        <v>37.49</v>
      </c>
      <c r="F119" s="3463">
        <v>34.15</v>
      </c>
      <c r="G119" s="3471"/>
    </row>
    <row r="120" spans="2:7">
      <c r="B120" s="3467" t="s">
        <v>3561</v>
      </c>
      <c r="C120" s="3457"/>
      <c r="D120" s="3463">
        <v>84.63</v>
      </c>
      <c r="E120" s="3470">
        <v>44.29</v>
      </c>
      <c r="F120" s="3463">
        <v>40.340000000000003</v>
      </c>
      <c r="G120" s="3471"/>
    </row>
    <row r="121" spans="2:7" hidden="1">
      <c r="B121" s="3473" t="s">
        <v>3562</v>
      </c>
      <c r="C121" s="3457" t="s">
        <v>3556</v>
      </c>
      <c r="D121" s="3463">
        <v>30.48</v>
      </c>
      <c r="E121" s="3470">
        <v>15.95</v>
      </c>
      <c r="F121" s="3463">
        <v>14.53</v>
      </c>
      <c r="G121" s="3471"/>
    </row>
    <row r="122" spans="2:7" hidden="1">
      <c r="B122" s="3473" t="s">
        <v>3563</v>
      </c>
      <c r="C122" s="3457" t="s">
        <v>3556</v>
      </c>
      <c r="D122" s="3463">
        <v>79.66</v>
      </c>
      <c r="E122" s="3470">
        <v>41.69</v>
      </c>
      <c r="F122" s="3463">
        <v>37.97</v>
      </c>
      <c r="G122" s="3471"/>
    </row>
    <row r="123" spans="2:7" hidden="1">
      <c r="B123" s="3473" t="s">
        <v>3564</v>
      </c>
      <c r="C123" s="3457" t="s">
        <v>3556</v>
      </c>
      <c r="D123" s="3463">
        <v>56.6</v>
      </c>
      <c r="E123" s="3470">
        <v>29.62</v>
      </c>
      <c r="F123" s="3463">
        <v>26.98</v>
      </c>
      <c r="G123" s="3471"/>
    </row>
    <row r="124" spans="2:7" hidden="1">
      <c r="B124" s="3473" t="s">
        <v>3565</v>
      </c>
      <c r="C124" s="3457" t="s">
        <v>3556</v>
      </c>
      <c r="D124" s="3463">
        <v>41.06</v>
      </c>
      <c r="E124" s="3470">
        <v>21.49</v>
      </c>
      <c r="F124" s="3463">
        <v>19.57</v>
      </c>
      <c r="G124" s="3471"/>
    </row>
    <row r="125" spans="2:7" hidden="1">
      <c r="B125" s="3473" t="s">
        <v>3566</v>
      </c>
      <c r="C125" s="3457" t="s">
        <v>3556</v>
      </c>
      <c r="D125" s="3463">
        <v>57.9</v>
      </c>
      <c r="E125" s="3470">
        <v>30.3</v>
      </c>
      <c r="F125" s="3463">
        <v>27.6</v>
      </c>
      <c r="G125" s="3471"/>
    </row>
    <row r="126" spans="2:7" hidden="1">
      <c r="B126" s="3473" t="s">
        <v>3567</v>
      </c>
      <c r="C126" s="3457" t="s">
        <v>3556</v>
      </c>
      <c r="D126" s="3463">
        <v>65.22</v>
      </c>
      <c r="E126" s="3470">
        <v>34.130000000000003</v>
      </c>
      <c r="F126" s="3463">
        <v>31.09</v>
      </c>
      <c r="G126" s="3471"/>
    </row>
    <row r="127" spans="2:7" hidden="1">
      <c r="B127" s="3473" t="s">
        <v>3568</v>
      </c>
      <c r="C127" s="3457" t="s">
        <v>3556</v>
      </c>
      <c r="D127" s="3463">
        <v>60.21</v>
      </c>
      <c r="E127" s="3470">
        <v>31.51</v>
      </c>
      <c r="F127" s="3463">
        <v>28.7</v>
      </c>
      <c r="G127" s="3471"/>
    </row>
    <row r="128" spans="2:7" hidden="1">
      <c r="B128" s="3473" t="s">
        <v>3569</v>
      </c>
      <c r="C128" s="3457" t="s">
        <v>3556</v>
      </c>
      <c r="D128" s="3463">
        <v>55.55</v>
      </c>
      <c r="E128" s="3470">
        <v>29.07</v>
      </c>
      <c r="F128" s="3463">
        <v>26.48</v>
      </c>
      <c r="G128" s="3471"/>
    </row>
    <row r="129" spans="2:7" hidden="1">
      <c r="B129" s="3473" t="s">
        <v>3570</v>
      </c>
      <c r="C129" s="3457" t="s">
        <v>3556</v>
      </c>
      <c r="D129" s="3463">
        <v>57.19</v>
      </c>
      <c r="E129" s="3470">
        <v>29.93</v>
      </c>
      <c r="F129" s="3463">
        <v>27.26</v>
      </c>
      <c r="G129" s="3471"/>
    </row>
    <row r="130" spans="2:7" hidden="1">
      <c r="B130" s="3473" t="s">
        <v>3571</v>
      </c>
      <c r="C130" s="3457" t="s">
        <v>3556</v>
      </c>
      <c r="D130" s="3463">
        <v>51.8</v>
      </c>
      <c r="E130" s="3470">
        <v>27.11</v>
      </c>
      <c r="F130" s="3463">
        <v>24.69</v>
      </c>
      <c r="G130" s="3471"/>
    </row>
    <row r="131" spans="2:7" hidden="1">
      <c r="B131" s="3473" t="s">
        <v>3572</v>
      </c>
      <c r="C131" s="3457" t="s">
        <v>3556</v>
      </c>
      <c r="D131" s="3463">
        <v>39.75</v>
      </c>
      <c r="E131" s="3470">
        <v>20.8</v>
      </c>
      <c r="F131" s="3463">
        <v>18.95</v>
      </c>
      <c r="G131" s="3471"/>
    </row>
    <row r="132" spans="2:7" hidden="1">
      <c r="B132" s="3473" t="s">
        <v>3573</v>
      </c>
      <c r="C132" s="3457" t="s">
        <v>3556</v>
      </c>
      <c r="D132" s="3463">
        <v>12.4</v>
      </c>
      <c r="E132" s="3470">
        <v>6.49</v>
      </c>
      <c r="F132" s="3463">
        <v>5.91</v>
      </c>
      <c r="G132" s="3471"/>
    </row>
    <row r="133" spans="2:7" hidden="1">
      <c r="B133" s="3473" t="s">
        <v>3574</v>
      </c>
      <c r="C133" s="3457" t="s">
        <v>3556</v>
      </c>
      <c r="D133" s="3463">
        <v>13.32</v>
      </c>
      <c r="E133" s="3470">
        <v>6.97</v>
      </c>
      <c r="F133" s="3463">
        <v>6.35</v>
      </c>
      <c r="G133" s="3471"/>
    </row>
    <row r="134" spans="2:7" hidden="1">
      <c r="B134" s="3473" t="s">
        <v>3575</v>
      </c>
      <c r="C134" s="3457" t="s">
        <v>3556</v>
      </c>
      <c r="D134" s="3463">
        <v>16.47</v>
      </c>
      <c r="E134" s="3470">
        <v>8.6199999999999992</v>
      </c>
      <c r="F134" s="3463">
        <v>7.85</v>
      </c>
      <c r="G134" s="3471"/>
    </row>
    <row r="135" spans="2:7">
      <c r="B135" s="3467" t="s">
        <v>3576</v>
      </c>
      <c r="C135" s="3457"/>
      <c r="D135" s="3463">
        <v>76.319999999999993</v>
      </c>
      <c r="E135" s="3470">
        <v>39.94</v>
      </c>
      <c r="F135" s="3463">
        <v>36.380000000000003</v>
      </c>
      <c r="G135" s="3471"/>
    </row>
    <row r="136" spans="2:7">
      <c r="B136" s="3467" t="s">
        <v>3577</v>
      </c>
      <c r="C136" s="3457"/>
      <c r="D136" s="3463">
        <v>72.78</v>
      </c>
      <c r="E136" s="3470">
        <v>38.090000000000003</v>
      </c>
      <c r="F136" s="3463">
        <v>34.69</v>
      </c>
      <c r="G136" s="3471"/>
    </row>
    <row r="137" spans="2:7">
      <c r="B137" s="3467" t="s">
        <v>3578</v>
      </c>
      <c r="C137" s="3457"/>
      <c r="D137" s="3463">
        <v>85.99</v>
      </c>
      <c r="E137" s="3470">
        <v>45</v>
      </c>
      <c r="F137" s="3463">
        <v>40.99</v>
      </c>
      <c r="G137" s="3471"/>
    </row>
    <row r="138" spans="2:7">
      <c r="B138" s="3467" t="s">
        <v>3579</v>
      </c>
      <c r="C138" s="3457"/>
      <c r="D138" s="3463">
        <v>161.41</v>
      </c>
      <c r="E138" s="3470">
        <v>84.47</v>
      </c>
      <c r="F138" s="3463">
        <v>76.94</v>
      </c>
      <c r="G138" s="3471"/>
    </row>
    <row r="139" spans="2:7">
      <c r="B139" s="3467" t="s">
        <v>3580</v>
      </c>
      <c r="C139" s="3457"/>
      <c r="D139" s="3463">
        <v>112.51</v>
      </c>
      <c r="E139" s="3470">
        <v>58.88</v>
      </c>
      <c r="F139" s="3463">
        <v>53.63</v>
      </c>
      <c r="G139" s="3471"/>
    </row>
    <row r="140" spans="2:7">
      <c r="B140" s="3467" t="s">
        <v>3581</v>
      </c>
      <c r="C140" s="3457"/>
      <c r="D140" s="3463">
        <v>119.68</v>
      </c>
      <c r="E140" s="3470">
        <v>62.63</v>
      </c>
      <c r="F140" s="3463">
        <v>57.05</v>
      </c>
      <c r="G140" s="3471"/>
    </row>
    <row r="141" spans="2:7">
      <c r="B141" s="3467" t="s">
        <v>3582</v>
      </c>
      <c r="C141" s="3457"/>
      <c r="D141" s="3463">
        <v>120.73</v>
      </c>
      <c r="E141" s="3470">
        <v>63.18</v>
      </c>
      <c r="F141" s="3463">
        <v>57.55</v>
      </c>
      <c r="G141" s="3471"/>
    </row>
    <row r="142" spans="2:7">
      <c r="B142" s="3467" t="s">
        <v>3583</v>
      </c>
      <c r="C142" s="3457"/>
      <c r="D142" s="3463">
        <v>177.17</v>
      </c>
      <c r="E142" s="3470">
        <v>92.72</v>
      </c>
      <c r="F142" s="3463">
        <v>84.45</v>
      </c>
      <c r="G142" s="3471"/>
    </row>
    <row r="143" spans="2:7">
      <c r="B143" s="3467" t="s">
        <v>3584</v>
      </c>
      <c r="C143" s="3457"/>
      <c r="D143" s="3463">
        <v>117.46</v>
      </c>
      <c r="E143" s="3470">
        <v>61.47</v>
      </c>
      <c r="F143" s="3463">
        <v>55.99</v>
      </c>
      <c r="G143" s="3471"/>
    </row>
    <row r="144" spans="2:7" hidden="1">
      <c r="B144" s="3473" t="s">
        <v>3585</v>
      </c>
      <c r="C144" s="3457" t="s">
        <v>3556</v>
      </c>
      <c r="D144" s="3463">
        <v>89.62</v>
      </c>
      <c r="E144" s="3470">
        <v>46.9</v>
      </c>
      <c r="F144" s="3463">
        <v>42.72</v>
      </c>
      <c r="G144" s="3471"/>
    </row>
    <row r="145" spans="2:7" hidden="1">
      <c r="B145" s="3473" t="s">
        <v>3586</v>
      </c>
      <c r="C145" s="3457" t="s">
        <v>3556</v>
      </c>
      <c r="D145" s="3463">
        <v>67.989999999999995</v>
      </c>
      <c r="E145" s="3470">
        <v>35.58</v>
      </c>
      <c r="F145" s="3463">
        <v>32.409999999999997</v>
      </c>
      <c r="G145" s="3471"/>
    </row>
    <row r="146" spans="2:7" hidden="1">
      <c r="B146" s="3473" t="s">
        <v>3587</v>
      </c>
      <c r="C146" s="3457" t="s">
        <v>3556</v>
      </c>
      <c r="D146" s="3463">
        <v>60.29</v>
      </c>
      <c r="E146" s="3470">
        <v>31.55</v>
      </c>
      <c r="F146" s="3463">
        <v>28.74</v>
      </c>
      <c r="G146" s="3471"/>
    </row>
    <row r="147" spans="2:7" hidden="1">
      <c r="B147" s="3473" t="s">
        <v>3588</v>
      </c>
      <c r="C147" s="3457" t="s">
        <v>3556</v>
      </c>
      <c r="D147" s="3463">
        <v>99.97</v>
      </c>
      <c r="E147" s="3470">
        <v>52.32</v>
      </c>
      <c r="F147" s="3463">
        <v>47.65</v>
      </c>
      <c r="G147" s="3471"/>
    </row>
    <row r="148" spans="2:7">
      <c r="B148" s="3467" t="s">
        <v>3589</v>
      </c>
      <c r="C148" s="3457"/>
      <c r="D148" s="3463">
        <v>43.72</v>
      </c>
      <c r="E148" s="3470">
        <v>22.88</v>
      </c>
      <c r="F148" s="3463">
        <v>20.84</v>
      </c>
      <c r="G148" s="3471"/>
    </row>
    <row r="149" spans="2:7">
      <c r="B149" s="3467" t="s">
        <v>3590</v>
      </c>
      <c r="C149" s="3457"/>
      <c r="D149" s="3463">
        <v>111.29</v>
      </c>
      <c r="E149" s="3470">
        <v>58.24</v>
      </c>
      <c r="F149" s="3463">
        <v>53.05</v>
      </c>
      <c r="G149" s="3471"/>
    </row>
    <row r="150" spans="2:7" hidden="1">
      <c r="B150" s="3473" t="s">
        <v>3591</v>
      </c>
      <c r="C150" s="3457" t="s">
        <v>3556</v>
      </c>
      <c r="D150" s="3463">
        <v>107.12</v>
      </c>
      <c r="E150" s="3470">
        <v>56.06</v>
      </c>
      <c r="F150" s="3463">
        <v>51.06</v>
      </c>
      <c r="G150" s="3471"/>
    </row>
    <row r="151" spans="2:7" hidden="1">
      <c r="B151" s="3473" t="s">
        <v>3592</v>
      </c>
      <c r="C151" s="3457" t="s">
        <v>3556</v>
      </c>
      <c r="D151" s="3463">
        <v>49.28</v>
      </c>
      <c r="E151" s="3470">
        <v>25.79</v>
      </c>
      <c r="F151" s="3463">
        <v>23.49</v>
      </c>
      <c r="G151" s="3471"/>
    </row>
    <row r="152" spans="2:7">
      <c r="B152" s="3467" t="s">
        <v>3593</v>
      </c>
      <c r="C152" s="3457"/>
      <c r="D152" s="3463">
        <v>85.74</v>
      </c>
      <c r="E152" s="3470">
        <v>44.87</v>
      </c>
      <c r="F152" s="3463">
        <v>40.869999999999997</v>
      </c>
      <c r="G152" s="3471"/>
    </row>
    <row r="153" spans="2:7" hidden="1">
      <c r="B153" s="3473" t="s">
        <v>3594</v>
      </c>
      <c r="C153" s="3457" t="s">
        <v>3556</v>
      </c>
      <c r="D153" s="3463">
        <v>83.41</v>
      </c>
      <c r="E153" s="3470">
        <v>43.65</v>
      </c>
      <c r="F153" s="3463">
        <v>39.76</v>
      </c>
      <c r="G153" s="3471"/>
    </row>
    <row r="154" spans="2:7">
      <c r="B154" s="3467" t="s">
        <v>3595</v>
      </c>
      <c r="C154" s="3457"/>
      <c r="D154" s="3463">
        <v>43.99</v>
      </c>
      <c r="E154" s="3470">
        <v>23.02</v>
      </c>
      <c r="F154" s="3463">
        <v>20.97</v>
      </c>
      <c r="G154" s="3471"/>
    </row>
    <row r="155" spans="2:7" hidden="1">
      <c r="B155" s="3473" t="s">
        <v>3596</v>
      </c>
      <c r="C155" s="3457" t="s">
        <v>3556</v>
      </c>
      <c r="D155" s="3463">
        <v>82.74</v>
      </c>
      <c r="E155" s="3470">
        <v>43.3</v>
      </c>
      <c r="F155" s="3463">
        <v>39.44</v>
      </c>
      <c r="G155" s="3471"/>
    </row>
    <row r="156" spans="2:7">
      <c r="B156" s="3467" t="s">
        <v>3597</v>
      </c>
      <c r="C156" s="3457"/>
      <c r="D156" s="3463">
        <v>82.66</v>
      </c>
      <c r="E156" s="3470">
        <v>43.26</v>
      </c>
      <c r="F156" s="3463">
        <v>39.4</v>
      </c>
      <c r="G156" s="3471"/>
    </row>
    <row r="157" spans="2:7" hidden="1">
      <c r="B157" s="3473" t="s">
        <v>3598</v>
      </c>
      <c r="C157" s="3457" t="s">
        <v>3556</v>
      </c>
      <c r="D157" s="3463">
        <v>41.73</v>
      </c>
      <c r="E157" s="3470">
        <v>21.84</v>
      </c>
      <c r="F157" s="3463">
        <v>19.89</v>
      </c>
      <c r="G157" s="3471"/>
    </row>
    <row r="158" spans="2:7">
      <c r="B158" s="3467" t="s">
        <v>3599</v>
      </c>
      <c r="C158" s="3457"/>
      <c r="D158" s="3463">
        <v>100.45</v>
      </c>
      <c r="E158" s="3470">
        <v>52.57</v>
      </c>
      <c r="F158" s="3463">
        <v>47.88</v>
      </c>
      <c r="G158" s="3471"/>
    </row>
    <row r="159" spans="2:7" hidden="1">
      <c r="B159" s="3473" t="s">
        <v>3600</v>
      </c>
      <c r="C159" s="3457" t="s">
        <v>3556</v>
      </c>
      <c r="D159" s="3463">
        <v>79.38</v>
      </c>
      <c r="E159" s="3470">
        <v>41.54</v>
      </c>
      <c r="F159" s="3463">
        <v>37.840000000000003</v>
      </c>
      <c r="G159" s="3471"/>
    </row>
    <row r="160" spans="2:7" hidden="1">
      <c r="B160" s="3473" t="s">
        <v>3601</v>
      </c>
      <c r="C160" s="3457" t="s">
        <v>3556</v>
      </c>
      <c r="D160" s="3463">
        <v>77.2</v>
      </c>
      <c r="E160" s="3470">
        <v>40.4</v>
      </c>
      <c r="F160" s="3463">
        <v>36.799999999999997</v>
      </c>
      <c r="G160" s="3471"/>
    </row>
    <row r="161" spans="2:7" hidden="1">
      <c r="B161" s="3473" t="s">
        <v>3602</v>
      </c>
      <c r="C161" s="3457" t="s">
        <v>3556</v>
      </c>
      <c r="D161" s="3463">
        <v>77.16</v>
      </c>
      <c r="E161" s="3470">
        <v>40.380000000000003</v>
      </c>
      <c r="F161" s="3463">
        <v>36.78</v>
      </c>
      <c r="G161" s="3471"/>
    </row>
    <row r="162" spans="2:7" hidden="1">
      <c r="B162" s="3473" t="s">
        <v>3603</v>
      </c>
      <c r="C162" s="3457" t="s">
        <v>3556</v>
      </c>
      <c r="D162" s="3463">
        <v>77.66</v>
      </c>
      <c r="E162" s="3470">
        <v>40.64</v>
      </c>
      <c r="F162" s="3463">
        <v>37.020000000000003</v>
      </c>
      <c r="G162" s="3471"/>
    </row>
    <row r="163" spans="2:7">
      <c r="B163" s="3467" t="s">
        <v>3604</v>
      </c>
      <c r="C163" s="3457"/>
      <c r="D163" s="3463">
        <v>77.66</v>
      </c>
      <c r="E163" s="3470">
        <v>40.64</v>
      </c>
      <c r="F163" s="3463">
        <v>37.020000000000003</v>
      </c>
      <c r="G163" s="3471"/>
    </row>
    <row r="164" spans="2:7">
      <c r="B164" s="3467" t="s">
        <v>3605</v>
      </c>
      <c r="C164" s="3457"/>
      <c r="D164" s="3463">
        <v>130.63999999999999</v>
      </c>
      <c r="E164" s="3470">
        <v>68.37</v>
      </c>
      <c r="F164" s="3463">
        <v>62.27</v>
      </c>
      <c r="G164" s="3471"/>
    </row>
    <row r="165" spans="2:7" hidden="1">
      <c r="B165" s="3473" t="s">
        <v>3606</v>
      </c>
      <c r="C165" s="3457" t="s">
        <v>3556</v>
      </c>
      <c r="D165" s="3463">
        <v>139.15</v>
      </c>
      <c r="E165" s="3470">
        <v>72.819999999999993</v>
      </c>
      <c r="F165" s="3463">
        <v>66.33</v>
      </c>
      <c r="G165" s="3471"/>
    </row>
    <row r="166" spans="2:7" hidden="1">
      <c r="B166" s="3473" t="s">
        <v>3607</v>
      </c>
      <c r="C166" s="3457" t="s">
        <v>3556</v>
      </c>
      <c r="D166" s="3463">
        <v>47.14</v>
      </c>
      <c r="E166" s="3470">
        <v>24.67</v>
      </c>
      <c r="F166" s="3463">
        <v>22.47</v>
      </c>
      <c r="G166" s="3471"/>
    </row>
    <row r="167" spans="2:7" hidden="1">
      <c r="B167" s="3473" t="s">
        <v>3608</v>
      </c>
      <c r="C167" s="3457" t="s">
        <v>3556</v>
      </c>
      <c r="D167" s="3463">
        <v>48.38</v>
      </c>
      <c r="E167" s="3470">
        <v>25.32</v>
      </c>
      <c r="F167" s="3463">
        <v>23.06</v>
      </c>
      <c r="G167" s="3471"/>
    </row>
    <row r="168" spans="2:7" hidden="1">
      <c r="B168" s="3473" t="s">
        <v>3609</v>
      </c>
      <c r="C168" s="3457" t="s">
        <v>3556</v>
      </c>
      <c r="D168" s="3463">
        <v>76.55</v>
      </c>
      <c r="E168" s="3470">
        <v>40.06</v>
      </c>
      <c r="F168" s="3463">
        <v>36.49</v>
      </c>
      <c r="G168" s="3471"/>
    </row>
    <row r="169" spans="2:7" hidden="1">
      <c r="B169" s="3473" t="s">
        <v>3610</v>
      </c>
      <c r="C169" s="3457" t="s">
        <v>3556</v>
      </c>
      <c r="D169" s="3463">
        <v>63.33</v>
      </c>
      <c r="E169" s="3470">
        <v>33.14</v>
      </c>
      <c r="F169" s="3463">
        <v>30.19</v>
      </c>
      <c r="G169" s="3471"/>
    </row>
    <row r="170" spans="2:7">
      <c r="B170" s="3467" t="s">
        <v>3611</v>
      </c>
      <c r="C170" s="3457"/>
      <c r="D170" s="3463">
        <v>141.13</v>
      </c>
      <c r="E170" s="3470">
        <v>73.86</v>
      </c>
      <c r="F170" s="3463">
        <v>67.27</v>
      </c>
      <c r="G170" s="3471"/>
    </row>
    <row r="171" spans="2:7">
      <c r="B171" s="3467" t="s">
        <v>3612</v>
      </c>
      <c r="C171" s="3457"/>
      <c r="D171" s="3463">
        <v>290.66000000000003</v>
      </c>
      <c r="E171" s="3470">
        <v>152.11000000000001</v>
      </c>
      <c r="F171" s="3463">
        <v>138.55000000000001</v>
      </c>
      <c r="G171" s="3471"/>
    </row>
    <row r="172" spans="2:7">
      <c r="B172" s="3467" t="s">
        <v>3613</v>
      </c>
      <c r="C172" s="3457"/>
      <c r="D172" s="3463">
        <v>218.77</v>
      </c>
      <c r="E172" s="3470">
        <v>114.49</v>
      </c>
      <c r="F172" s="3463">
        <v>104.28</v>
      </c>
      <c r="G172" s="3471"/>
    </row>
    <row r="173" spans="2:7">
      <c r="B173" s="3467" t="s">
        <v>3614</v>
      </c>
      <c r="C173" s="3457"/>
      <c r="D173" s="3463">
        <v>130.09</v>
      </c>
      <c r="E173" s="3470">
        <v>68.08</v>
      </c>
      <c r="F173" s="3463">
        <v>62.01</v>
      </c>
      <c r="G173" s="3471"/>
    </row>
    <row r="174" spans="2:7">
      <c r="B174" s="3467" t="s">
        <v>3615</v>
      </c>
      <c r="C174" s="3457"/>
      <c r="D174" s="3463">
        <v>65.94</v>
      </c>
      <c r="E174" s="3470">
        <v>34.51</v>
      </c>
      <c r="F174" s="3463">
        <v>31.43</v>
      </c>
      <c r="G174" s="3471"/>
    </row>
    <row r="175" spans="2:7">
      <c r="B175" s="3467" t="s">
        <v>3616</v>
      </c>
      <c r="C175" s="3457"/>
      <c r="D175" s="3463">
        <v>117.96</v>
      </c>
      <c r="E175" s="3470">
        <v>61.73</v>
      </c>
      <c r="F175" s="3463">
        <v>56.23</v>
      </c>
      <c r="G175" s="3471"/>
    </row>
    <row r="176" spans="2:7">
      <c r="B176" s="3467" t="s">
        <v>3617</v>
      </c>
      <c r="C176" s="3457"/>
      <c r="D176" s="3463">
        <v>107.48</v>
      </c>
      <c r="E176" s="3470">
        <v>56.25</v>
      </c>
      <c r="F176" s="3463">
        <v>51.23</v>
      </c>
      <c r="G176" s="3471"/>
    </row>
    <row r="177" spans="2:7">
      <c r="B177" s="3467" t="s">
        <v>3618</v>
      </c>
      <c r="C177" s="3457"/>
      <c r="D177" s="3463">
        <v>81.67</v>
      </c>
      <c r="E177" s="3470">
        <v>42.74</v>
      </c>
      <c r="F177" s="3463">
        <v>38.93</v>
      </c>
      <c r="G177" s="3471"/>
    </row>
    <row r="178" spans="2:7">
      <c r="B178" s="3467" t="s">
        <v>3619</v>
      </c>
      <c r="C178" s="3457"/>
      <c r="D178" s="3463">
        <v>108.86</v>
      </c>
      <c r="E178" s="3470">
        <v>56.97</v>
      </c>
      <c r="F178" s="3463">
        <v>51.89</v>
      </c>
      <c r="G178" s="3471"/>
    </row>
    <row r="179" spans="2:7">
      <c r="B179" s="3467" t="s">
        <v>3620</v>
      </c>
      <c r="C179" s="3457"/>
      <c r="D179" s="3463">
        <v>197.03</v>
      </c>
      <c r="E179" s="3470">
        <v>103.11</v>
      </c>
      <c r="F179" s="3463">
        <v>93.92</v>
      </c>
      <c r="G179" s="3471"/>
    </row>
    <row r="180" spans="2:7" hidden="1">
      <c r="B180" s="3473" t="s">
        <v>3621</v>
      </c>
      <c r="C180" s="3457" t="s">
        <v>3556</v>
      </c>
      <c r="D180" s="3463">
        <v>60.23</v>
      </c>
      <c r="E180" s="3470">
        <v>31.52</v>
      </c>
      <c r="F180" s="3463">
        <v>28.71</v>
      </c>
      <c r="G180" s="3471"/>
    </row>
    <row r="181" spans="2:7">
      <c r="B181" s="3467" t="s">
        <v>3543</v>
      </c>
      <c r="C181" s="3457"/>
      <c r="D181" s="3463">
        <v>964.42</v>
      </c>
      <c r="E181" s="3470">
        <v>910.34</v>
      </c>
      <c r="F181" s="3463">
        <v>54.08</v>
      </c>
      <c r="G181" s="3471"/>
    </row>
    <row r="182" spans="2:7">
      <c r="B182" s="3467" t="s">
        <v>3439</v>
      </c>
      <c r="C182" s="3457"/>
      <c r="D182" s="3463">
        <v>604.42999999999995</v>
      </c>
      <c r="E182" s="3475">
        <v>593.87</v>
      </c>
      <c r="F182" s="3463">
        <v>10.56</v>
      </c>
      <c r="G182" s="3471"/>
    </row>
    <row r="183" spans="2:7" hidden="1">
      <c r="B183" s="3473" t="s">
        <v>3622</v>
      </c>
      <c r="C183" s="3457" t="s">
        <v>3556</v>
      </c>
      <c r="D183" s="3463">
        <v>139.69</v>
      </c>
      <c r="E183" s="3470">
        <v>79.569999999999993</v>
      </c>
      <c r="F183" s="3463">
        <v>60.12</v>
      </c>
      <c r="G183" s="3471"/>
    </row>
    <row r="184" spans="2:7" hidden="1">
      <c r="B184" s="3473" t="s">
        <v>3623</v>
      </c>
      <c r="C184" s="3457" t="s">
        <v>3556</v>
      </c>
      <c r="D184" s="3463">
        <v>116.57</v>
      </c>
      <c r="E184" s="3470">
        <v>66.400000000000006</v>
      </c>
      <c r="F184" s="3463">
        <v>50.17</v>
      </c>
      <c r="G184" s="3471"/>
    </row>
    <row r="185" spans="2:7" hidden="1">
      <c r="B185" s="3473" t="s">
        <v>3624</v>
      </c>
      <c r="C185" s="3457" t="s">
        <v>3556</v>
      </c>
      <c r="D185" s="3463">
        <v>170.88</v>
      </c>
      <c r="E185" s="3470">
        <v>97.34</v>
      </c>
      <c r="F185" s="3463">
        <v>73.540000000000006</v>
      </c>
      <c r="G185" s="3471"/>
    </row>
    <row r="186" spans="2:7" hidden="1">
      <c r="B186" s="3473" t="s">
        <v>3625</v>
      </c>
      <c r="C186" s="3457" t="s">
        <v>3556</v>
      </c>
      <c r="D186" s="3463">
        <v>128.13999999999999</v>
      </c>
      <c r="E186" s="3470">
        <v>72.989999999999995</v>
      </c>
      <c r="F186" s="3463">
        <v>55.15</v>
      </c>
      <c r="G186" s="3471"/>
    </row>
    <row r="187" spans="2:7" hidden="1">
      <c r="B187" s="3473" t="s">
        <v>3626</v>
      </c>
      <c r="C187" s="3457" t="s">
        <v>3556</v>
      </c>
      <c r="D187" s="3463">
        <v>143.63999999999999</v>
      </c>
      <c r="E187" s="3470">
        <v>81.819999999999993</v>
      </c>
      <c r="F187" s="3463">
        <v>61.82</v>
      </c>
      <c r="G187" s="3471"/>
    </row>
    <row r="188" spans="2:7" hidden="1">
      <c r="B188" s="3473" t="s">
        <v>3627</v>
      </c>
      <c r="C188" s="3457" t="s">
        <v>3556</v>
      </c>
      <c r="D188" s="3463">
        <v>159.03</v>
      </c>
      <c r="E188" s="3470">
        <v>90.59</v>
      </c>
      <c r="F188" s="3463">
        <v>68.44</v>
      </c>
      <c r="G188" s="3471"/>
    </row>
    <row r="189" spans="2:7" hidden="1">
      <c r="B189" s="3473" t="s">
        <v>3628</v>
      </c>
      <c r="C189" s="3457" t="s">
        <v>3556</v>
      </c>
      <c r="D189" s="3463">
        <v>152.1</v>
      </c>
      <c r="E189" s="3470">
        <v>86.64</v>
      </c>
      <c r="F189" s="3463">
        <v>65.459999999999994</v>
      </c>
      <c r="G189" s="3471"/>
    </row>
    <row r="190" spans="2:7" hidden="1">
      <c r="B190" s="3473" t="s">
        <v>3629</v>
      </c>
      <c r="C190" s="3457" t="s">
        <v>3556</v>
      </c>
      <c r="D190" s="3463">
        <v>132.38</v>
      </c>
      <c r="E190" s="3470">
        <v>75.41</v>
      </c>
      <c r="F190" s="3463">
        <v>56.97</v>
      </c>
      <c r="G190" s="3471"/>
    </row>
    <row r="191" spans="2:7" hidden="1">
      <c r="B191" s="3473" t="s">
        <v>3630</v>
      </c>
      <c r="C191" s="3457" t="s">
        <v>3556</v>
      </c>
      <c r="D191" s="3463">
        <v>166.55</v>
      </c>
      <c r="E191" s="3470">
        <v>94.87</v>
      </c>
      <c r="F191" s="3463">
        <v>71.680000000000007</v>
      </c>
      <c r="G191" s="3471"/>
    </row>
    <row r="192" spans="2:7" hidden="1">
      <c r="B192" s="3473" t="s">
        <v>3631</v>
      </c>
      <c r="C192" s="3457" t="s">
        <v>3556</v>
      </c>
      <c r="D192" s="3463">
        <v>161.65</v>
      </c>
      <c r="E192" s="3470">
        <v>92.08</v>
      </c>
      <c r="F192" s="3463">
        <v>69.569999999999993</v>
      </c>
      <c r="G192" s="3471"/>
    </row>
    <row r="193" spans="2:7" hidden="1">
      <c r="B193" s="3473" t="s">
        <v>3632</v>
      </c>
      <c r="C193" s="3457" t="s">
        <v>3492</v>
      </c>
      <c r="D193" s="3463">
        <v>132.28</v>
      </c>
      <c r="E193" s="3470">
        <v>75.349999999999994</v>
      </c>
      <c r="F193" s="3463">
        <v>56.93</v>
      </c>
      <c r="G193" s="3471"/>
    </row>
    <row r="194" spans="2:7" hidden="1">
      <c r="B194" s="3473" t="s">
        <v>3633</v>
      </c>
      <c r="C194" s="3457" t="s">
        <v>3492</v>
      </c>
      <c r="D194" s="3463">
        <v>130.12</v>
      </c>
      <c r="E194" s="3470">
        <v>74.12</v>
      </c>
      <c r="F194" s="3463">
        <v>56</v>
      </c>
      <c r="G194" s="3471"/>
    </row>
    <row r="195" spans="2:7" hidden="1">
      <c r="B195" s="3473" t="s">
        <v>3634</v>
      </c>
      <c r="C195" s="3457" t="s">
        <v>3492</v>
      </c>
      <c r="D195" s="3463">
        <v>148.46</v>
      </c>
      <c r="E195" s="3470">
        <v>84.57</v>
      </c>
      <c r="F195" s="3463">
        <v>63.89</v>
      </c>
      <c r="G195" s="3471"/>
    </row>
    <row r="196" spans="2:7" hidden="1">
      <c r="B196" s="3473" t="s">
        <v>3635</v>
      </c>
      <c r="C196" s="3457" t="s">
        <v>3492</v>
      </c>
      <c r="D196" s="3463">
        <v>76.89</v>
      </c>
      <c r="E196" s="3470">
        <v>43.8</v>
      </c>
      <c r="F196" s="3463">
        <v>33.090000000000003</v>
      </c>
      <c r="G196" s="3471"/>
    </row>
    <row r="197" spans="2:7" hidden="1">
      <c r="B197" s="3473" t="s">
        <v>3636</v>
      </c>
      <c r="C197" s="3457" t="s">
        <v>3492</v>
      </c>
      <c r="D197" s="3463">
        <v>122.96</v>
      </c>
      <c r="E197" s="3470">
        <v>70.040000000000006</v>
      </c>
      <c r="F197" s="3463">
        <v>52.92</v>
      </c>
      <c r="G197" s="3471"/>
    </row>
    <row r="198" spans="2:7" hidden="1">
      <c r="B198" s="3473" t="s">
        <v>3637</v>
      </c>
      <c r="C198" s="3457" t="s">
        <v>3492</v>
      </c>
      <c r="D198" s="3463">
        <v>107.17</v>
      </c>
      <c r="E198" s="3470">
        <v>61.05</v>
      </c>
      <c r="F198" s="3463">
        <v>46.12</v>
      </c>
      <c r="G198" s="3471"/>
    </row>
    <row r="199" spans="2:7" hidden="1">
      <c r="B199" s="3473" t="s">
        <v>3638</v>
      </c>
      <c r="C199" s="3457" t="s">
        <v>3492</v>
      </c>
      <c r="D199" s="3463">
        <v>86.64</v>
      </c>
      <c r="E199" s="3470">
        <v>49.35</v>
      </c>
      <c r="F199" s="3463">
        <v>37.29</v>
      </c>
      <c r="G199" s="3471"/>
    </row>
    <row r="200" spans="2:7">
      <c r="B200" s="3467" t="s">
        <v>3639</v>
      </c>
      <c r="C200" s="3457"/>
      <c r="D200" s="3463">
        <v>160.07</v>
      </c>
      <c r="E200" s="3470">
        <v>91.18</v>
      </c>
      <c r="F200" s="3463">
        <v>68.89</v>
      </c>
      <c r="G200" s="3471"/>
    </row>
    <row r="201" spans="2:7">
      <c r="B201" s="3467" t="s">
        <v>3640</v>
      </c>
      <c r="C201" s="3457"/>
      <c r="D201" s="3463">
        <v>159.93</v>
      </c>
      <c r="E201" s="3470">
        <v>91.1</v>
      </c>
      <c r="F201" s="3463">
        <v>68.83</v>
      </c>
      <c r="G201" s="3471"/>
    </row>
    <row r="202" spans="2:7" hidden="1">
      <c r="B202" s="3473" t="s">
        <v>3641</v>
      </c>
      <c r="C202" s="3457" t="s">
        <v>3492</v>
      </c>
      <c r="D202" s="3463">
        <v>75.42</v>
      </c>
      <c r="E202" s="3470">
        <v>42.96</v>
      </c>
      <c r="F202" s="3463">
        <v>32.46</v>
      </c>
      <c r="G202" s="3471"/>
    </row>
    <row r="203" spans="2:7">
      <c r="B203" s="3467" t="s">
        <v>3642</v>
      </c>
      <c r="C203" s="3457"/>
      <c r="D203" s="3463">
        <v>147.41</v>
      </c>
      <c r="E203" s="3470">
        <v>83.97</v>
      </c>
      <c r="F203" s="3463">
        <v>63.44</v>
      </c>
      <c r="G203" s="3471"/>
    </row>
    <row r="204" spans="2:7" hidden="1">
      <c r="B204" s="3473" t="s">
        <v>3643</v>
      </c>
      <c r="C204" s="3457" t="s">
        <v>3492</v>
      </c>
      <c r="D204" s="3463">
        <v>72.61</v>
      </c>
      <c r="E204" s="3470">
        <v>41.36</v>
      </c>
      <c r="F204" s="3463">
        <v>31.25</v>
      </c>
      <c r="G204" s="3471"/>
    </row>
    <row r="205" spans="2:7">
      <c r="B205" s="3467" t="s">
        <v>3644</v>
      </c>
      <c r="C205" s="3468"/>
      <c r="D205" s="3463">
        <v>153.85</v>
      </c>
      <c r="E205" s="3470">
        <v>87.64</v>
      </c>
      <c r="F205" s="3463">
        <v>66.209999999999994</v>
      </c>
      <c r="G205" s="3471"/>
    </row>
    <row r="206" spans="2:7">
      <c r="B206" s="3467" t="s">
        <v>3645</v>
      </c>
      <c r="C206" s="3457"/>
      <c r="D206" s="3463">
        <v>105.51</v>
      </c>
      <c r="E206" s="3470">
        <v>60.1</v>
      </c>
      <c r="F206" s="3463">
        <v>45.41</v>
      </c>
      <c r="G206" s="3471"/>
    </row>
    <row r="207" spans="2:7" hidden="1">
      <c r="B207" s="3473" t="s">
        <v>3646</v>
      </c>
      <c r="C207" s="3457" t="s">
        <v>3492</v>
      </c>
      <c r="D207" s="3463">
        <v>86.71</v>
      </c>
      <c r="E207" s="3470">
        <v>49.39</v>
      </c>
      <c r="F207" s="3463">
        <v>37.32</v>
      </c>
      <c r="G207" s="3471"/>
    </row>
    <row r="208" spans="2:7">
      <c r="B208" s="3467" t="s">
        <v>3647</v>
      </c>
      <c r="C208" s="3457"/>
      <c r="D208" s="3463">
        <v>105.44</v>
      </c>
      <c r="E208" s="3470">
        <v>60.06</v>
      </c>
      <c r="F208" s="3463">
        <v>45.38</v>
      </c>
      <c r="G208" s="3471"/>
    </row>
    <row r="209" spans="2:7" hidden="1">
      <c r="B209" s="3473" t="s">
        <v>3648</v>
      </c>
      <c r="C209" s="3457" t="s">
        <v>3492</v>
      </c>
      <c r="D209" s="3463">
        <v>86.71</v>
      </c>
      <c r="E209" s="3470">
        <v>49.39</v>
      </c>
      <c r="F209" s="3463">
        <v>37.32</v>
      </c>
      <c r="G209" s="3471"/>
    </row>
    <row r="210" spans="2:7" hidden="1">
      <c r="B210" s="3473" t="s">
        <v>3649</v>
      </c>
      <c r="C210" s="3457" t="s">
        <v>3492</v>
      </c>
      <c r="D210" s="3463">
        <v>188.12</v>
      </c>
      <c r="E210" s="3470">
        <v>107.16</v>
      </c>
      <c r="F210" s="3463">
        <v>80.959999999999994</v>
      </c>
      <c r="G210" s="3471"/>
    </row>
    <row r="211" spans="2:7" hidden="1">
      <c r="B211" s="3473" t="s">
        <v>3650</v>
      </c>
      <c r="C211" s="3457" t="s">
        <v>3492</v>
      </c>
      <c r="D211" s="3463">
        <v>190.42</v>
      </c>
      <c r="E211" s="3470">
        <v>108.47</v>
      </c>
      <c r="F211" s="3463">
        <v>81.95</v>
      </c>
      <c r="G211" s="3471"/>
    </row>
    <row r="212" spans="2:7">
      <c r="B212" s="3467" t="s">
        <v>3651</v>
      </c>
      <c r="C212" s="3457"/>
      <c r="D212" s="3463">
        <v>179.7</v>
      </c>
      <c r="E212" s="3470">
        <v>102.36</v>
      </c>
      <c r="F212" s="3463">
        <v>77.34</v>
      </c>
      <c r="G212" s="3471"/>
    </row>
    <row r="213" spans="2:7" hidden="1">
      <c r="B213" s="3473" t="s">
        <v>3652</v>
      </c>
      <c r="C213" s="3457" t="s">
        <v>3492</v>
      </c>
      <c r="D213" s="3463">
        <v>191.98</v>
      </c>
      <c r="E213" s="3470">
        <v>109.36</v>
      </c>
      <c r="F213" s="3463">
        <v>82.62</v>
      </c>
      <c r="G213" s="3471"/>
    </row>
    <row r="214" spans="2:7">
      <c r="B214" s="3467" t="s">
        <v>3653</v>
      </c>
      <c r="C214" s="3457"/>
      <c r="D214" s="3463">
        <v>256.01</v>
      </c>
      <c r="E214" s="3470">
        <v>145.83000000000001</v>
      </c>
      <c r="F214" s="3463">
        <v>110.18</v>
      </c>
      <c r="G214" s="3471"/>
    </row>
    <row r="215" spans="2:7" hidden="1">
      <c r="B215" s="3473" t="s">
        <v>3654</v>
      </c>
      <c r="C215" s="3457" t="s">
        <v>3492</v>
      </c>
      <c r="D215" s="3463">
        <v>207.61</v>
      </c>
      <c r="E215" s="3470">
        <v>118.26</v>
      </c>
      <c r="F215" s="3463">
        <v>89.35</v>
      </c>
      <c r="G215" s="3471"/>
    </row>
    <row r="216" spans="2:7">
      <c r="B216" s="3467" t="s">
        <v>3655</v>
      </c>
      <c r="C216" s="3457"/>
      <c r="D216" s="3463">
        <v>97.5</v>
      </c>
      <c r="E216" s="3470">
        <v>52.38</v>
      </c>
      <c r="F216" s="3463">
        <v>45.12</v>
      </c>
      <c r="G216" s="3471"/>
    </row>
    <row r="217" spans="2:7">
      <c r="B217" s="3467" t="s">
        <v>3656</v>
      </c>
      <c r="C217" s="3457"/>
      <c r="D217" s="3463">
        <v>63.31</v>
      </c>
      <c r="E217" s="3470">
        <v>34.01</v>
      </c>
      <c r="F217" s="3463">
        <v>29.3</v>
      </c>
      <c r="G217" s="3471"/>
    </row>
    <row r="218" spans="2:7">
      <c r="B218" s="3467" t="s">
        <v>3657</v>
      </c>
      <c r="C218" s="3457"/>
      <c r="D218" s="3463">
        <v>125.55</v>
      </c>
      <c r="E218" s="3470">
        <v>67.45</v>
      </c>
      <c r="F218" s="3463">
        <v>58.1</v>
      </c>
      <c r="G218" s="3471"/>
    </row>
    <row r="219" spans="2:7">
      <c r="B219" s="3467" t="s">
        <v>3658</v>
      </c>
      <c r="C219" s="3457"/>
      <c r="D219" s="3463">
        <v>93.8</v>
      </c>
      <c r="E219" s="3470">
        <v>50.39</v>
      </c>
      <c r="F219" s="3463">
        <v>43.41</v>
      </c>
      <c r="G219" s="3471"/>
    </row>
    <row r="220" spans="2:7">
      <c r="B220" s="3467" t="s">
        <v>3659</v>
      </c>
      <c r="C220" s="3457"/>
      <c r="D220" s="3463">
        <v>111.13</v>
      </c>
      <c r="E220" s="3470">
        <v>59.7</v>
      </c>
      <c r="F220" s="3463">
        <v>51.43</v>
      </c>
      <c r="G220" s="3471"/>
    </row>
    <row r="221" spans="2:7">
      <c r="B221" s="3467" t="s">
        <v>3660</v>
      </c>
      <c r="C221" s="3457"/>
      <c r="D221" s="3463">
        <v>43.8</v>
      </c>
      <c r="E221" s="3470">
        <v>23.53</v>
      </c>
      <c r="F221" s="3463">
        <v>20.27</v>
      </c>
      <c r="G221" s="3471"/>
    </row>
    <row r="222" spans="2:7">
      <c r="B222" s="3467" t="s">
        <v>3661</v>
      </c>
      <c r="C222" s="3457"/>
      <c r="D222" s="3463">
        <v>55.95</v>
      </c>
      <c r="E222" s="3470">
        <v>30.06</v>
      </c>
      <c r="F222" s="3463">
        <v>25.89</v>
      </c>
      <c r="G222" s="3471"/>
    </row>
    <row r="223" spans="2:7" hidden="1">
      <c r="B223" s="3473" t="s">
        <v>3662</v>
      </c>
      <c r="C223" s="3457" t="s">
        <v>3492</v>
      </c>
      <c r="D223" s="3463">
        <v>50.33</v>
      </c>
      <c r="E223" s="3470">
        <v>27.04</v>
      </c>
      <c r="F223" s="3463">
        <v>23.29</v>
      </c>
      <c r="G223" s="3471"/>
    </row>
    <row r="224" spans="2:7">
      <c r="B224" s="3467" t="s">
        <v>3663</v>
      </c>
      <c r="C224" s="3457"/>
      <c r="D224" s="3463">
        <v>74.010000000000005</v>
      </c>
      <c r="E224" s="3470">
        <v>39.76</v>
      </c>
      <c r="F224" s="3463">
        <v>34.25</v>
      </c>
      <c r="G224" s="3471"/>
    </row>
    <row r="225" spans="2:7">
      <c r="B225" s="3467" t="s">
        <v>3664</v>
      </c>
      <c r="C225" s="3457"/>
      <c r="D225" s="3463">
        <v>74.849999999999994</v>
      </c>
      <c r="E225" s="3470">
        <v>40.21</v>
      </c>
      <c r="F225" s="3463">
        <v>34.64</v>
      </c>
      <c r="G225" s="3471"/>
    </row>
    <row r="226" spans="2:7" hidden="1">
      <c r="B226" s="3473" t="s">
        <v>3665</v>
      </c>
      <c r="C226" s="3457" t="s">
        <v>3492</v>
      </c>
      <c r="D226" s="3463">
        <v>48.21</v>
      </c>
      <c r="E226" s="3470">
        <v>25.9</v>
      </c>
      <c r="F226" s="3463">
        <v>22.31</v>
      </c>
      <c r="G226" s="3471"/>
    </row>
    <row r="227" spans="2:7">
      <c r="B227" s="3467" t="s">
        <v>3666</v>
      </c>
      <c r="C227" s="3457"/>
      <c r="D227" s="3463">
        <v>92.03</v>
      </c>
      <c r="E227" s="3470">
        <v>49.44</v>
      </c>
      <c r="F227" s="3463">
        <v>42.59</v>
      </c>
      <c r="G227" s="3471"/>
    </row>
    <row r="228" spans="2:7" hidden="1">
      <c r="B228" s="3473" t="s">
        <v>3667</v>
      </c>
      <c r="C228" s="3457" t="s">
        <v>3492</v>
      </c>
      <c r="D228" s="3463">
        <v>54.02</v>
      </c>
      <c r="E228" s="3470">
        <v>29.02</v>
      </c>
      <c r="F228" s="3463">
        <v>25</v>
      </c>
      <c r="G228" s="3471"/>
    </row>
    <row r="229" spans="2:7" hidden="1">
      <c r="B229" s="3473" t="s">
        <v>3668</v>
      </c>
      <c r="C229" s="3457" t="s">
        <v>3492</v>
      </c>
      <c r="D229" s="3463">
        <v>63.18</v>
      </c>
      <c r="E229" s="3470">
        <v>33.94</v>
      </c>
      <c r="F229" s="3463">
        <v>29.24</v>
      </c>
      <c r="G229" s="3471"/>
    </row>
    <row r="230" spans="2:7" hidden="1">
      <c r="B230" s="3473" t="s">
        <v>3669</v>
      </c>
      <c r="C230" s="3457" t="s">
        <v>3492</v>
      </c>
      <c r="D230" s="3463">
        <v>73.53</v>
      </c>
      <c r="E230" s="3470">
        <v>39.5</v>
      </c>
      <c r="F230" s="3463">
        <v>34.03</v>
      </c>
      <c r="G230" s="3471"/>
    </row>
    <row r="231" spans="2:7" hidden="1">
      <c r="B231" s="3473" t="s">
        <v>3670</v>
      </c>
      <c r="C231" s="3457" t="s">
        <v>3492</v>
      </c>
      <c r="D231" s="3463">
        <v>53.91</v>
      </c>
      <c r="E231" s="3470">
        <v>28.96</v>
      </c>
      <c r="F231" s="3463">
        <v>24.95</v>
      </c>
      <c r="G231" s="3471"/>
    </row>
    <row r="232" spans="2:7" hidden="1">
      <c r="B232" s="3473" t="s">
        <v>3671</v>
      </c>
      <c r="C232" s="3457" t="s">
        <v>3492</v>
      </c>
      <c r="D232" s="3463">
        <v>62.71</v>
      </c>
      <c r="E232" s="3470">
        <v>33.69</v>
      </c>
      <c r="F232" s="3463">
        <v>29.02</v>
      </c>
      <c r="G232" s="3471"/>
    </row>
    <row r="233" spans="2:7" hidden="1">
      <c r="B233" s="3473" t="s">
        <v>3672</v>
      </c>
      <c r="C233" s="3457" t="s">
        <v>3492</v>
      </c>
      <c r="D233" s="3463">
        <v>76.08</v>
      </c>
      <c r="E233" s="3470">
        <v>40.869999999999997</v>
      </c>
      <c r="F233" s="3463">
        <v>35.21</v>
      </c>
      <c r="G233" s="3471"/>
    </row>
    <row r="234" spans="2:7">
      <c r="B234" s="3467" t="s">
        <v>3673</v>
      </c>
      <c r="C234" s="3457"/>
      <c r="D234" s="3463">
        <v>68.09</v>
      </c>
      <c r="E234" s="3470">
        <v>36.58</v>
      </c>
      <c r="F234" s="3463">
        <v>31.51</v>
      </c>
      <c r="G234" s="3471"/>
    </row>
    <row r="235" spans="2:7">
      <c r="B235" s="3467" t="s">
        <v>3674</v>
      </c>
      <c r="C235" s="3457"/>
      <c r="D235" s="3463">
        <v>119.47</v>
      </c>
      <c r="E235" s="3470">
        <v>64.180000000000007</v>
      </c>
      <c r="F235" s="3463">
        <v>55.29</v>
      </c>
      <c r="G235" s="3471"/>
    </row>
    <row r="236" spans="2:7">
      <c r="B236" s="3467" t="s">
        <v>3675</v>
      </c>
      <c r="C236" s="3457"/>
      <c r="D236" s="3463">
        <v>82.53</v>
      </c>
      <c r="E236" s="3470">
        <v>44.34</v>
      </c>
      <c r="F236" s="3463">
        <v>38.19</v>
      </c>
      <c r="G236" s="3471"/>
    </row>
    <row r="237" spans="2:7">
      <c r="B237" s="3467" t="s">
        <v>3676</v>
      </c>
      <c r="C237" s="3457"/>
      <c r="D237" s="3463">
        <v>28.67</v>
      </c>
      <c r="E237" s="3470">
        <v>15.4</v>
      </c>
      <c r="F237" s="3463">
        <v>13.27</v>
      </c>
      <c r="G237" s="3471"/>
    </row>
    <row r="238" spans="2:7" hidden="1">
      <c r="B238" s="3473" t="s">
        <v>3677</v>
      </c>
      <c r="C238" s="3457" t="s">
        <v>3492</v>
      </c>
      <c r="D238" s="3463">
        <v>47.67</v>
      </c>
      <c r="E238" s="3470">
        <v>25.61</v>
      </c>
      <c r="F238" s="3463">
        <v>22.06</v>
      </c>
      <c r="G238" s="3471"/>
    </row>
    <row r="239" spans="2:7" hidden="1">
      <c r="B239" s="3473" t="s">
        <v>3678</v>
      </c>
      <c r="C239" s="3457" t="s">
        <v>3492</v>
      </c>
      <c r="D239" s="3463">
        <v>41.06</v>
      </c>
      <c r="E239" s="3470">
        <v>22.06</v>
      </c>
      <c r="F239" s="3463">
        <v>19</v>
      </c>
      <c r="G239" s="3471"/>
    </row>
    <row r="240" spans="2:7">
      <c r="B240" s="3467" t="s">
        <v>3679</v>
      </c>
      <c r="C240" s="3457"/>
      <c r="D240" s="3463">
        <v>81.680000000000007</v>
      </c>
      <c r="E240" s="3470">
        <v>43.88</v>
      </c>
      <c r="F240" s="3463">
        <v>37.799999999999997</v>
      </c>
      <c r="G240" s="3471"/>
    </row>
    <row r="241" spans="2:7">
      <c r="B241" s="3467" t="s">
        <v>3680</v>
      </c>
      <c r="C241" s="3457"/>
      <c r="D241" s="3463">
        <v>81.59</v>
      </c>
      <c r="E241" s="3470">
        <v>43.83</v>
      </c>
      <c r="F241" s="3463">
        <v>37.76</v>
      </c>
      <c r="G241" s="3471"/>
    </row>
    <row r="242" spans="2:7">
      <c r="B242" s="3467" t="s">
        <v>3681</v>
      </c>
      <c r="C242" s="3457"/>
      <c r="D242" s="3463">
        <v>147.46</v>
      </c>
      <c r="E242" s="3470">
        <v>79.22</v>
      </c>
      <c r="F242" s="3463">
        <v>68.239999999999995</v>
      </c>
      <c r="G242" s="3471"/>
    </row>
    <row r="243" spans="2:7">
      <c r="B243" s="3467" t="s">
        <v>3682</v>
      </c>
      <c r="C243" s="3457"/>
      <c r="D243" s="3463">
        <v>81.459999999999994</v>
      </c>
      <c r="E243" s="3470">
        <v>43.76</v>
      </c>
      <c r="F243" s="3463">
        <v>37.700000000000003</v>
      </c>
      <c r="G243" s="3471"/>
    </row>
    <row r="244" spans="2:7" hidden="1">
      <c r="B244" s="3473" t="s">
        <v>3683</v>
      </c>
      <c r="C244" s="3457" t="s">
        <v>3492</v>
      </c>
      <c r="D244" s="3463">
        <v>35.89</v>
      </c>
      <c r="E244" s="3470">
        <v>19.28</v>
      </c>
      <c r="F244" s="3463">
        <v>16.61</v>
      </c>
      <c r="G244" s="3471"/>
    </row>
    <row r="245" spans="2:7">
      <c r="B245" s="3467" t="s">
        <v>3684</v>
      </c>
      <c r="C245" s="3474"/>
      <c r="D245" s="3463">
        <v>77.709999999999994</v>
      </c>
      <c r="E245" s="3470">
        <v>41.75</v>
      </c>
      <c r="F245" s="3463">
        <v>35.96</v>
      </c>
      <c r="G245" s="3471"/>
    </row>
    <row r="246" spans="2:7">
      <c r="B246" s="3467" t="s">
        <v>3685</v>
      </c>
      <c r="C246" s="3474"/>
      <c r="D246" s="3463">
        <v>165.16</v>
      </c>
      <c r="E246" s="3470">
        <v>88.73</v>
      </c>
      <c r="F246" s="3463">
        <v>76.430000000000007</v>
      </c>
      <c r="G246" s="3471"/>
    </row>
    <row r="247" spans="2:7">
      <c r="B247" s="3467" t="s">
        <v>3686</v>
      </c>
      <c r="C247" s="3474"/>
      <c r="D247" s="3463">
        <v>65.930000000000007</v>
      </c>
      <c r="E247" s="3470">
        <v>35.42</v>
      </c>
      <c r="F247" s="3463">
        <v>30.51</v>
      </c>
      <c r="G247" s="3471"/>
    </row>
    <row r="248" spans="2:7">
      <c r="B248" s="3467" t="s">
        <v>3687</v>
      </c>
      <c r="C248" s="3474"/>
      <c r="D248" s="3463">
        <v>112.84</v>
      </c>
      <c r="E248" s="3470">
        <v>60.62</v>
      </c>
      <c r="F248" s="3463">
        <v>52.22</v>
      </c>
      <c r="G248" s="3471"/>
    </row>
    <row r="249" spans="2:7">
      <c r="B249" s="3467" t="s">
        <v>3688</v>
      </c>
      <c r="C249" s="3474"/>
      <c r="D249" s="3463">
        <v>99.34</v>
      </c>
      <c r="E249" s="3470">
        <v>53.37</v>
      </c>
      <c r="F249" s="3463">
        <v>45.97</v>
      </c>
      <c r="G249" s="3471"/>
    </row>
    <row r="250" spans="2:7">
      <c r="B250" s="3467" t="s">
        <v>3689</v>
      </c>
      <c r="C250" s="3474"/>
      <c r="D250" s="3463">
        <v>56.08</v>
      </c>
      <c r="E250" s="3470">
        <v>30.13</v>
      </c>
      <c r="F250" s="3463">
        <v>25.95</v>
      </c>
      <c r="G250" s="3471"/>
    </row>
    <row r="251" spans="2:7">
      <c r="B251" s="3467" t="s">
        <v>3690</v>
      </c>
      <c r="C251" s="3474"/>
      <c r="D251" s="3463">
        <v>114.59</v>
      </c>
      <c r="E251" s="3470">
        <v>61.56</v>
      </c>
      <c r="F251" s="3463">
        <v>53.03</v>
      </c>
      <c r="G251" s="3471"/>
    </row>
    <row r="252" spans="2:7">
      <c r="B252" s="3467" t="s">
        <v>3691</v>
      </c>
      <c r="C252" s="3474"/>
      <c r="D252" s="3463">
        <v>159.08000000000001</v>
      </c>
      <c r="E252" s="3470">
        <v>85.46</v>
      </c>
      <c r="F252" s="3463">
        <v>73.62</v>
      </c>
      <c r="G252" s="3471"/>
    </row>
    <row r="253" spans="2:7">
      <c r="B253" s="3467" t="s">
        <v>3692</v>
      </c>
      <c r="C253" s="3474"/>
      <c r="D253" s="3463">
        <v>56.68</v>
      </c>
      <c r="E253" s="3470">
        <v>30.45</v>
      </c>
      <c r="F253" s="3463">
        <v>26.23</v>
      </c>
      <c r="G253" s="3471"/>
    </row>
    <row r="254" spans="2:7">
      <c r="B254" s="3467" t="s">
        <v>3693</v>
      </c>
      <c r="C254" s="3474"/>
      <c r="D254" s="3463">
        <v>56.01</v>
      </c>
      <c r="E254" s="3470">
        <v>30.09</v>
      </c>
      <c r="F254" s="3463">
        <v>25.92</v>
      </c>
      <c r="G254" s="3471"/>
    </row>
    <row r="255" spans="2:7" hidden="1">
      <c r="B255" s="3473" t="s">
        <v>3694</v>
      </c>
      <c r="C255" s="3457" t="s">
        <v>3492</v>
      </c>
      <c r="D255" s="3463">
        <v>56.01</v>
      </c>
      <c r="E255" s="3470">
        <v>30.09</v>
      </c>
      <c r="F255" s="3463">
        <v>25.92</v>
      </c>
      <c r="G255" s="3471"/>
    </row>
    <row r="256" spans="2:7" hidden="1">
      <c r="B256" s="3473" t="s">
        <v>3695</v>
      </c>
      <c r="C256" s="3457" t="s">
        <v>3492</v>
      </c>
      <c r="D256" s="3463">
        <v>56.83</v>
      </c>
      <c r="E256" s="3470">
        <v>30.53</v>
      </c>
      <c r="F256" s="3463">
        <v>26.3</v>
      </c>
      <c r="G256" s="3471"/>
    </row>
    <row r="257" spans="2:7">
      <c r="B257" s="3467" t="s">
        <v>3696</v>
      </c>
      <c r="C257" s="3457"/>
      <c r="D257" s="3463">
        <v>48.68</v>
      </c>
      <c r="E257" s="3470">
        <v>26.15</v>
      </c>
      <c r="F257" s="3463">
        <v>22.53</v>
      </c>
      <c r="G257" s="3471"/>
    </row>
    <row r="258" spans="2:7">
      <c r="B258" s="3467" t="s">
        <v>3697</v>
      </c>
      <c r="C258" s="3457"/>
      <c r="D258" s="3463">
        <v>167.21</v>
      </c>
      <c r="E258" s="3470">
        <v>89.83</v>
      </c>
      <c r="F258" s="3463">
        <v>77.38</v>
      </c>
      <c r="G258" s="3471"/>
    </row>
    <row r="259" spans="2:7">
      <c r="B259" s="3467" t="s">
        <v>3698</v>
      </c>
      <c r="C259" s="3457"/>
      <c r="D259" s="3463">
        <v>201.57</v>
      </c>
      <c r="E259" s="3470">
        <v>108.29</v>
      </c>
      <c r="F259" s="3463">
        <v>93.28</v>
      </c>
      <c r="G259" s="3471"/>
    </row>
    <row r="260" spans="2:7">
      <c r="B260" s="3467" t="s">
        <v>3699</v>
      </c>
      <c r="C260" s="3457"/>
      <c r="D260" s="3463">
        <v>174.86</v>
      </c>
      <c r="E260" s="3470">
        <v>93.94</v>
      </c>
      <c r="F260" s="3463">
        <v>80.92</v>
      </c>
      <c r="G260" s="3471"/>
    </row>
    <row r="261" spans="2:7" hidden="1">
      <c r="B261" s="3473" t="s">
        <v>3700</v>
      </c>
      <c r="C261" s="3457" t="s">
        <v>3492</v>
      </c>
      <c r="D261" s="3463">
        <v>53.22</v>
      </c>
      <c r="E261" s="3470">
        <v>28.59</v>
      </c>
      <c r="F261" s="3463">
        <v>24.63</v>
      </c>
      <c r="G261" s="3471"/>
    </row>
    <row r="262" spans="2:7" hidden="1">
      <c r="B262" s="3473" t="s">
        <v>3701</v>
      </c>
      <c r="C262" s="3457" t="s">
        <v>3492</v>
      </c>
      <c r="D262" s="3463">
        <v>22.78</v>
      </c>
      <c r="E262" s="3470">
        <v>12.24</v>
      </c>
      <c r="F262" s="3463">
        <v>10.54</v>
      </c>
      <c r="G262" s="3471"/>
    </row>
    <row r="263" spans="2:7" hidden="1">
      <c r="B263" s="3473" t="s">
        <v>3702</v>
      </c>
      <c r="C263" s="3457" t="s">
        <v>3492</v>
      </c>
      <c r="D263" s="3463">
        <v>21</v>
      </c>
      <c r="E263" s="3470">
        <v>11.28</v>
      </c>
      <c r="F263" s="3463">
        <v>9.7200000000000006</v>
      </c>
      <c r="G263" s="3471"/>
    </row>
    <row r="264" spans="2:7" hidden="1">
      <c r="B264" s="3473" t="s">
        <v>3703</v>
      </c>
      <c r="C264" s="3457" t="s">
        <v>3492</v>
      </c>
      <c r="D264" s="3463">
        <v>21.39</v>
      </c>
      <c r="E264" s="3470">
        <v>11.49</v>
      </c>
      <c r="F264" s="3463">
        <v>9.9</v>
      </c>
      <c r="G264" s="3471"/>
    </row>
    <row r="265" spans="2:7">
      <c r="B265" s="3467" t="s">
        <v>3704</v>
      </c>
      <c r="C265" s="3457"/>
      <c r="D265" s="3463">
        <v>63.96</v>
      </c>
      <c r="E265" s="3470">
        <v>34.36</v>
      </c>
      <c r="F265" s="3463">
        <v>29.6</v>
      </c>
      <c r="G265" s="3471"/>
    </row>
    <row r="266" spans="2:7">
      <c r="B266" s="3467" t="s">
        <v>3705</v>
      </c>
      <c r="C266" s="3457"/>
      <c r="D266" s="3463">
        <v>82.4</v>
      </c>
      <c r="E266" s="3470">
        <v>44.27</v>
      </c>
      <c r="F266" s="3463">
        <v>38.130000000000003</v>
      </c>
      <c r="G266" s="3471"/>
    </row>
    <row r="267" spans="2:7">
      <c r="B267" s="3467" t="s">
        <v>3706</v>
      </c>
      <c r="C267" s="3457"/>
      <c r="D267" s="3463">
        <v>87.32</v>
      </c>
      <c r="E267" s="3470">
        <v>46.91</v>
      </c>
      <c r="F267" s="3463">
        <v>40.409999999999997</v>
      </c>
      <c r="G267" s="3471"/>
    </row>
    <row r="268" spans="2:7">
      <c r="B268" s="3467" t="s">
        <v>3707</v>
      </c>
      <c r="C268" s="3457"/>
      <c r="D268" s="3463">
        <v>41.81</v>
      </c>
      <c r="E268" s="3470">
        <v>22.46</v>
      </c>
      <c r="F268" s="3463">
        <v>19.350000000000001</v>
      </c>
      <c r="G268" s="3471"/>
    </row>
    <row r="269" spans="2:7">
      <c r="B269" s="3467" t="s">
        <v>3708</v>
      </c>
      <c r="C269" s="3457"/>
      <c r="D269" s="3463">
        <v>80.790000000000006</v>
      </c>
      <c r="E269" s="3470">
        <v>43.4</v>
      </c>
      <c r="F269" s="3463">
        <v>37.39</v>
      </c>
      <c r="G269" s="3471"/>
    </row>
    <row r="270" spans="2:7">
      <c r="B270" s="3467" t="s">
        <v>3709</v>
      </c>
      <c r="C270" s="3457"/>
      <c r="D270" s="3463">
        <v>84.45</v>
      </c>
      <c r="E270" s="3470">
        <v>45.37</v>
      </c>
      <c r="F270" s="3463">
        <v>39.08</v>
      </c>
      <c r="G270" s="3471"/>
    </row>
    <row r="271" spans="2:7" hidden="1">
      <c r="B271" s="3473" t="s">
        <v>3710</v>
      </c>
      <c r="C271" s="3457" t="s">
        <v>3556</v>
      </c>
      <c r="D271" s="3463">
        <v>40.65</v>
      </c>
      <c r="E271" s="3470">
        <v>21.84</v>
      </c>
      <c r="F271" s="3463">
        <v>18.809999999999999</v>
      </c>
      <c r="G271" s="3471"/>
    </row>
    <row r="272" spans="2:7" hidden="1">
      <c r="B272" s="3473" t="s">
        <v>3711</v>
      </c>
      <c r="C272" s="3457" t="s">
        <v>3556</v>
      </c>
      <c r="D272" s="3463">
        <v>80.25</v>
      </c>
      <c r="E272" s="3470">
        <v>43.11</v>
      </c>
      <c r="F272" s="3463">
        <v>37.14</v>
      </c>
      <c r="G272" s="3471"/>
    </row>
    <row r="273" spans="2:7" hidden="1">
      <c r="B273" s="3473" t="s">
        <v>3712</v>
      </c>
      <c r="C273" s="3457" t="s">
        <v>3556</v>
      </c>
      <c r="D273" s="3463">
        <v>40.78</v>
      </c>
      <c r="E273" s="3470">
        <v>21.91</v>
      </c>
      <c r="F273" s="3463">
        <v>18.87</v>
      </c>
      <c r="G273" s="3471"/>
    </row>
    <row r="274" spans="2:7" hidden="1">
      <c r="B274" s="3473" t="s">
        <v>3713</v>
      </c>
      <c r="C274" s="3457" t="s">
        <v>3556</v>
      </c>
      <c r="D274" s="3463">
        <v>40.65</v>
      </c>
      <c r="E274" s="3470">
        <v>21.84</v>
      </c>
      <c r="F274" s="3463">
        <v>18.809999999999999</v>
      </c>
      <c r="G274" s="3471"/>
    </row>
    <row r="275" spans="2:7">
      <c r="B275" s="3467" t="s">
        <v>3714</v>
      </c>
      <c r="C275" s="3457"/>
      <c r="D275" s="3463">
        <v>83.2</v>
      </c>
      <c r="E275" s="3470">
        <v>44.7</v>
      </c>
      <c r="F275" s="3463">
        <v>38.5</v>
      </c>
      <c r="G275" s="3471"/>
    </row>
    <row r="276" spans="2:7">
      <c r="B276" s="3467" t="s">
        <v>3715</v>
      </c>
      <c r="C276" s="3457"/>
      <c r="D276" s="3463">
        <v>70.400000000000006</v>
      </c>
      <c r="E276" s="3470">
        <v>37.82</v>
      </c>
      <c r="F276" s="3463">
        <v>32.58</v>
      </c>
      <c r="G276" s="3471"/>
    </row>
    <row r="277" spans="2:7" hidden="1">
      <c r="B277" s="3473" t="s">
        <v>3716</v>
      </c>
      <c r="C277" s="3457" t="s">
        <v>3556</v>
      </c>
      <c r="D277" s="3463">
        <v>71.680000000000007</v>
      </c>
      <c r="E277" s="3470">
        <v>38.51</v>
      </c>
      <c r="F277" s="3463">
        <v>33.17</v>
      </c>
      <c r="G277" s="3471"/>
    </row>
    <row r="278" spans="2:7" hidden="1">
      <c r="B278" s="3473" t="s">
        <v>3717</v>
      </c>
      <c r="C278" s="3457" t="s">
        <v>3556</v>
      </c>
      <c r="D278" s="3463">
        <v>71.680000000000007</v>
      </c>
      <c r="E278" s="3470">
        <v>38.51</v>
      </c>
      <c r="F278" s="3463">
        <v>33.17</v>
      </c>
      <c r="G278" s="3471"/>
    </row>
    <row r="279" spans="2:7" hidden="1">
      <c r="B279" s="3473" t="s">
        <v>3718</v>
      </c>
      <c r="C279" s="3457" t="s">
        <v>3556</v>
      </c>
      <c r="D279" s="3463">
        <v>71.680000000000007</v>
      </c>
      <c r="E279" s="3470">
        <v>38.51</v>
      </c>
      <c r="F279" s="3463">
        <v>33.17</v>
      </c>
      <c r="G279" s="3471"/>
    </row>
    <row r="280" spans="2:7" hidden="1">
      <c r="B280" s="3473" t="s">
        <v>3719</v>
      </c>
      <c r="C280" s="3457" t="s">
        <v>3556</v>
      </c>
      <c r="D280" s="3463">
        <v>71.680000000000007</v>
      </c>
      <c r="E280" s="3470">
        <v>38.51</v>
      </c>
      <c r="F280" s="3463">
        <v>33.17</v>
      </c>
      <c r="G280" s="3471"/>
    </row>
    <row r="281" spans="2:7" hidden="1">
      <c r="B281" s="3473" t="s">
        <v>3720</v>
      </c>
      <c r="C281" s="3457" t="s">
        <v>3556</v>
      </c>
      <c r="D281" s="3463">
        <v>71.680000000000007</v>
      </c>
      <c r="E281" s="3470">
        <v>38.51</v>
      </c>
      <c r="F281" s="3463">
        <v>33.17</v>
      </c>
      <c r="G281" s="3471"/>
    </row>
    <row r="282" spans="2:7" hidden="1">
      <c r="B282" s="3473" t="s">
        <v>3721</v>
      </c>
      <c r="C282" s="3457" t="s">
        <v>3556</v>
      </c>
      <c r="D282" s="3463">
        <v>71.680000000000007</v>
      </c>
      <c r="E282" s="3470">
        <v>38.51</v>
      </c>
      <c r="F282" s="3463">
        <v>33.17</v>
      </c>
      <c r="G282" s="3471"/>
    </row>
    <row r="283" spans="2:7" hidden="1">
      <c r="B283" s="3473" t="s">
        <v>3722</v>
      </c>
      <c r="C283" s="3457" t="s">
        <v>3556</v>
      </c>
      <c r="D283" s="3463">
        <v>70.680000000000007</v>
      </c>
      <c r="E283" s="3470">
        <v>37.97</v>
      </c>
      <c r="F283" s="3463">
        <v>32.71</v>
      </c>
      <c r="G283" s="3471"/>
    </row>
    <row r="284" spans="2:7">
      <c r="B284" s="3467" t="s">
        <v>3723</v>
      </c>
      <c r="C284" s="3457"/>
      <c r="D284" s="3463">
        <v>88.64</v>
      </c>
      <c r="E284" s="3470">
        <v>47.62</v>
      </c>
      <c r="F284" s="3463">
        <v>41.02</v>
      </c>
      <c r="G284" s="3471"/>
    </row>
    <row r="285" spans="2:7">
      <c r="B285" s="3467" t="s">
        <v>3724</v>
      </c>
      <c r="C285" s="3457"/>
      <c r="D285" s="3463">
        <v>42.59</v>
      </c>
      <c r="E285" s="3470">
        <v>22.88</v>
      </c>
      <c r="F285" s="3463">
        <v>19.71</v>
      </c>
      <c r="G285" s="3471"/>
    </row>
    <row r="286" spans="2:7">
      <c r="B286" s="3467" t="s">
        <v>3725</v>
      </c>
      <c r="C286" s="3457"/>
      <c r="D286" s="3463">
        <v>80.900000000000006</v>
      </c>
      <c r="E286" s="3470">
        <v>43.46</v>
      </c>
      <c r="F286" s="3463">
        <v>37.44</v>
      </c>
      <c r="G286" s="3471"/>
    </row>
    <row r="287" spans="2:7" hidden="1">
      <c r="B287" s="3473" t="s">
        <v>3726</v>
      </c>
      <c r="C287" s="3457" t="s">
        <v>3492</v>
      </c>
      <c r="D287" s="3463">
        <v>41.49</v>
      </c>
      <c r="E287" s="3470">
        <v>22.29</v>
      </c>
      <c r="F287" s="3463">
        <v>19.2</v>
      </c>
      <c r="G287" s="3471"/>
    </row>
    <row r="288" spans="2:7" hidden="1">
      <c r="B288" s="3473" t="s">
        <v>3727</v>
      </c>
      <c r="C288" s="3457" t="s">
        <v>3492</v>
      </c>
      <c r="D288" s="3463">
        <v>66.62</v>
      </c>
      <c r="E288" s="3470">
        <v>35.79</v>
      </c>
      <c r="F288" s="3463">
        <v>30.83</v>
      </c>
      <c r="G288" s="3471"/>
    </row>
    <row r="289" spans="2:7">
      <c r="B289" s="3467" t="s">
        <v>3728</v>
      </c>
      <c r="C289" s="3474"/>
      <c r="D289" s="3463">
        <v>101.48</v>
      </c>
      <c r="E289" s="3470">
        <v>54.52</v>
      </c>
      <c r="F289" s="3463">
        <v>46.96</v>
      </c>
      <c r="G289" s="3471"/>
    </row>
    <row r="290" spans="2:7">
      <c r="B290" s="3467" t="s">
        <v>3729</v>
      </c>
      <c r="C290" s="3474"/>
      <c r="D290" s="3463">
        <v>143.85</v>
      </c>
      <c r="E290" s="3470">
        <v>77.28</v>
      </c>
      <c r="F290" s="3463">
        <v>66.569999999999993</v>
      </c>
      <c r="G290" s="3471"/>
    </row>
    <row r="291" spans="2:7">
      <c r="B291" s="3467" t="s">
        <v>3730</v>
      </c>
      <c r="C291" s="3474"/>
      <c r="D291" s="3463">
        <v>147.37</v>
      </c>
      <c r="E291" s="3470">
        <v>79.17</v>
      </c>
      <c r="F291" s="3463">
        <v>68.2</v>
      </c>
      <c r="G291" s="3471"/>
    </row>
    <row r="292" spans="2:7">
      <c r="B292" s="3467" t="s">
        <v>3731</v>
      </c>
      <c r="C292" s="3474"/>
      <c r="D292" s="3463">
        <v>137.87</v>
      </c>
      <c r="E292" s="3470">
        <v>74.069999999999993</v>
      </c>
      <c r="F292" s="3463">
        <v>63.8</v>
      </c>
      <c r="G292" s="3471"/>
    </row>
    <row r="293" spans="2:7">
      <c r="B293" s="3467" t="s">
        <v>3732</v>
      </c>
      <c r="C293" s="3474"/>
      <c r="D293" s="3463">
        <v>94.88</v>
      </c>
      <c r="E293" s="3470">
        <v>50.97</v>
      </c>
      <c r="F293" s="3463">
        <v>43.91</v>
      </c>
      <c r="G293" s="3471"/>
    </row>
    <row r="294" spans="2:7">
      <c r="B294" s="3467" t="s">
        <v>3733</v>
      </c>
      <c r="C294" s="3474"/>
      <c r="D294" s="3463">
        <v>223.44</v>
      </c>
      <c r="E294" s="3470">
        <v>120.04</v>
      </c>
      <c r="F294" s="3463">
        <v>103.4</v>
      </c>
      <c r="G294" s="3471"/>
    </row>
    <row r="295" spans="2:7">
      <c r="B295" s="3467" t="s">
        <v>3734</v>
      </c>
      <c r="C295" s="3474"/>
      <c r="D295" s="3463">
        <v>42.37</v>
      </c>
      <c r="E295" s="3470">
        <v>22.76</v>
      </c>
      <c r="F295" s="3463">
        <v>19.61</v>
      </c>
      <c r="G295" s="3471"/>
    </row>
    <row r="296" spans="2:7">
      <c r="B296" s="3467" t="s">
        <v>3735</v>
      </c>
      <c r="C296" s="3474"/>
      <c r="D296" s="3463">
        <v>37.15</v>
      </c>
      <c r="E296" s="3470">
        <v>19.96</v>
      </c>
      <c r="F296" s="3463">
        <v>17.190000000000001</v>
      </c>
      <c r="G296" s="3471"/>
    </row>
    <row r="297" spans="2:7">
      <c r="B297" s="3467" t="s">
        <v>3736</v>
      </c>
      <c r="C297" s="3474"/>
      <c r="D297" s="3463">
        <v>126.23</v>
      </c>
      <c r="E297" s="3470">
        <v>74.31</v>
      </c>
      <c r="F297" s="3463">
        <v>51.92</v>
      </c>
      <c r="G297" s="3471"/>
    </row>
    <row r="298" spans="2:7">
      <c r="B298" s="3467" t="s">
        <v>3737</v>
      </c>
      <c r="C298" s="3474"/>
      <c r="D298" s="3463">
        <v>90.41</v>
      </c>
      <c r="E298" s="3470">
        <v>53.22</v>
      </c>
      <c r="F298" s="3463">
        <v>37.19</v>
      </c>
      <c r="G298" s="3471"/>
    </row>
    <row r="299" spans="2:7">
      <c r="B299" s="3467" t="s">
        <v>3738</v>
      </c>
      <c r="C299" s="3474"/>
      <c r="D299" s="3463">
        <v>57.82</v>
      </c>
      <c r="E299" s="3470">
        <v>34.04</v>
      </c>
      <c r="F299" s="3463">
        <v>23.78</v>
      </c>
      <c r="G299" s="3471"/>
    </row>
    <row r="300" spans="2:7">
      <c r="B300" s="3467" t="s">
        <v>3739</v>
      </c>
      <c r="C300" s="3474"/>
      <c r="D300" s="3463">
        <v>114.32</v>
      </c>
      <c r="E300" s="3470">
        <v>67.3</v>
      </c>
      <c r="F300" s="3463">
        <v>47.02</v>
      </c>
      <c r="G300" s="3471"/>
    </row>
    <row r="301" spans="2:7">
      <c r="B301" s="3467" t="s">
        <v>3740</v>
      </c>
      <c r="C301" s="3474"/>
      <c r="D301" s="3463">
        <v>85.6</v>
      </c>
      <c r="E301" s="3470">
        <v>50.39</v>
      </c>
      <c r="F301" s="3463">
        <v>35.21</v>
      </c>
      <c r="G301" s="3471"/>
    </row>
    <row r="302" spans="2:7">
      <c r="B302" s="3467" t="s">
        <v>3741</v>
      </c>
      <c r="C302" s="3474"/>
      <c r="D302" s="3463">
        <v>141.22999999999999</v>
      </c>
      <c r="E302" s="3470">
        <v>83.14</v>
      </c>
      <c r="F302" s="3463">
        <v>58.09</v>
      </c>
      <c r="G302" s="3471"/>
    </row>
    <row r="303" spans="2:7">
      <c r="B303" s="3467" t="s">
        <v>3742</v>
      </c>
      <c r="C303" s="3474"/>
      <c r="D303" s="3463">
        <v>51.1</v>
      </c>
      <c r="E303" s="3470">
        <v>30.08</v>
      </c>
      <c r="F303" s="3463">
        <v>21.02</v>
      </c>
      <c r="G303" s="3471"/>
    </row>
    <row r="304" spans="2:7">
      <c r="B304" s="3467" t="s">
        <v>3743</v>
      </c>
      <c r="C304" s="3474"/>
      <c r="D304" s="3463">
        <v>67.069999999999993</v>
      </c>
      <c r="E304" s="3470">
        <v>39.479999999999997</v>
      </c>
      <c r="F304" s="3463">
        <v>27.59</v>
      </c>
      <c r="G304" s="3471"/>
    </row>
    <row r="305" spans="2:7">
      <c r="B305" s="3467" t="s">
        <v>3744</v>
      </c>
      <c r="C305" s="3474"/>
      <c r="D305" s="3463">
        <v>68.36</v>
      </c>
      <c r="E305" s="3470">
        <v>40.24</v>
      </c>
      <c r="F305" s="3463">
        <v>28.12</v>
      </c>
      <c r="G305" s="3471"/>
    </row>
    <row r="306" spans="2:7" hidden="1">
      <c r="B306" s="3473" t="s">
        <v>3745</v>
      </c>
      <c r="C306" s="3457" t="s">
        <v>3492</v>
      </c>
      <c r="D306" s="3463">
        <v>45.71</v>
      </c>
      <c r="E306" s="3470">
        <v>26.91</v>
      </c>
      <c r="F306" s="3463">
        <v>18.8</v>
      </c>
      <c r="G306" s="3471"/>
    </row>
    <row r="307" spans="2:7" hidden="1">
      <c r="B307" s="3473" t="s">
        <v>3746</v>
      </c>
      <c r="C307" s="3457" t="s">
        <v>3492</v>
      </c>
      <c r="D307" s="3463">
        <v>43.93</v>
      </c>
      <c r="E307" s="3470">
        <v>25.86</v>
      </c>
      <c r="F307" s="3463">
        <v>18.07</v>
      </c>
      <c r="G307" s="3471"/>
    </row>
    <row r="308" spans="2:7">
      <c r="B308" s="3467" t="s">
        <v>3747</v>
      </c>
      <c r="C308" s="3457"/>
      <c r="D308" s="3463">
        <v>82.42</v>
      </c>
      <c r="E308" s="3470">
        <v>48.52</v>
      </c>
      <c r="F308" s="3463">
        <v>33.9</v>
      </c>
      <c r="G308" s="3471"/>
    </row>
    <row r="309" spans="2:7" hidden="1">
      <c r="B309" s="3473" t="s">
        <v>3748</v>
      </c>
      <c r="C309" s="3457" t="s">
        <v>3556</v>
      </c>
      <c r="D309" s="3463">
        <v>48.5</v>
      </c>
      <c r="E309" s="3470">
        <v>28.55</v>
      </c>
      <c r="F309" s="3463">
        <v>19.95</v>
      </c>
      <c r="G309" s="3471"/>
    </row>
    <row r="310" spans="2:7" hidden="1">
      <c r="B310" s="3473" t="s">
        <v>3749</v>
      </c>
      <c r="C310" s="3457" t="s">
        <v>3556</v>
      </c>
      <c r="D310" s="3463">
        <v>67</v>
      </c>
      <c r="E310" s="3470">
        <v>39.44</v>
      </c>
      <c r="F310" s="3463">
        <v>27.56</v>
      </c>
      <c r="G310" s="3471"/>
    </row>
    <row r="311" spans="2:7" hidden="1">
      <c r="B311" s="3473" t="s">
        <v>3750</v>
      </c>
      <c r="C311" s="3457" t="s">
        <v>3556</v>
      </c>
      <c r="D311" s="3463">
        <v>49.38</v>
      </c>
      <c r="E311" s="3470">
        <v>29.07</v>
      </c>
      <c r="F311" s="3463">
        <v>20.309999999999999</v>
      </c>
      <c r="G311" s="3471"/>
    </row>
    <row r="312" spans="2:7" hidden="1">
      <c r="B312" s="3473" t="s">
        <v>3751</v>
      </c>
      <c r="C312" s="3457" t="s">
        <v>3556</v>
      </c>
      <c r="D312" s="3463">
        <v>56.69</v>
      </c>
      <c r="E312" s="3470">
        <v>33.369999999999997</v>
      </c>
      <c r="F312" s="3463">
        <v>23.32</v>
      </c>
      <c r="G312" s="3471"/>
    </row>
    <row r="313" spans="2:7" hidden="1">
      <c r="B313" s="3473" t="s">
        <v>3752</v>
      </c>
      <c r="C313" s="3457" t="s">
        <v>3556</v>
      </c>
      <c r="D313" s="3463">
        <v>56.81</v>
      </c>
      <c r="E313" s="3470">
        <v>33.44</v>
      </c>
      <c r="F313" s="3463">
        <v>23.37</v>
      </c>
      <c r="G313" s="3471"/>
    </row>
    <row r="314" spans="2:7">
      <c r="B314" s="3467" t="s">
        <v>3753</v>
      </c>
      <c r="C314" s="3457"/>
      <c r="D314" s="3463">
        <v>68.489999999999995</v>
      </c>
      <c r="E314" s="3470">
        <v>40.32</v>
      </c>
      <c r="F314" s="3463">
        <v>28.17</v>
      </c>
      <c r="G314" s="3471"/>
    </row>
    <row r="315" spans="2:7">
      <c r="B315" s="3467" t="s">
        <v>3754</v>
      </c>
      <c r="C315" s="3457"/>
      <c r="D315" s="3463">
        <v>61.95</v>
      </c>
      <c r="E315" s="3470">
        <v>36.47</v>
      </c>
      <c r="F315" s="3463">
        <v>25.48</v>
      </c>
      <c r="G315" s="3471"/>
    </row>
    <row r="316" spans="2:7">
      <c r="B316" s="3467" t="s">
        <v>3755</v>
      </c>
      <c r="C316" s="3457"/>
      <c r="D316" s="3463">
        <v>26.16</v>
      </c>
      <c r="E316" s="3470">
        <v>15.4</v>
      </c>
      <c r="F316" s="3463">
        <v>10.76</v>
      </c>
      <c r="G316" s="3471"/>
    </row>
    <row r="317" spans="2:7">
      <c r="B317" s="3467" t="s">
        <v>3756</v>
      </c>
      <c r="C317" s="3457"/>
      <c r="D317" s="3463">
        <v>108.94</v>
      </c>
      <c r="E317" s="3470">
        <v>64.13</v>
      </c>
      <c r="F317" s="3463">
        <v>44.81</v>
      </c>
      <c r="G317" s="3471"/>
    </row>
    <row r="318" spans="2:7">
      <c r="B318" s="3467" t="s">
        <v>3757</v>
      </c>
      <c r="C318" s="3457"/>
      <c r="D318" s="3463">
        <v>74.930000000000007</v>
      </c>
      <c r="E318" s="3470">
        <v>44.11</v>
      </c>
      <c r="F318" s="3463">
        <v>30.82</v>
      </c>
      <c r="G318" s="3471"/>
    </row>
    <row r="319" spans="2:7" hidden="1">
      <c r="B319" s="3473" t="s">
        <v>3758</v>
      </c>
      <c r="C319" s="3457" t="s">
        <v>3556</v>
      </c>
      <c r="D319" s="3463">
        <v>43.95</v>
      </c>
      <c r="E319" s="3470">
        <v>25.87</v>
      </c>
      <c r="F319" s="3463">
        <v>18.079999999999998</v>
      </c>
      <c r="G319" s="3471"/>
    </row>
    <row r="320" spans="2:7" hidden="1">
      <c r="B320" s="3473" t="s">
        <v>3759</v>
      </c>
      <c r="C320" s="3457" t="s">
        <v>3556</v>
      </c>
      <c r="D320" s="3463">
        <v>40.31</v>
      </c>
      <c r="E320" s="3470">
        <v>23.73</v>
      </c>
      <c r="F320" s="3463">
        <v>16.579999999999998</v>
      </c>
      <c r="G320" s="3471"/>
    </row>
    <row r="321" spans="2:7" hidden="1">
      <c r="B321" s="3473" t="s">
        <v>3760</v>
      </c>
      <c r="C321" s="3457" t="s">
        <v>3761</v>
      </c>
      <c r="D321" s="3463">
        <v>33.74</v>
      </c>
      <c r="E321" s="3470">
        <v>19.86</v>
      </c>
      <c r="F321" s="3463">
        <v>13.88</v>
      </c>
      <c r="G321" s="3471"/>
    </row>
    <row r="322" spans="2:7">
      <c r="B322" s="3467" t="s">
        <v>3762</v>
      </c>
      <c r="C322" s="3457"/>
      <c r="D322" s="3463">
        <v>75.13</v>
      </c>
      <c r="E322" s="3470">
        <v>44.23</v>
      </c>
      <c r="F322" s="3463">
        <v>30.9</v>
      </c>
      <c r="G322" s="3471"/>
    </row>
    <row r="323" spans="2:7">
      <c r="B323" s="3467" t="s">
        <v>3763</v>
      </c>
      <c r="C323" s="3457"/>
      <c r="D323" s="3463">
        <v>74.150000000000006</v>
      </c>
      <c r="E323" s="3470">
        <v>43.65</v>
      </c>
      <c r="F323" s="3463">
        <v>30.5</v>
      </c>
      <c r="G323" s="3471"/>
    </row>
    <row r="324" spans="2:7">
      <c r="B324" s="3467" t="s">
        <v>3764</v>
      </c>
      <c r="C324" s="3457"/>
      <c r="D324" s="3463">
        <v>73.760000000000005</v>
      </c>
      <c r="E324" s="3470">
        <v>43.42</v>
      </c>
      <c r="F324" s="3463">
        <v>30.34</v>
      </c>
      <c r="G324" s="3471"/>
    </row>
    <row r="325" spans="2:7">
      <c r="B325" s="3467" t="s">
        <v>3765</v>
      </c>
      <c r="C325" s="3457"/>
      <c r="D325" s="3463">
        <v>134.74</v>
      </c>
      <c r="E325" s="3470">
        <v>79.319999999999993</v>
      </c>
      <c r="F325" s="3463">
        <v>55.42</v>
      </c>
      <c r="G325" s="3471"/>
    </row>
    <row r="326" spans="2:7">
      <c r="B326" s="3467" t="s">
        <v>3766</v>
      </c>
      <c r="C326" s="3457"/>
      <c r="D326" s="3463">
        <v>71.739999999999995</v>
      </c>
      <c r="E326" s="3470">
        <v>42.23</v>
      </c>
      <c r="F326" s="3463">
        <v>29.51</v>
      </c>
      <c r="G326" s="3471"/>
    </row>
    <row r="327" spans="2:7">
      <c r="B327" s="3467" t="s">
        <v>3767</v>
      </c>
      <c r="C327" s="3457"/>
      <c r="D327" s="3463">
        <v>60.47</v>
      </c>
      <c r="E327" s="3470">
        <v>35.6</v>
      </c>
      <c r="F327" s="3463">
        <v>24.87</v>
      </c>
      <c r="G327" s="3471"/>
    </row>
    <row r="328" spans="2:7">
      <c r="B328" s="3467" t="s">
        <v>3768</v>
      </c>
      <c r="C328" s="3457"/>
      <c r="D328" s="3463">
        <v>150.61000000000001</v>
      </c>
      <c r="E328" s="3470">
        <v>88.66</v>
      </c>
      <c r="F328" s="3463">
        <v>61.95</v>
      </c>
      <c r="G328" s="3471"/>
    </row>
    <row r="329" spans="2:7">
      <c r="B329" s="3467" t="s">
        <v>3769</v>
      </c>
      <c r="C329" s="3457"/>
      <c r="D329" s="3463">
        <v>103.38</v>
      </c>
      <c r="E329" s="3470">
        <v>60.86</v>
      </c>
      <c r="F329" s="3463">
        <v>42.52</v>
      </c>
      <c r="G329" s="3471"/>
    </row>
    <row r="330" spans="2:7">
      <c r="B330" s="3467" t="s">
        <v>3770</v>
      </c>
      <c r="C330" s="3457"/>
      <c r="D330" s="3463">
        <v>90.83</v>
      </c>
      <c r="E330" s="3470">
        <v>53.47</v>
      </c>
      <c r="F330" s="3463">
        <v>37.36</v>
      </c>
      <c r="G330" s="3471"/>
    </row>
    <row r="331" spans="2:7">
      <c r="B331" s="3467" t="s">
        <v>3771</v>
      </c>
      <c r="C331" s="3457"/>
      <c r="D331" s="3463">
        <v>51.37</v>
      </c>
      <c r="E331" s="3470">
        <v>30.24</v>
      </c>
      <c r="F331" s="3463">
        <v>21.13</v>
      </c>
      <c r="G331" s="3471"/>
    </row>
    <row r="332" spans="2:7">
      <c r="B332" s="3467" t="s">
        <v>3772</v>
      </c>
      <c r="C332" s="3457"/>
      <c r="D332" s="3463">
        <v>105.44</v>
      </c>
      <c r="E332" s="3470">
        <v>62.07</v>
      </c>
      <c r="F332" s="3463">
        <v>43.37</v>
      </c>
      <c r="G332" s="3471"/>
    </row>
    <row r="333" spans="2:7">
      <c r="B333" s="3467" t="s">
        <v>3773</v>
      </c>
      <c r="C333" s="3457"/>
      <c r="D333" s="3463">
        <v>146.63</v>
      </c>
      <c r="E333" s="3470">
        <v>86.32</v>
      </c>
      <c r="F333" s="3463">
        <v>60.31</v>
      </c>
      <c r="G333" s="3471"/>
    </row>
    <row r="334" spans="2:7" hidden="1">
      <c r="B334" s="3473" t="s">
        <v>3774</v>
      </c>
      <c r="C334" s="3457" t="s">
        <v>3492</v>
      </c>
      <c r="D334" s="3463">
        <v>52.03</v>
      </c>
      <c r="E334" s="3470">
        <v>30.63</v>
      </c>
      <c r="F334" s="3463">
        <v>21.4</v>
      </c>
      <c r="G334" s="3471"/>
    </row>
    <row r="335" spans="2:7" hidden="1">
      <c r="B335" s="3473" t="s">
        <v>3775</v>
      </c>
      <c r="C335" s="3457" t="s">
        <v>3492</v>
      </c>
      <c r="D335" s="3463">
        <v>51.11</v>
      </c>
      <c r="E335" s="3470">
        <v>30.09</v>
      </c>
      <c r="F335" s="3463">
        <v>21.02</v>
      </c>
      <c r="G335" s="3471"/>
    </row>
    <row r="336" spans="2:7" hidden="1">
      <c r="B336" s="3473" t="s">
        <v>3776</v>
      </c>
      <c r="C336" s="3457" t="s">
        <v>3492</v>
      </c>
      <c r="D336" s="3463">
        <v>51.11</v>
      </c>
      <c r="E336" s="3470">
        <v>30.09</v>
      </c>
      <c r="F336" s="3463">
        <v>21.02</v>
      </c>
      <c r="G336" s="3471"/>
    </row>
    <row r="337" spans="2:7" hidden="1">
      <c r="B337" s="3473" t="s">
        <v>3777</v>
      </c>
      <c r="C337" s="3457" t="s">
        <v>3492</v>
      </c>
      <c r="D337" s="3463">
        <v>51.86</v>
      </c>
      <c r="E337" s="3470">
        <v>30.53</v>
      </c>
      <c r="F337" s="3463">
        <v>21.33</v>
      </c>
      <c r="G337" s="3471"/>
    </row>
    <row r="338" spans="2:7">
      <c r="B338" s="3467" t="s">
        <v>3778</v>
      </c>
      <c r="C338" s="3457"/>
      <c r="D338" s="3463">
        <v>45.68</v>
      </c>
      <c r="E338" s="3470">
        <v>26.89</v>
      </c>
      <c r="F338" s="3463">
        <v>18.79</v>
      </c>
      <c r="G338" s="3471"/>
    </row>
    <row r="339" spans="2:7">
      <c r="B339" s="3467" t="s">
        <v>3779</v>
      </c>
      <c r="C339" s="3457"/>
      <c r="D339" s="3463">
        <v>152.32</v>
      </c>
      <c r="E339" s="3470">
        <v>89.67</v>
      </c>
      <c r="F339" s="3463">
        <v>62.65</v>
      </c>
      <c r="G339" s="3471"/>
    </row>
    <row r="340" spans="2:7">
      <c r="B340" s="3467" t="s">
        <v>3780</v>
      </c>
      <c r="C340" s="3457"/>
      <c r="D340" s="3463">
        <v>202.67</v>
      </c>
      <c r="E340" s="3470">
        <v>119.31</v>
      </c>
      <c r="F340" s="3463">
        <v>83.36</v>
      </c>
      <c r="G340" s="3471"/>
    </row>
    <row r="341" spans="2:7">
      <c r="B341" s="3467" t="s">
        <v>3781</v>
      </c>
      <c r="C341" s="3457"/>
      <c r="D341" s="3463">
        <v>186.71</v>
      </c>
      <c r="E341" s="3470">
        <v>109.91</v>
      </c>
      <c r="F341" s="3463">
        <v>76.8</v>
      </c>
      <c r="G341" s="3471"/>
    </row>
    <row r="342" spans="2:7" hidden="1">
      <c r="B342" s="3473" t="s">
        <v>3782</v>
      </c>
      <c r="C342" s="3457" t="s">
        <v>3492</v>
      </c>
      <c r="D342" s="3463">
        <v>49.31</v>
      </c>
      <c r="E342" s="3470">
        <v>29.03</v>
      </c>
      <c r="F342" s="3463">
        <v>20.28</v>
      </c>
      <c r="G342" s="3471"/>
    </row>
    <row r="343" spans="2:7" hidden="1">
      <c r="B343" s="3473" t="s">
        <v>3783</v>
      </c>
      <c r="C343" s="3457" t="s">
        <v>3492</v>
      </c>
      <c r="D343" s="3463">
        <v>20.71</v>
      </c>
      <c r="E343" s="3470">
        <v>12.19</v>
      </c>
      <c r="F343" s="3463">
        <v>8.52</v>
      </c>
      <c r="G343" s="3471"/>
    </row>
    <row r="344" spans="2:7" hidden="1">
      <c r="B344" s="3473" t="s">
        <v>3784</v>
      </c>
      <c r="C344" s="3457" t="s">
        <v>3492</v>
      </c>
      <c r="D344" s="3463">
        <v>37.659999999999997</v>
      </c>
      <c r="E344" s="3470">
        <v>22.17</v>
      </c>
      <c r="F344" s="3463">
        <v>15.49</v>
      </c>
      <c r="G344" s="3471"/>
    </row>
    <row r="345" spans="2:7">
      <c r="B345" s="3467" t="s">
        <v>3785</v>
      </c>
      <c r="C345" s="3457"/>
      <c r="D345" s="3463">
        <v>60.51</v>
      </c>
      <c r="E345" s="3470">
        <v>35.619999999999997</v>
      </c>
      <c r="F345" s="3463">
        <v>24.89</v>
      </c>
      <c r="G345" s="3471"/>
    </row>
    <row r="346" spans="2:7" hidden="1">
      <c r="B346" s="3473" t="s">
        <v>3786</v>
      </c>
      <c r="C346" s="3457" t="s">
        <v>3492</v>
      </c>
      <c r="D346" s="3463">
        <v>45.34</v>
      </c>
      <c r="E346" s="3470">
        <v>26.69</v>
      </c>
      <c r="F346" s="3463">
        <v>18.649999999999999</v>
      </c>
      <c r="G346" s="3471"/>
    </row>
    <row r="347" spans="2:7">
      <c r="B347" s="3467" t="s">
        <v>3787</v>
      </c>
      <c r="C347" s="3457"/>
      <c r="D347" s="3463">
        <v>81.2</v>
      </c>
      <c r="E347" s="3470">
        <v>47.8</v>
      </c>
      <c r="F347" s="3463">
        <v>33.4</v>
      </c>
      <c r="G347" s="3471"/>
    </row>
    <row r="348" spans="2:7">
      <c r="B348" s="3467" t="s">
        <v>3788</v>
      </c>
      <c r="C348" s="3457"/>
      <c r="D348" s="3463">
        <v>77.61</v>
      </c>
      <c r="E348" s="3470">
        <v>45.69</v>
      </c>
      <c r="F348" s="3463">
        <v>31.92</v>
      </c>
      <c r="G348" s="3471"/>
    </row>
    <row r="349" spans="2:7">
      <c r="B349" s="3467" t="s">
        <v>3789</v>
      </c>
      <c r="C349" s="3457"/>
      <c r="D349" s="3463">
        <v>38.15</v>
      </c>
      <c r="E349" s="3470">
        <v>22.46</v>
      </c>
      <c r="F349" s="3463">
        <v>15.69</v>
      </c>
      <c r="G349" s="3471"/>
    </row>
    <row r="350" spans="2:7">
      <c r="B350" s="3467" t="s">
        <v>3790</v>
      </c>
      <c r="C350" s="3457"/>
      <c r="D350" s="3463">
        <v>75.290000000000006</v>
      </c>
      <c r="E350" s="3470">
        <v>44.32</v>
      </c>
      <c r="F350" s="3463">
        <v>30.97</v>
      </c>
      <c r="G350" s="3471"/>
    </row>
    <row r="351" spans="2:7">
      <c r="B351" s="3467" t="s">
        <v>3791</v>
      </c>
      <c r="C351" s="3457"/>
      <c r="D351" s="3463">
        <v>75</v>
      </c>
      <c r="E351" s="3470">
        <v>44.15</v>
      </c>
      <c r="F351" s="3463">
        <v>30.85</v>
      </c>
      <c r="G351" s="3471"/>
    </row>
    <row r="352" spans="2:7">
      <c r="B352" s="3467" t="s">
        <v>3792</v>
      </c>
      <c r="C352" s="3457"/>
      <c r="D352" s="3463">
        <v>37.1</v>
      </c>
      <c r="E352" s="3470">
        <v>21.84</v>
      </c>
      <c r="F352" s="3463">
        <v>15.26</v>
      </c>
      <c r="G352" s="3471"/>
    </row>
    <row r="353" spans="2:7">
      <c r="B353" s="3467" t="s">
        <v>3793</v>
      </c>
      <c r="C353" s="3457"/>
      <c r="D353" s="3463">
        <v>74.56</v>
      </c>
      <c r="E353" s="3470">
        <v>43.89</v>
      </c>
      <c r="F353" s="3463">
        <v>30.67</v>
      </c>
      <c r="G353" s="3471"/>
    </row>
    <row r="354" spans="2:7" hidden="1">
      <c r="B354" s="3473" t="s">
        <v>3794</v>
      </c>
      <c r="C354" s="3457" t="s">
        <v>3795</v>
      </c>
      <c r="D354" s="3463">
        <v>37.22</v>
      </c>
      <c r="E354" s="3470">
        <v>21.91</v>
      </c>
      <c r="F354" s="3463">
        <v>15.31</v>
      </c>
      <c r="G354" s="3471"/>
    </row>
    <row r="355" spans="2:7">
      <c r="B355" s="3467" t="s">
        <v>3796</v>
      </c>
      <c r="C355" s="3457"/>
      <c r="D355" s="3463">
        <v>76.17</v>
      </c>
      <c r="E355" s="3470">
        <v>44.84</v>
      </c>
      <c r="F355" s="3463">
        <v>31.33</v>
      </c>
      <c r="G355" s="3471"/>
    </row>
    <row r="356" spans="2:7" hidden="1">
      <c r="B356" s="3473" t="s">
        <v>3797</v>
      </c>
      <c r="C356" s="3457" t="s">
        <v>3795</v>
      </c>
      <c r="D356" s="3463">
        <v>37.1</v>
      </c>
      <c r="E356" s="3470">
        <v>21.84</v>
      </c>
      <c r="F356" s="3463">
        <v>15.26</v>
      </c>
      <c r="G356" s="3471"/>
    </row>
    <row r="357" spans="2:7" hidden="1">
      <c r="B357" s="3473" t="s">
        <v>3798</v>
      </c>
      <c r="C357" s="3457" t="s">
        <v>3795</v>
      </c>
      <c r="D357" s="3463">
        <v>64.11</v>
      </c>
      <c r="E357" s="3470">
        <v>37.74</v>
      </c>
      <c r="F357" s="3463">
        <v>26.37</v>
      </c>
      <c r="G357" s="3471"/>
    </row>
    <row r="358" spans="2:7" hidden="1">
      <c r="B358" s="3473" t="s">
        <v>3799</v>
      </c>
      <c r="C358" s="3457" t="s">
        <v>3492</v>
      </c>
      <c r="D358" s="3463">
        <v>64.87</v>
      </c>
      <c r="E358" s="3470">
        <v>38.19</v>
      </c>
      <c r="F358" s="3463">
        <v>26.68</v>
      </c>
      <c r="G358" s="3471"/>
    </row>
    <row r="359" spans="2:7" hidden="1">
      <c r="B359" s="3473" t="s">
        <v>3800</v>
      </c>
      <c r="C359" s="3457" t="s">
        <v>3492</v>
      </c>
      <c r="D359" s="3463">
        <v>64.87</v>
      </c>
      <c r="E359" s="3470">
        <v>38.19</v>
      </c>
      <c r="F359" s="3463">
        <v>26.68</v>
      </c>
      <c r="G359" s="3471"/>
    </row>
    <row r="360" spans="2:7" hidden="1">
      <c r="B360" s="3473" t="s">
        <v>3801</v>
      </c>
      <c r="C360" s="3457" t="s">
        <v>3492</v>
      </c>
      <c r="D360" s="3463">
        <v>64.87</v>
      </c>
      <c r="E360" s="3470">
        <v>38.19</v>
      </c>
      <c r="F360" s="3463">
        <v>26.68</v>
      </c>
      <c r="G360" s="3471"/>
    </row>
    <row r="361" spans="2:7" hidden="1">
      <c r="B361" s="3473" t="s">
        <v>3802</v>
      </c>
      <c r="C361" s="3457" t="s">
        <v>3492</v>
      </c>
      <c r="D361" s="3463">
        <v>64.87</v>
      </c>
      <c r="E361" s="3470">
        <v>38.19</v>
      </c>
      <c r="F361" s="3463">
        <v>26.68</v>
      </c>
      <c r="G361" s="3471"/>
    </row>
    <row r="362" spans="2:7" hidden="1">
      <c r="B362" s="3473" t="s">
        <v>3803</v>
      </c>
      <c r="C362" s="3457" t="s">
        <v>3492</v>
      </c>
      <c r="D362" s="3463">
        <v>64.87</v>
      </c>
      <c r="E362" s="3470">
        <v>38.19</v>
      </c>
      <c r="F362" s="3463">
        <v>26.68</v>
      </c>
      <c r="G362" s="3471"/>
    </row>
    <row r="363" spans="2:7" hidden="1">
      <c r="B363" s="3473" t="s">
        <v>3804</v>
      </c>
      <c r="C363" s="3457" t="s">
        <v>3492</v>
      </c>
      <c r="D363" s="3463">
        <v>64.87</v>
      </c>
      <c r="E363" s="3470">
        <v>38.19</v>
      </c>
      <c r="F363" s="3463">
        <v>26.68</v>
      </c>
      <c r="G363" s="3471"/>
    </row>
    <row r="364" spans="2:7" hidden="1">
      <c r="B364" s="3473" t="s">
        <v>3805</v>
      </c>
      <c r="C364" s="3457" t="s">
        <v>3492</v>
      </c>
      <c r="D364" s="3463">
        <v>63.63</v>
      </c>
      <c r="E364" s="3470">
        <v>37.46</v>
      </c>
      <c r="F364" s="3463">
        <v>26.17</v>
      </c>
      <c r="G364" s="3471"/>
    </row>
    <row r="365" spans="2:7">
      <c r="B365" s="3467" t="s">
        <v>3806</v>
      </c>
      <c r="C365" s="3457"/>
      <c r="D365" s="3463">
        <v>80.11</v>
      </c>
      <c r="E365" s="3470">
        <v>47.16</v>
      </c>
      <c r="F365" s="3463">
        <v>32.950000000000003</v>
      </c>
      <c r="G365" s="3471"/>
    </row>
    <row r="366" spans="2:7">
      <c r="B366" s="3467" t="s">
        <v>3807</v>
      </c>
      <c r="C366" s="3457"/>
      <c r="D366" s="3463">
        <v>72.739999999999995</v>
      </c>
      <c r="E366" s="3470">
        <v>42.82</v>
      </c>
      <c r="F366" s="3463">
        <v>29.92</v>
      </c>
      <c r="G366" s="3471"/>
    </row>
    <row r="367" spans="2:7" hidden="1">
      <c r="B367" s="3473" t="s">
        <v>3808</v>
      </c>
      <c r="C367" s="3457" t="s">
        <v>3492</v>
      </c>
      <c r="D367" s="3463">
        <v>38.869999999999997</v>
      </c>
      <c r="E367" s="3470">
        <v>22.88</v>
      </c>
      <c r="F367" s="3463">
        <v>15.99</v>
      </c>
      <c r="G367" s="3471"/>
    </row>
    <row r="368" spans="2:7" hidden="1">
      <c r="B368" s="3473" t="s">
        <v>3809</v>
      </c>
      <c r="C368" s="3457" t="s">
        <v>3492</v>
      </c>
      <c r="D368" s="3463">
        <v>50.01</v>
      </c>
      <c r="E368" s="3470">
        <v>29.44</v>
      </c>
      <c r="F368" s="3463">
        <v>20.57</v>
      </c>
      <c r="G368" s="3471"/>
    </row>
    <row r="369" spans="2:7" hidden="1">
      <c r="B369" s="3473" t="s">
        <v>3810</v>
      </c>
      <c r="C369" s="3457" t="s">
        <v>3492</v>
      </c>
      <c r="D369" s="3463">
        <v>60.73</v>
      </c>
      <c r="E369" s="3470">
        <v>35.75</v>
      </c>
      <c r="F369" s="3463">
        <v>24.98</v>
      </c>
      <c r="G369" s="3471"/>
    </row>
    <row r="370" spans="2:7">
      <c r="B370" s="3467" t="s">
        <v>3811</v>
      </c>
      <c r="C370" s="3457"/>
      <c r="D370" s="3463">
        <v>95.83</v>
      </c>
      <c r="E370" s="3470">
        <v>56.41</v>
      </c>
      <c r="F370" s="3463">
        <v>39.42</v>
      </c>
      <c r="G370" s="3471"/>
    </row>
    <row r="371" spans="2:7">
      <c r="B371" s="3467" t="s">
        <v>3812</v>
      </c>
      <c r="C371" s="3457"/>
      <c r="D371" s="3463">
        <v>125.42</v>
      </c>
      <c r="E371" s="3470">
        <v>73.83</v>
      </c>
      <c r="F371" s="3463">
        <v>51.59</v>
      </c>
      <c r="G371" s="3471"/>
    </row>
    <row r="372" spans="2:7">
      <c r="B372" s="3467" t="s">
        <v>3813</v>
      </c>
      <c r="C372" s="3457"/>
      <c r="D372" s="3463">
        <v>132.96</v>
      </c>
      <c r="E372" s="3470">
        <v>78.27</v>
      </c>
      <c r="F372" s="3463">
        <v>54.69</v>
      </c>
      <c r="G372" s="3471"/>
    </row>
    <row r="373" spans="2:7">
      <c r="B373" s="3467" t="s">
        <v>3814</v>
      </c>
      <c r="C373" s="3457"/>
      <c r="D373" s="3463">
        <v>212.6</v>
      </c>
      <c r="E373" s="3470">
        <v>125.15</v>
      </c>
      <c r="F373" s="3463">
        <v>87.45</v>
      </c>
      <c r="G373" s="3471"/>
    </row>
    <row r="374" spans="2:7">
      <c r="B374" s="3467" t="s">
        <v>3815</v>
      </c>
      <c r="C374" s="3457"/>
      <c r="D374" s="3463">
        <v>221.11</v>
      </c>
      <c r="E374" s="3470">
        <v>130.16</v>
      </c>
      <c r="F374" s="3463">
        <v>90.95</v>
      </c>
      <c r="G374" s="3471"/>
    </row>
    <row r="375" spans="2:7">
      <c r="B375" s="3467" t="s">
        <v>3816</v>
      </c>
      <c r="C375" s="3457"/>
      <c r="D375" s="3463">
        <v>21.12</v>
      </c>
      <c r="E375" s="3470">
        <v>12.43</v>
      </c>
      <c r="F375" s="3463">
        <v>8.69</v>
      </c>
      <c r="G375" s="3471"/>
    </row>
    <row r="376" spans="2:7">
      <c r="B376" s="3467" t="s">
        <v>3817</v>
      </c>
      <c r="C376" s="3457"/>
      <c r="D376" s="3463">
        <v>21.81</v>
      </c>
      <c r="E376" s="3470">
        <v>12.84</v>
      </c>
      <c r="F376" s="3463">
        <v>8.9700000000000006</v>
      </c>
      <c r="G376" s="3471"/>
    </row>
    <row r="377" spans="2:7">
      <c r="B377" s="3467" t="s">
        <v>3818</v>
      </c>
      <c r="C377" s="3457"/>
      <c r="D377" s="3463">
        <v>38.07</v>
      </c>
      <c r="E377" s="3470">
        <v>22.41</v>
      </c>
      <c r="F377" s="3463">
        <v>15.66</v>
      </c>
      <c r="G377" s="3471"/>
    </row>
    <row r="378" spans="2:7">
      <c r="B378" s="3467" t="s">
        <v>3819</v>
      </c>
      <c r="C378" s="3457"/>
      <c r="D378" s="3463">
        <v>25.51</v>
      </c>
      <c r="E378" s="3470">
        <v>15.77</v>
      </c>
      <c r="F378" s="3463">
        <v>9.74</v>
      </c>
      <c r="G378" s="3471"/>
    </row>
    <row r="379" spans="2:7">
      <c r="B379" s="3467" t="s">
        <v>3820</v>
      </c>
      <c r="C379" s="3457"/>
      <c r="D379" s="3463">
        <v>23.18</v>
      </c>
      <c r="E379" s="3470">
        <v>14.33</v>
      </c>
      <c r="F379" s="3463">
        <v>8.85</v>
      </c>
      <c r="G379" s="3471"/>
    </row>
    <row r="380" spans="2:7">
      <c r="B380" s="3467" t="s">
        <v>3821</v>
      </c>
      <c r="C380" s="3457"/>
      <c r="D380" s="3463">
        <v>32.19</v>
      </c>
      <c r="E380" s="3470">
        <v>19.899999999999999</v>
      </c>
      <c r="F380" s="3463">
        <v>12.29</v>
      </c>
      <c r="G380" s="3471"/>
    </row>
    <row r="381" spans="2:7">
      <c r="B381" s="3467" t="s">
        <v>3822</v>
      </c>
      <c r="C381" s="3457"/>
      <c r="D381" s="3463">
        <v>24.18</v>
      </c>
      <c r="E381" s="3470">
        <v>14.95</v>
      </c>
      <c r="F381" s="3463">
        <v>9.23</v>
      </c>
      <c r="G381" s="3471"/>
    </row>
    <row r="382" spans="2:7">
      <c r="B382" s="3467" t="s">
        <v>3823</v>
      </c>
      <c r="C382" s="3457"/>
      <c r="D382" s="3463">
        <v>23.97</v>
      </c>
      <c r="E382" s="3470">
        <v>14.82</v>
      </c>
      <c r="F382" s="3463">
        <v>9.15</v>
      </c>
      <c r="G382" s="3471"/>
    </row>
    <row r="383" spans="2:7">
      <c r="B383" s="3467" t="s">
        <v>3824</v>
      </c>
      <c r="C383" s="3457"/>
      <c r="D383" s="3463">
        <v>23.76</v>
      </c>
      <c r="E383" s="3470">
        <v>14.69</v>
      </c>
      <c r="F383" s="3463">
        <v>9.07</v>
      </c>
      <c r="G383" s="3471"/>
    </row>
    <row r="384" spans="2:7">
      <c r="B384" s="3467" t="s">
        <v>3825</v>
      </c>
      <c r="C384" s="3457"/>
      <c r="D384" s="3463">
        <v>42.03</v>
      </c>
      <c r="E384" s="3470">
        <v>25.98</v>
      </c>
      <c r="F384" s="3463">
        <v>16.05</v>
      </c>
      <c r="G384" s="3471"/>
    </row>
    <row r="385" spans="2:7" hidden="1">
      <c r="B385" s="3476" t="s">
        <v>3826</v>
      </c>
      <c r="C385" s="3477" t="s">
        <v>3492</v>
      </c>
      <c r="D385" s="3469">
        <v>16.920000000000002</v>
      </c>
      <c r="E385" s="3478">
        <v>10.46</v>
      </c>
      <c r="F385" s="3469">
        <v>6.46</v>
      </c>
      <c r="G385" s="3479"/>
    </row>
    <row r="386" spans="2:7">
      <c r="B386" s="3467" t="s">
        <v>3827</v>
      </c>
      <c r="C386" s="3457"/>
      <c r="D386" s="3463">
        <v>35.33</v>
      </c>
      <c r="E386" s="3470">
        <v>21.84</v>
      </c>
      <c r="F386" s="3463">
        <v>13.49</v>
      </c>
      <c r="G386" s="3471"/>
    </row>
    <row r="387" spans="2:7">
      <c r="B387" s="3467" t="s">
        <v>3828</v>
      </c>
      <c r="C387" s="3457"/>
      <c r="D387" s="3463">
        <v>26.08</v>
      </c>
      <c r="E387" s="3470">
        <v>16.12</v>
      </c>
      <c r="F387" s="3463">
        <v>9.9600000000000009</v>
      </c>
      <c r="G387" s="3471"/>
    </row>
    <row r="388" spans="2:7">
      <c r="B388" s="3467" t="s">
        <v>3829</v>
      </c>
      <c r="C388" s="3457"/>
      <c r="D388" s="3463">
        <v>35.6</v>
      </c>
      <c r="E388" s="3470">
        <v>22.01</v>
      </c>
      <c r="F388" s="3463">
        <v>13.59</v>
      </c>
      <c r="G388" s="3471"/>
    </row>
    <row r="389" spans="2:7">
      <c r="B389" s="3467" t="s">
        <v>3830</v>
      </c>
      <c r="C389" s="3457"/>
      <c r="D389" s="3463">
        <v>28.2</v>
      </c>
      <c r="E389" s="3470">
        <v>17.43</v>
      </c>
      <c r="F389" s="3463">
        <v>10.77</v>
      </c>
      <c r="G389" s="3471"/>
    </row>
    <row r="390" spans="2:7">
      <c r="B390" s="3467" t="s">
        <v>3831</v>
      </c>
      <c r="C390" s="3457"/>
      <c r="D390" s="3463">
        <v>23.89</v>
      </c>
      <c r="E390" s="3470">
        <v>14.77</v>
      </c>
      <c r="F390" s="3463">
        <v>9.1199999999999992</v>
      </c>
      <c r="G390" s="3471"/>
    </row>
    <row r="391" spans="2:7" hidden="1">
      <c r="B391" s="3473" t="s">
        <v>3832</v>
      </c>
      <c r="C391" s="3457" t="s">
        <v>3492</v>
      </c>
      <c r="D391" s="3463">
        <v>23.13</v>
      </c>
      <c r="E391" s="3470">
        <v>14.3</v>
      </c>
      <c r="F391" s="3463">
        <v>8.83</v>
      </c>
      <c r="G391" s="3471"/>
    </row>
    <row r="392" spans="2:7">
      <c r="B392" s="3467" t="s">
        <v>3833</v>
      </c>
      <c r="C392" s="3457"/>
      <c r="D392" s="3463">
        <v>30.7</v>
      </c>
      <c r="E392" s="3470">
        <v>18.98</v>
      </c>
      <c r="F392" s="3463">
        <v>11.72</v>
      </c>
      <c r="G392" s="3471"/>
    </row>
    <row r="393" spans="2:7">
      <c r="B393" s="3467" t="s">
        <v>3834</v>
      </c>
      <c r="C393" s="3457"/>
      <c r="D393" s="3463">
        <v>24.39</v>
      </c>
      <c r="E393" s="3470">
        <v>15.08</v>
      </c>
      <c r="F393" s="3463">
        <v>9.31</v>
      </c>
      <c r="G393" s="3471"/>
    </row>
    <row r="394" spans="2:7">
      <c r="B394" s="3467" t="s">
        <v>3835</v>
      </c>
      <c r="C394" s="3457"/>
      <c r="D394" s="3463">
        <v>29.85</v>
      </c>
      <c r="E394" s="3470">
        <v>18.45</v>
      </c>
      <c r="F394" s="3463">
        <v>11.4</v>
      </c>
      <c r="G394" s="3471"/>
    </row>
    <row r="395" spans="2:7">
      <c r="B395" s="3467" t="s">
        <v>3836</v>
      </c>
      <c r="C395" s="3457"/>
      <c r="D395" s="3463">
        <v>29.73</v>
      </c>
      <c r="E395" s="3470">
        <v>18.38</v>
      </c>
      <c r="F395" s="3463">
        <v>11.35</v>
      </c>
      <c r="G395" s="3471"/>
    </row>
    <row r="396" spans="2:7">
      <c r="B396" s="3467" t="s">
        <v>3837</v>
      </c>
      <c r="C396" s="3457"/>
      <c r="D396" s="3463">
        <v>27.03</v>
      </c>
      <c r="E396" s="3470">
        <v>16.71</v>
      </c>
      <c r="F396" s="3463">
        <v>10.32</v>
      </c>
      <c r="G396" s="3471"/>
    </row>
    <row r="397" spans="2:7">
      <c r="B397" s="3467" t="s">
        <v>3838</v>
      </c>
      <c r="C397" s="3457"/>
      <c r="D397" s="3463">
        <v>34.04</v>
      </c>
      <c r="E397" s="3470">
        <v>21.04</v>
      </c>
      <c r="F397" s="3463">
        <v>13</v>
      </c>
      <c r="G397" s="3471"/>
    </row>
    <row r="398" spans="2:7">
      <c r="B398" s="3467" t="s">
        <v>3839</v>
      </c>
      <c r="C398" s="3457"/>
      <c r="D398" s="3463">
        <v>33.700000000000003</v>
      </c>
      <c r="E398" s="3470">
        <v>20.83</v>
      </c>
      <c r="F398" s="3463">
        <v>12.87</v>
      </c>
      <c r="G398" s="3471"/>
    </row>
    <row r="399" spans="2:7">
      <c r="B399" s="3467" t="s">
        <v>3840</v>
      </c>
      <c r="C399" s="3457"/>
      <c r="D399" s="3463">
        <v>27.71</v>
      </c>
      <c r="E399" s="3470">
        <v>17.13</v>
      </c>
      <c r="F399" s="3463">
        <v>10.58</v>
      </c>
      <c r="G399" s="3471"/>
    </row>
    <row r="400" spans="2:7">
      <c r="B400" s="3467" t="s">
        <v>3841</v>
      </c>
      <c r="C400" s="3457"/>
      <c r="D400" s="3463">
        <v>20.3</v>
      </c>
      <c r="E400" s="3470">
        <v>12.55</v>
      </c>
      <c r="F400" s="3463">
        <v>7.75</v>
      </c>
      <c r="G400" s="3471"/>
    </row>
    <row r="401" spans="2:7" hidden="1">
      <c r="B401" s="3473" t="s">
        <v>3842</v>
      </c>
      <c r="C401" s="3457" t="s">
        <v>3492</v>
      </c>
      <c r="D401" s="3463">
        <v>18.649999999999999</v>
      </c>
      <c r="E401" s="3470">
        <v>11.53</v>
      </c>
      <c r="F401" s="3463">
        <v>7.12</v>
      </c>
      <c r="G401" s="3471"/>
    </row>
    <row r="402" spans="2:7" hidden="1">
      <c r="B402" s="3473" t="s">
        <v>3843</v>
      </c>
      <c r="C402" s="3457" t="s">
        <v>3492</v>
      </c>
      <c r="D402" s="3463">
        <v>12.15</v>
      </c>
      <c r="E402" s="3470">
        <v>7.51</v>
      </c>
      <c r="F402" s="3463">
        <v>4.6399999999999997</v>
      </c>
      <c r="G402" s="3471"/>
    </row>
    <row r="403" spans="2:7">
      <c r="B403" s="3467" t="s">
        <v>3844</v>
      </c>
      <c r="C403" s="3457"/>
      <c r="D403" s="3463">
        <v>20.62</v>
      </c>
      <c r="E403" s="3470">
        <v>12.75</v>
      </c>
      <c r="F403" s="3463">
        <v>7.87</v>
      </c>
      <c r="G403" s="3471"/>
    </row>
    <row r="404" spans="2:7" hidden="1">
      <c r="B404" s="3473" t="s">
        <v>3845</v>
      </c>
      <c r="C404" s="3457" t="s">
        <v>3492</v>
      </c>
      <c r="D404" s="3463">
        <v>16.37</v>
      </c>
      <c r="E404" s="3470">
        <v>10.119999999999999</v>
      </c>
      <c r="F404" s="3463">
        <v>6.25</v>
      </c>
      <c r="G404" s="3471"/>
    </row>
    <row r="405" spans="2:7">
      <c r="B405" s="3467" t="s">
        <v>3846</v>
      </c>
      <c r="C405" s="3457"/>
      <c r="D405" s="3463">
        <v>31.19</v>
      </c>
      <c r="E405" s="3470">
        <v>19.28</v>
      </c>
      <c r="F405" s="3463">
        <v>11.91</v>
      </c>
      <c r="G405" s="3471"/>
    </row>
    <row r="406" spans="2:7">
      <c r="B406" s="3467" t="s">
        <v>3847</v>
      </c>
      <c r="C406" s="3457"/>
      <c r="D406" s="3463">
        <v>11.19</v>
      </c>
      <c r="E406" s="3470">
        <v>6.92</v>
      </c>
      <c r="F406" s="3463">
        <v>4.2699999999999996</v>
      </c>
      <c r="G406" s="3471"/>
    </row>
    <row r="407" spans="2:7">
      <c r="B407" s="3467" t="s">
        <v>3848</v>
      </c>
      <c r="C407" s="3457"/>
      <c r="D407" s="3463">
        <v>25.74</v>
      </c>
      <c r="E407" s="3470">
        <v>15.91</v>
      </c>
      <c r="F407" s="3463">
        <v>9.83</v>
      </c>
      <c r="G407" s="3471"/>
    </row>
    <row r="408" spans="2:7">
      <c r="B408" s="3467" t="s">
        <v>3849</v>
      </c>
      <c r="C408" s="3457"/>
      <c r="D408" s="3463">
        <v>22.57</v>
      </c>
      <c r="E408" s="3470">
        <v>13.95</v>
      </c>
      <c r="F408" s="3463">
        <v>8.6199999999999992</v>
      </c>
      <c r="G408" s="3471"/>
    </row>
    <row r="409" spans="2:7">
      <c r="B409" s="3467" t="s">
        <v>3850</v>
      </c>
      <c r="C409" s="3457"/>
      <c r="D409" s="3463">
        <v>32.299999999999997</v>
      </c>
      <c r="E409" s="3470">
        <v>19.97</v>
      </c>
      <c r="F409" s="3463">
        <v>12.33</v>
      </c>
      <c r="G409" s="3471"/>
    </row>
    <row r="410" spans="2:7">
      <c r="B410" s="3467" t="s">
        <v>3851</v>
      </c>
      <c r="C410" s="3457"/>
      <c r="D410" s="3463">
        <v>19.3</v>
      </c>
      <c r="E410" s="3470">
        <v>11.93</v>
      </c>
      <c r="F410" s="3463">
        <v>7.37</v>
      </c>
      <c r="G410" s="3471"/>
    </row>
    <row r="411" spans="2:7">
      <c r="B411" s="3467" t="s">
        <v>3852</v>
      </c>
      <c r="C411" s="3457"/>
      <c r="D411" s="3463">
        <v>27.55</v>
      </c>
      <c r="E411" s="3470">
        <v>17.03</v>
      </c>
      <c r="F411" s="3463">
        <v>10.52</v>
      </c>
      <c r="G411" s="3471"/>
    </row>
    <row r="412" spans="2:7">
      <c r="B412" s="3467" t="s">
        <v>3853</v>
      </c>
      <c r="C412" s="3457"/>
      <c r="D412" s="3463">
        <v>51.6</v>
      </c>
      <c r="E412" s="3470">
        <v>31.9</v>
      </c>
      <c r="F412" s="3463">
        <v>19.7</v>
      </c>
      <c r="G412" s="3471"/>
    </row>
    <row r="413" spans="2:7">
      <c r="B413" s="3467" t="s">
        <v>3854</v>
      </c>
      <c r="C413" s="3457"/>
      <c r="D413" s="3463">
        <v>32.090000000000003</v>
      </c>
      <c r="E413" s="3470">
        <v>19.84</v>
      </c>
      <c r="F413" s="3463">
        <v>12.25</v>
      </c>
      <c r="G413" s="3471"/>
    </row>
    <row r="414" spans="2:7">
      <c r="B414" s="3467" t="s">
        <v>3855</v>
      </c>
      <c r="C414" s="3457"/>
      <c r="D414" s="3463">
        <v>32.090000000000003</v>
      </c>
      <c r="E414" s="3470">
        <v>19.84</v>
      </c>
      <c r="F414" s="3463">
        <v>12.25</v>
      </c>
      <c r="G414" s="3471"/>
    </row>
    <row r="415" spans="2:7">
      <c r="B415" s="3467" t="s">
        <v>3856</v>
      </c>
      <c r="C415" s="3457"/>
      <c r="D415" s="3463">
        <v>38.29</v>
      </c>
      <c r="E415" s="3470">
        <v>23.67</v>
      </c>
      <c r="F415" s="3463">
        <v>14.62</v>
      </c>
      <c r="G415" s="3471"/>
    </row>
    <row r="416" spans="2:7">
      <c r="B416" s="3467" t="s">
        <v>3857</v>
      </c>
      <c r="C416" s="3457"/>
      <c r="D416" s="3463">
        <v>37.35</v>
      </c>
      <c r="E416" s="3470">
        <v>23.09</v>
      </c>
      <c r="F416" s="3463">
        <v>14.26</v>
      </c>
      <c r="G416" s="3471"/>
    </row>
    <row r="417" spans="2:7">
      <c r="B417" s="3467" t="s">
        <v>3858</v>
      </c>
      <c r="C417" s="3457"/>
      <c r="D417" s="3463">
        <v>28.05</v>
      </c>
      <c r="E417" s="3470">
        <v>17.34</v>
      </c>
      <c r="F417" s="3463">
        <v>10.71</v>
      </c>
      <c r="G417" s="3471"/>
    </row>
    <row r="418" spans="2:7">
      <c r="B418" s="3467" t="s">
        <v>3859</v>
      </c>
      <c r="C418" s="3457"/>
      <c r="D418" s="3463">
        <v>61.31</v>
      </c>
      <c r="E418" s="3470">
        <v>37.9</v>
      </c>
      <c r="F418" s="3463">
        <v>23.41</v>
      </c>
      <c r="G418" s="3471"/>
    </row>
    <row r="419" spans="2:7">
      <c r="B419" s="3467" t="s">
        <v>3860</v>
      </c>
      <c r="C419" s="3457"/>
      <c r="D419" s="3463">
        <v>44.08</v>
      </c>
      <c r="E419" s="3470">
        <v>27.25</v>
      </c>
      <c r="F419" s="3463">
        <v>16.829999999999998</v>
      </c>
      <c r="G419" s="3471"/>
    </row>
    <row r="420" spans="2:7">
      <c r="B420" s="3467" t="s">
        <v>3861</v>
      </c>
      <c r="C420" s="3457"/>
      <c r="D420" s="3463">
        <v>53.92</v>
      </c>
      <c r="E420" s="3470">
        <v>33.33</v>
      </c>
      <c r="F420" s="3463">
        <v>20.59</v>
      </c>
      <c r="G420" s="3471"/>
    </row>
    <row r="421" spans="2:7">
      <c r="B421" s="3467" t="s">
        <v>3862</v>
      </c>
      <c r="C421" s="3457"/>
      <c r="D421" s="3463">
        <v>47.43</v>
      </c>
      <c r="E421" s="3470">
        <v>29.32</v>
      </c>
      <c r="F421" s="3463">
        <v>18.11</v>
      </c>
      <c r="G421" s="3471"/>
    </row>
    <row r="422" spans="2:7">
      <c r="B422" s="3467" t="s">
        <v>3863</v>
      </c>
      <c r="C422" s="3457"/>
      <c r="D422" s="3463">
        <v>35.04</v>
      </c>
      <c r="E422" s="3470">
        <v>21.66</v>
      </c>
      <c r="F422" s="3463">
        <v>13.38</v>
      </c>
      <c r="G422" s="3471"/>
    </row>
    <row r="423" spans="2:7">
      <c r="B423" s="3467" t="s">
        <v>3864</v>
      </c>
      <c r="C423" s="3457"/>
      <c r="D423" s="3463">
        <v>28.28</v>
      </c>
      <c r="E423" s="3470">
        <v>17.48</v>
      </c>
      <c r="F423" s="3463">
        <v>10.8</v>
      </c>
      <c r="G423" s="3471"/>
    </row>
    <row r="424" spans="2:7">
      <c r="B424" s="3467" t="s">
        <v>3865</v>
      </c>
      <c r="C424" s="3457"/>
      <c r="D424" s="3463">
        <v>23.68</v>
      </c>
      <c r="E424" s="3470">
        <v>14.64</v>
      </c>
      <c r="F424" s="3463">
        <v>9.0399999999999991</v>
      </c>
      <c r="G424" s="3471"/>
    </row>
    <row r="425" spans="2:7">
      <c r="B425" s="3467" t="s">
        <v>3866</v>
      </c>
      <c r="C425" s="3457"/>
      <c r="D425" s="3463">
        <v>21.69</v>
      </c>
      <c r="E425" s="3470">
        <v>13.41</v>
      </c>
      <c r="F425" s="3463">
        <v>8.2799999999999994</v>
      </c>
      <c r="G425" s="3471"/>
    </row>
    <row r="426" spans="2:7">
      <c r="B426" s="3467" t="s">
        <v>3867</v>
      </c>
      <c r="C426" s="3457"/>
      <c r="D426" s="3463">
        <v>23.37</v>
      </c>
      <c r="E426" s="3470">
        <v>14.45</v>
      </c>
      <c r="F426" s="3463">
        <v>8.92</v>
      </c>
      <c r="G426" s="3471"/>
    </row>
    <row r="427" spans="2:7">
      <c r="B427" s="3467" t="s">
        <v>3868</v>
      </c>
      <c r="C427" s="3457"/>
      <c r="D427" s="3463">
        <v>20.32</v>
      </c>
      <c r="E427" s="3470">
        <v>12.56</v>
      </c>
      <c r="F427" s="3463">
        <v>7.76</v>
      </c>
      <c r="G427" s="3471"/>
    </row>
    <row r="428" spans="2:7">
      <c r="B428" s="3467" t="s">
        <v>3869</v>
      </c>
      <c r="C428" s="3457"/>
      <c r="D428" s="3463">
        <v>20.45</v>
      </c>
      <c r="E428" s="3470">
        <v>12.64</v>
      </c>
      <c r="F428" s="3463">
        <v>7.81</v>
      </c>
      <c r="G428" s="3471"/>
    </row>
    <row r="429" spans="2:7">
      <c r="B429" s="3467" t="s">
        <v>3870</v>
      </c>
      <c r="C429" s="3457"/>
      <c r="D429" s="3463">
        <v>21.11</v>
      </c>
      <c r="E429" s="3470">
        <v>13.05</v>
      </c>
      <c r="F429" s="3463">
        <v>8.06</v>
      </c>
      <c r="G429" s="3471"/>
    </row>
    <row r="430" spans="2:7">
      <c r="B430" s="3467" t="s">
        <v>3871</v>
      </c>
      <c r="C430" s="3457"/>
      <c r="D430" s="3463">
        <v>20.66</v>
      </c>
      <c r="E430" s="3470">
        <v>12.77</v>
      </c>
      <c r="F430" s="3463">
        <v>7.89</v>
      </c>
      <c r="G430" s="3471"/>
    </row>
    <row r="431" spans="2:7">
      <c r="B431" s="3467" t="s">
        <v>3872</v>
      </c>
      <c r="C431" s="3457"/>
      <c r="D431" s="3463">
        <v>19.91</v>
      </c>
      <c r="E431" s="3470">
        <v>12.31</v>
      </c>
      <c r="F431" s="3463">
        <v>7.6</v>
      </c>
      <c r="G431" s="3471"/>
    </row>
    <row r="432" spans="2:7">
      <c r="B432" s="3467" t="s">
        <v>3873</v>
      </c>
      <c r="C432" s="3457"/>
      <c r="D432" s="3463">
        <v>31.58</v>
      </c>
      <c r="E432" s="3470">
        <v>19.52</v>
      </c>
      <c r="F432" s="3463">
        <v>12.06</v>
      </c>
      <c r="G432" s="3471"/>
    </row>
    <row r="433" spans="2:7">
      <c r="B433" s="3467" t="s">
        <v>3874</v>
      </c>
      <c r="C433" s="3457"/>
      <c r="D433" s="3463">
        <v>37.43</v>
      </c>
      <c r="E433" s="3470">
        <v>23.14</v>
      </c>
      <c r="F433" s="3463">
        <v>14.29</v>
      </c>
      <c r="G433" s="3471"/>
    </row>
    <row r="434" spans="2:7">
      <c r="B434" s="3467" t="s">
        <v>3875</v>
      </c>
      <c r="C434" s="3457"/>
      <c r="D434" s="3463">
        <v>23.05</v>
      </c>
      <c r="E434" s="3470">
        <v>14.25</v>
      </c>
      <c r="F434" s="3463">
        <v>8.8000000000000007</v>
      </c>
      <c r="G434" s="3471"/>
    </row>
    <row r="435" spans="2:7">
      <c r="B435" s="3467" t="s">
        <v>3876</v>
      </c>
      <c r="C435" s="3457"/>
      <c r="D435" s="3463">
        <v>23.42</v>
      </c>
      <c r="E435" s="3470">
        <v>14.48</v>
      </c>
      <c r="F435" s="3463">
        <v>8.94</v>
      </c>
      <c r="G435" s="3471"/>
    </row>
    <row r="436" spans="2:7">
      <c r="B436" s="3467" t="s">
        <v>3877</v>
      </c>
      <c r="C436" s="3457"/>
      <c r="D436" s="3463">
        <v>28.52</v>
      </c>
      <c r="E436" s="3470">
        <v>17.63</v>
      </c>
      <c r="F436" s="3463">
        <v>10.89</v>
      </c>
      <c r="G436" s="3471"/>
    </row>
    <row r="437" spans="2:7">
      <c r="B437" s="3467" t="s">
        <v>3878</v>
      </c>
      <c r="C437" s="3457"/>
      <c r="D437" s="3463">
        <v>29.15</v>
      </c>
      <c r="E437" s="3470">
        <v>18.02</v>
      </c>
      <c r="F437" s="3463">
        <v>11.13</v>
      </c>
      <c r="G437" s="3471"/>
    </row>
    <row r="438" spans="2:7">
      <c r="B438" s="3467" t="s">
        <v>3879</v>
      </c>
      <c r="C438" s="3457"/>
      <c r="D438" s="3463">
        <v>32.47</v>
      </c>
      <c r="E438" s="3470">
        <v>20.07</v>
      </c>
      <c r="F438" s="3463">
        <v>12.4</v>
      </c>
      <c r="G438" s="3471"/>
    </row>
    <row r="439" spans="2:7">
      <c r="B439" s="3467" t="s">
        <v>3880</v>
      </c>
      <c r="C439" s="3457"/>
      <c r="D439" s="3463">
        <v>37.76</v>
      </c>
      <c r="E439" s="3470">
        <v>23.34</v>
      </c>
      <c r="F439" s="3463">
        <v>14.42</v>
      </c>
      <c r="G439" s="3471"/>
    </row>
    <row r="440" spans="2:7" hidden="1">
      <c r="B440" s="3473" t="s">
        <v>3881</v>
      </c>
      <c r="C440" s="3457" t="s">
        <v>3556</v>
      </c>
      <c r="D440" s="3463">
        <v>22.21</v>
      </c>
      <c r="E440" s="3470">
        <v>13.73</v>
      </c>
      <c r="F440" s="3463">
        <v>8.48</v>
      </c>
      <c r="G440" s="3471"/>
    </row>
    <row r="441" spans="2:7" hidden="1">
      <c r="B441" s="3473" t="s">
        <v>3882</v>
      </c>
      <c r="C441" s="3457" t="s">
        <v>3556</v>
      </c>
      <c r="D441" s="3463">
        <v>14.96</v>
      </c>
      <c r="E441" s="3470">
        <v>9.25</v>
      </c>
      <c r="F441" s="3463">
        <v>5.71</v>
      </c>
      <c r="G441" s="3471"/>
    </row>
    <row r="442" spans="2:7" hidden="1">
      <c r="B442" s="3473" t="s">
        <v>3883</v>
      </c>
      <c r="C442" s="3457" t="s">
        <v>3556</v>
      </c>
      <c r="D442" s="3463">
        <v>20.67</v>
      </c>
      <c r="E442" s="3470">
        <v>12.78</v>
      </c>
      <c r="F442" s="3463">
        <v>7.89</v>
      </c>
      <c r="G442" s="3471"/>
    </row>
    <row r="443" spans="2:7" hidden="1">
      <c r="B443" s="3473" t="s">
        <v>3884</v>
      </c>
      <c r="C443" s="3457" t="s">
        <v>3556</v>
      </c>
      <c r="D443" s="3463">
        <v>20.14</v>
      </c>
      <c r="E443" s="3470">
        <v>12.45</v>
      </c>
      <c r="F443" s="3463">
        <v>7.69</v>
      </c>
      <c r="G443" s="3471"/>
    </row>
    <row r="444" spans="2:7">
      <c r="B444" s="3467" t="s">
        <v>3885</v>
      </c>
      <c r="C444" s="3457"/>
      <c r="D444" s="3463">
        <v>27.84</v>
      </c>
      <c r="E444" s="3470">
        <v>17.21</v>
      </c>
      <c r="F444" s="3463">
        <v>10.63</v>
      </c>
      <c r="G444" s="3471"/>
    </row>
    <row r="445" spans="2:7">
      <c r="B445" s="3467" t="s">
        <v>3886</v>
      </c>
      <c r="C445" s="3457"/>
      <c r="D445" s="3463">
        <v>22.45</v>
      </c>
      <c r="E445" s="3470">
        <v>13.88</v>
      </c>
      <c r="F445" s="3463">
        <v>8.57</v>
      </c>
      <c r="G445" s="3471"/>
    </row>
    <row r="446" spans="2:7" hidden="1">
      <c r="B446" s="3473" t="s">
        <v>3887</v>
      </c>
      <c r="C446" s="3457" t="s">
        <v>3556</v>
      </c>
      <c r="D446" s="3463">
        <v>34.47</v>
      </c>
      <c r="E446" s="3470">
        <v>21.31</v>
      </c>
      <c r="F446" s="3463">
        <v>13.16</v>
      </c>
      <c r="G446" s="3471"/>
    </row>
    <row r="447" spans="2:7">
      <c r="B447" s="3467" t="s">
        <v>3888</v>
      </c>
      <c r="C447" s="3457"/>
      <c r="D447" s="3463">
        <v>19.8</v>
      </c>
      <c r="E447" s="3470">
        <v>12.24</v>
      </c>
      <c r="F447" s="3463">
        <v>7.56</v>
      </c>
      <c r="G447" s="3471"/>
    </row>
    <row r="448" spans="2:7">
      <c r="B448" s="3467" t="s">
        <v>3889</v>
      </c>
      <c r="C448" s="3457"/>
      <c r="D448" s="3463">
        <v>26.01</v>
      </c>
      <c r="E448" s="3470">
        <v>16.079999999999998</v>
      </c>
      <c r="F448" s="3463">
        <v>9.93</v>
      </c>
      <c r="G448" s="3471"/>
    </row>
    <row r="449" spans="2:7">
      <c r="B449" s="3467" t="s">
        <v>3890</v>
      </c>
      <c r="C449" s="3457"/>
      <c r="D449" s="3463">
        <v>70.95</v>
      </c>
      <c r="E449" s="3470">
        <v>43.86</v>
      </c>
      <c r="F449" s="3463">
        <v>27.09</v>
      </c>
      <c r="G449" s="3471"/>
    </row>
    <row r="450" spans="2:7" hidden="1">
      <c r="B450" s="3473" t="s">
        <v>3891</v>
      </c>
      <c r="C450" s="3457" t="s">
        <v>3556</v>
      </c>
      <c r="D450" s="3463">
        <v>31.37</v>
      </c>
      <c r="E450" s="3470">
        <v>19.39</v>
      </c>
      <c r="F450" s="3463">
        <v>11.98</v>
      </c>
      <c r="G450" s="3471"/>
    </row>
    <row r="451" spans="2:7">
      <c r="B451" s="3467" t="s">
        <v>3892</v>
      </c>
      <c r="C451" s="3457"/>
      <c r="D451" s="3463">
        <v>30.59</v>
      </c>
      <c r="E451" s="3470">
        <v>18.91</v>
      </c>
      <c r="F451" s="3463">
        <v>11.68</v>
      </c>
      <c r="G451" s="3471"/>
    </row>
    <row r="452" spans="2:7">
      <c r="B452" s="3467" t="s">
        <v>3893</v>
      </c>
      <c r="C452" s="3457"/>
      <c r="D452" s="3463">
        <v>28.52</v>
      </c>
      <c r="E452" s="3470">
        <v>17.63</v>
      </c>
      <c r="F452" s="3463">
        <v>10.89</v>
      </c>
      <c r="G452" s="3471"/>
    </row>
    <row r="453" spans="2:7">
      <c r="B453" s="3467" t="s">
        <v>3894</v>
      </c>
      <c r="C453" s="3457"/>
      <c r="D453" s="3463">
        <v>27.6</v>
      </c>
      <c r="E453" s="3470">
        <v>17.059999999999999</v>
      </c>
      <c r="F453" s="3463">
        <v>10.54</v>
      </c>
      <c r="G453" s="3471"/>
    </row>
    <row r="454" spans="2:7" hidden="1">
      <c r="B454" s="3473" t="s">
        <v>3895</v>
      </c>
      <c r="C454" s="3457" t="s">
        <v>3556</v>
      </c>
      <c r="D454" s="3463">
        <v>19.64</v>
      </c>
      <c r="E454" s="3470">
        <v>12.14</v>
      </c>
      <c r="F454" s="3463">
        <v>7.5</v>
      </c>
      <c r="G454" s="3471"/>
    </row>
    <row r="455" spans="2:7" hidden="1">
      <c r="B455" s="3473" t="s">
        <v>3896</v>
      </c>
      <c r="C455" s="3457" t="s">
        <v>3556</v>
      </c>
      <c r="D455" s="3463">
        <v>15.4</v>
      </c>
      <c r="E455" s="3470">
        <v>9.52</v>
      </c>
      <c r="F455" s="3463">
        <v>5.88</v>
      </c>
      <c r="G455" s="3471"/>
    </row>
    <row r="456" spans="2:7">
      <c r="B456" s="3467" t="s">
        <v>3897</v>
      </c>
      <c r="C456" s="3457"/>
      <c r="D456" s="3463">
        <v>24.96</v>
      </c>
      <c r="E456" s="3470">
        <v>15.43</v>
      </c>
      <c r="F456" s="3463">
        <v>9.5299999999999994</v>
      </c>
      <c r="G456" s="3471"/>
    </row>
    <row r="457" spans="2:7">
      <c r="B457" s="3467" t="s">
        <v>3898</v>
      </c>
      <c r="C457" s="3457"/>
      <c r="D457" s="3463">
        <v>22.5</v>
      </c>
      <c r="E457" s="3470">
        <v>13.91</v>
      </c>
      <c r="F457" s="3463">
        <v>8.59</v>
      </c>
      <c r="G457" s="3471"/>
    </row>
    <row r="458" spans="2:7">
      <c r="B458" s="3467" t="s">
        <v>3899</v>
      </c>
      <c r="C458" s="3457"/>
      <c r="D458" s="3463">
        <v>24.02</v>
      </c>
      <c r="E458" s="3470">
        <v>14.85</v>
      </c>
      <c r="F458" s="3463">
        <v>9.17</v>
      </c>
      <c r="G458" s="3471"/>
    </row>
    <row r="459" spans="2:7">
      <c r="B459" s="3467" t="s">
        <v>3900</v>
      </c>
      <c r="C459" s="3457"/>
      <c r="D459" s="3463">
        <v>18.850000000000001</v>
      </c>
      <c r="E459" s="3470">
        <v>11.65</v>
      </c>
      <c r="F459" s="3463">
        <v>7.2</v>
      </c>
      <c r="G459" s="3471"/>
    </row>
    <row r="460" spans="2:7">
      <c r="B460" s="3467" t="s">
        <v>3901</v>
      </c>
      <c r="C460" s="3457"/>
      <c r="D460" s="3463">
        <v>18.73</v>
      </c>
      <c r="E460" s="3470">
        <v>11.58</v>
      </c>
      <c r="F460" s="3463">
        <v>7.15</v>
      </c>
      <c r="G460" s="3471"/>
    </row>
    <row r="461" spans="2:7" hidden="1">
      <c r="B461" s="3473" t="s">
        <v>3902</v>
      </c>
      <c r="C461" s="3457" t="s">
        <v>3556</v>
      </c>
      <c r="D461" s="3463">
        <v>18.73</v>
      </c>
      <c r="E461" s="3470">
        <v>11.58</v>
      </c>
      <c r="F461" s="3463">
        <v>7.15</v>
      </c>
      <c r="G461" s="3471"/>
    </row>
    <row r="462" spans="2:7">
      <c r="B462" s="3467" t="s">
        <v>3903</v>
      </c>
      <c r="C462" s="3457"/>
      <c r="D462" s="3463">
        <v>26.67</v>
      </c>
      <c r="E462" s="3470">
        <v>16.489999999999998</v>
      </c>
      <c r="F462" s="3463">
        <v>10.18</v>
      </c>
      <c r="G462" s="3471"/>
    </row>
    <row r="463" spans="2:7" hidden="1">
      <c r="B463" s="3473" t="s">
        <v>3904</v>
      </c>
      <c r="C463" s="3457" t="s">
        <v>3556</v>
      </c>
      <c r="D463" s="3463">
        <v>22.32</v>
      </c>
      <c r="E463" s="3470">
        <v>13.8</v>
      </c>
      <c r="F463" s="3463">
        <v>8.52</v>
      </c>
      <c r="G463" s="3471"/>
    </row>
    <row r="464" spans="2:7">
      <c r="B464" s="3467" t="s">
        <v>3905</v>
      </c>
      <c r="C464" s="3457"/>
      <c r="D464" s="3463">
        <v>18.02</v>
      </c>
      <c r="E464" s="3470">
        <v>11.14</v>
      </c>
      <c r="F464" s="3463">
        <v>6.88</v>
      </c>
      <c r="G464" s="3471"/>
    </row>
    <row r="465" spans="2:7">
      <c r="B465" s="3467" t="s">
        <v>3906</v>
      </c>
      <c r="C465" s="3457"/>
      <c r="D465" s="3463">
        <v>24.72</v>
      </c>
      <c r="E465" s="3470">
        <v>15.28</v>
      </c>
      <c r="F465" s="3463">
        <v>9.44</v>
      </c>
      <c r="G465" s="3471"/>
    </row>
    <row r="466" spans="2:7">
      <c r="B466" s="3467" t="s">
        <v>3907</v>
      </c>
      <c r="C466" s="3457"/>
      <c r="D466" s="3463">
        <v>27.48</v>
      </c>
      <c r="E466" s="3470">
        <v>16.989999999999998</v>
      </c>
      <c r="F466" s="3463">
        <v>10.49</v>
      </c>
      <c r="G466" s="3471"/>
    </row>
    <row r="467" spans="2:7">
      <c r="B467" s="3467" t="s">
        <v>3908</v>
      </c>
      <c r="C467" s="3457"/>
      <c r="D467" s="3463">
        <v>27.45</v>
      </c>
      <c r="E467" s="3470">
        <v>16.97</v>
      </c>
      <c r="F467" s="3463">
        <v>10.48</v>
      </c>
      <c r="G467" s="3471"/>
    </row>
    <row r="468" spans="2:7">
      <c r="B468" s="3467" t="s">
        <v>3909</v>
      </c>
      <c r="C468" s="3457"/>
      <c r="D468" s="3463">
        <v>24.73</v>
      </c>
      <c r="E468" s="3470">
        <v>15.29</v>
      </c>
      <c r="F468" s="3463">
        <v>9.44</v>
      </c>
      <c r="G468" s="3471"/>
    </row>
    <row r="469" spans="2:7">
      <c r="B469" s="3467" t="s">
        <v>3910</v>
      </c>
      <c r="C469" s="3457"/>
      <c r="D469" s="3463">
        <v>27.74</v>
      </c>
      <c r="E469" s="3470">
        <v>17.149999999999999</v>
      </c>
      <c r="F469" s="3463">
        <v>10.59</v>
      </c>
      <c r="G469" s="3471"/>
    </row>
    <row r="470" spans="2:7">
      <c r="B470" s="3467" t="s">
        <v>3911</v>
      </c>
      <c r="C470" s="3457"/>
      <c r="D470" s="3463">
        <v>27.18</v>
      </c>
      <c r="E470" s="3470">
        <v>16.8</v>
      </c>
      <c r="F470" s="3463">
        <v>10.38</v>
      </c>
      <c r="G470" s="3471"/>
    </row>
    <row r="471" spans="2:7">
      <c r="B471" s="3467" t="s">
        <v>3912</v>
      </c>
      <c r="C471" s="3457"/>
      <c r="D471" s="3463">
        <v>27.31</v>
      </c>
      <c r="E471" s="3470">
        <v>16.88</v>
      </c>
      <c r="F471" s="3463">
        <v>10.43</v>
      </c>
      <c r="G471" s="3471"/>
    </row>
    <row r="472" spans="2:7">
      <c r="B472" s="3467" t="s">
        <v>3913</v>
      </c>
      <c r="C472" s="3457"/>
      <c r="D472" s="3463">
        <v>27.53</v>
      </c>
      <c r="E472" s="3470">
        <v>17.02</v>
      </c>
      <c r="F472" s="3463">
        <v>10.51</v>
      </c>
      <c r="G472" s="3471"/>
    </row>
    <row r="473" spans="2:7">
      <c r="B473" s="3467" t="s">
        <v>3914</v>
      </c>
      <c r="C473" s="3457"/>
      <c r="D473" s="3463">
        <v>27.74</v>
      </c>
      <c r="E473" s="3470">
        <v>17.149999999999999</v>
      </c>
      <c r="F473" s="3463">
        <v>10.59</v>
      </c>
      <c r="G473" s="3471"/>
    </row>
    <row r="474" spans="2:7">
      <c r="B474" s="3467" t="s">
        <v>3915</v>
      </c>
      <c r="C474" s="3457"/>
      <c r="D474" s="3463">
        <v>27.97</v>
      </c>
      <c r="E474" s="3470">
        <v>17.29</v>
      </c>
      <c r="F474" s="3463">
        <v>10.68</v>
      </c>
      <c r="G474" s="3471"/>
    </row>
    <row r="475" spans="2:7">
      <c r="B475" s="3467" t="s">
        <v>3916</v>
      </c>
      <c r="C475" s="3457"/>
      <c r="D475" s="3463">
        <v>28.2</v>
      </c>
      <c r="E475" s="3470">
        <v>17.43</v>
      </c>
      <c r="F475" s="3463">
        <v>10.77</v>
      </c>
      <c r="G475" s="3471"/>
    </row>
    <row r="476" spans="2:7">
      <c r="B476" s="3467" t="s">
        <v>3917</v>
      </c>
      <c r="C476" s="3457"/>
      <c r="D476" s="3463">
        <v>28.23</v>
      </c>
      <c r="E476" s="3470">
        <v>17.45</v>
      </c>
      <c r="F476" s="3463">
        <v>10.78</v>
      </c>
      <c r="G476" s="3471"/>
    </row>
    <row r="477" spans="2:7">
      <c r="B477" s="3467" t="s">
        <v>3918</v>
      </c>
      <c r="C477" s="3457"/>
      <c r="D477" s="3463">
        <v>26.58</v>
      </c>
      <c r="E477" s="3470">
        <v>16.43</v>
      </c>
      <c r="F477" s="3463">
        <v>10.15</v>
      </c>
      <c r="G477" s="3471"/>
    </row>
    <row r="478" spans="2:7">
      <c r="B478" s="3467" t="s">
        <v>3919</v>
      </c>
      <c r="C478" s="3457"/>
      <c r="D478" s="3463">
        <v>40.299999999999997</v>
      </c>
      <c r="E478" s="3470">
        <v>24.91</v>
      </c>
      <c r="F478" s="3463">
        <v>15.39</v>
      </c>
      <c r="G478" s="3471"/>
    </row>
    <row r="479" spans="2:7" hidden="1">
      <c r="B479" s="3473" t="s">
        <v>3920</v>
      </c>
      <c r="C479" s="3457" t="s">
        <v>3556</v>
      </c>
      <c r="D479" s="3463">
        <v>47.62</v>
      </c>
      <c r="E479" s="3470">
        <v>29.44</v>
      </c>
      <c r="F479" s="3463">
        <v>18.18</v>
      </c>
      <c r="G479" s="3471"/>
    </row>
    <row r="480" spans="2:7">
      <c r="B480" s="3467" t="s">
        <v>3921</v>
      </c>
      <c r="C480" s="3474"/>
      <c r="D480" s="3463">
        <v>18.57</v>
      </c>
      <c r="E480" s="3470">
        <v>11.48</v>
      </c>
      <c r="F480" s="3463">
        <v>7.09</v>
      </c>
      <c r="G480" s="3471"/>
    </row>
    <row r="481" spans="2:7" hidden="1">
      <c r="B481" s="3473" t="s">
        <v>3922</v>
      </c>
      <c r="C481" s="3457" t="s">
        <v>3556</v>
      </c>
      <c r="D481" s="3463">
        <v>20.350000000000001</v>
      </c>
      <c r="E481" s="3470">
        <v>12.58</v>
      </c>
      <c r="F481" s="3463">
        <v>7.77</v>
      </c>
      <c r="G481" s="3471"/>
    </row>
    <row r="482" spans="2:7" hidden="1">
      <c r="B482" s="3473" t="s">
        <v>3923</v>
      </c>
      <c r="C482" s="3457" t="s">
        <v>3556</v>
      </c>
      <c r="D482" s="3463">
        <v>17.28</v>
      </c>
      <c r="E482" s="3470">
        <v>10.68</v>
      </c>
      <c r="F482" s="3463">
        <v>6.6</v>
      </c>
      <c r="G482" s="3471"/>
    </row>
    <row r="483" spans="2:7">
      <c r="B483" s="3467" t="s">
        <v>3924</v>
      </c>
      <c r="C483" s="3457"/>
      <c r="D483" s="3463">
        <v>19.96</v>
      </c>
      <c r="E483" s="3470">
        <v>12.34</v>
      </c>
      <c r="F483" s="3463">
        <v>7.62</v>
      </c>
      <c r="G483" s="3471"/>
    </row>
    <row r="484" spans="2:7">
      <c r="B484" s="3467" t="s">
        <v>3925</v>
      </c>
      <c r="C484" s="3457"/>
      <c r="D484" s="3463">
        <v>53.16</v>
      </c>
      <c r="E484" s="3470">
        <v>32.86</v>
      </c>
      <c r="F484" s="3463">
        <v>20.3</v>
      </c>
      <c r="G484" s="3471"/>
    </row>
    <row r="485" spans="2:7">
      <c r="B485" s="3467" t="s">
        <v>3926</v>
      </c>
      <c r="C485" s="3457"/>
      <c r="D485" s="3463">
        <v>53.16</v>
      </c>
      <c r="E485" s="3470">
        <v>32.86</v>
      </c>
      <c r="F485" s="3463">
        <v>20.3</v>
      </c>
      <c r="G485" s="3471"/>
    </row>
    <row r="486" spans="2:7">
      <c r="B486" s="3467" t="s">
        <v>3927</v>
      </c>
      <c r="C486" s="3457"/>
      <c r="D486" s="3463">
        <v>23.41</v>
      </c>
      <c r="E486" s="3470">
        <v>14.47</v>
      </c>
      <c r="F486" s="3463">
        <v>8.94</v>
      </c>
      <c r="G486" s="3471"/>
    </row>
    <row r="487" spans="2:7">
      <c r="B487" s="3467" t="s">
        <v>3928</v>
      </c>
      <c r="C487" s="3457"/>
      <c r="D487" s="3463">
        <v>29.75</v>
      </c>
      <c r="E487" s="3470">
        <v>18.39</v>
      </c>
      <c r="F487" s="3463">
        <v>11.36</v>
      </c>
      <c r="G487" s="3471"/>
    </row>
    <row r="488" spans="2:7" hidden="1">
      <c r="B488" s="3473" t="s">
        <v>3929</v>
      </c>
      <c r="C488" s="3457" t="s">
        <v>3556</v>
      </c>
      <c r="D488" s="3463">
        <v>21.95</v>
      </c>
      <c r="E488" s="3470">
        <v>13.57</v>
      </c>
      <c r="F488" s="3463">
        <v>8.3800000000000008</v>
      </c>
      <c r="G488" s="3471"/>
    </row>
    <row r="489" spans="2:7">
      <c r="B489" s="3467" t="s">
        <v>3930</v>
      </c>
      <c r="C489" s="3457"/>
      <c r="D489" s="3463">
        <v>20.27</v>
      </c>
      <c r="E489" s="3470">
        <v>12.53</v>
      </c>
      <c r="F489" s="3463">
        <v>7.74</v>
      </c>
      <c r="G489" s="3471"/>
    </row>
    <row r="490" spans="2:7">
      <c r="B490" s="3467" t="s">
        <v>3931</v>
      </c>
      <c r="C490" s="3457"/>
      <c r="D490" s="3463">
        <v>25.41</v>
      </c>
      <c r="E490" s="3470">
        <v>15.71</v>
      </c>
      <c r="F490" s="3463">
        <v>9.6999999999999993</v>
      </c>
      <c r="G490" s="3471"/>
    </row>
    <row r="491" spans="2:7">
      <c r="B491" s="3467" t="s">
        <v>3932</v>
      </c>
      <c r="C491" s="3457"/>
      <c r="D491" s="3463">
        <v>26.48</v>
      </c>
      <c r="E491" s="3470">
        <v>16.37</v>
      </c>
      <c r="F491" s="3463">
        <v>10.11</v>
      </c>
      <c r="G491" s="3471"/>
    </row>
    <row r="492" spans="2:7">
      <c r="B492" s="3467" t="s">
        <v>3933</v>
      </c>
      <c r="C492" s="3457"/>
      <c r="D492" s="3463">
        <v>23.57</v>
      </c>
      <c r="E492" s="3470">
        <v>14.57</v>
      </c>
      <c r="F492" s="3463">
        <v>9</v>
      </c>
      <c r="G492" s="3471"/>
    </row>
    <row r="493" spans="2:7">
      <c r="B493" s="3467" t="s">
        <v>3934</v>
      </c>
      <c r="C493" s="3457"/>
      <c r="D493" s="3463">
        <v>24.6</v>
      </c>
      <c r="E493" s="3470">
        <v>15.21</v>
      </c>
      <c r="F493" s="3463">
        <v>9.39</v>
      </c>
      <c r="G493" s="3471"/>
    </row>
    <row r="494" spans="2:7">
      <c r="B494" s="3467" t="s">
        <v>3935</v>
      </c>
      <c r="C494" s="3457"/>
      <c r="D494" s="3463">
        <v>22.63</v>
      </c>
      <c r="E494" s="3470">
        <v>13.99</v>
      </c>
      <c r="F494" s="3463">
        <v>8.64</v>
      </c>
      <c r="G494" s="3471"/>
    </row>
    <row r="495" spans="2:7">
      <c r="B495" s="3467" t="s">
        <v>3936</v>
      </c>
      <c r="C495" s="3457"/>
      <c r="D495" s="3463">
        <v>20.45</v>
      </c>
      <c r="E495" s="3470">
        <v>12.64</v>
      </c>
      <c r="F495" s="3463">
        <v>7.81</v>
      </c>
      <c r="G495" s="3471"/>
    </row>
    <row r="496" spans="2:7">
      <c r="B496" s="3467" t="s">
        <v>3937</v>
      </c>
      <c r="C496" s="3457"/>
      <c r="D496" s="3463">
        <v>26.98</v>
      </c>
      <c r="E496" s="3470">
        <v>16.68</v>
      </c>
      <c r="F496" s="3463">
        <v>10.3</v>
      </c>
      <c r="G496" s="3471"/>
    </row>
    <row r="497" spans="2:7">
      <c r="B497" s="3467" t="s">
        <v>3938</v>
      </c>
      <c r="C497" s="3457"/>
      <c r="D497" s="3463">
        <v>27.39</v>
      </c>
      <c r="E497" s="3470">
        <v>16.93</v>
      </c>
      <c r="F497" s="3463">
        <v>10.46</v>
      </c>
      <c r="G497" s="3471"/>
    </row>
    <row r="498" spans="2:7">
      <c r="B498" s="3467" t="s">
        <v>3939</v>
      </c>
      <c r="C498" s="3457"/>
      <c r="D498" s="3463">
        <v>23.76</v>
      </c>
      <c r="E498" s="3470">
        <v>14.69</v>
      </c>
      <c r="F498" s="3463">
        <v>9.07</v>
      </c>
      <c r="G498" s="3471"/>
    </row>
    <row r="499" spans="2:7">
      <c r="B499" s="3467" t="s">
        <v>3940</v>
      </c>
      <c r="C499" s="3457"/>
      <c r="D499" s="3463">
        <v>26.51</v>
      </c>
      <c r="E499" s="3470">
        <v>16.39</v>
      </c>
      <c r="F499" s="3463">
        <v>10.119999999999999</v>
      </c>
      <c r="G499" s="3471"/>
    </row>
    <row r="500" spans="2:7">
      <c r="B500" s="3467" t="s">
        <v>3941</v>
      </c>
      <c r="C500" s="3457"/>
      <c r="D500" s="3463">
        <v>27</v>
      </c>
      <c r="E500" s="3470">
        <v>16.690000000000001</v>
      </c>
      <c r="F500" s="3463">
        <v>10.31</v>
      </c>
      <c r="G500" s="3471"/>
    </row>
    <row r="501" spans="2:7">
      <c r="B501" s="3467" t="s">
        <v>3942</v>
      </c>
      <c r="C501" s="3457"/>
      <c r="D501" s="3463">
        <v>21.82</v>
      </c>
      <c r="E501" s="3470">
        <v>13.49</v>
      </c>
      <c r="F501" s="3463">
        <v>8.33</v>
      </c>
      <c r="G501" s="3471"/>
    </row>
    <row r="502" spans="2:7">
      <c r="B502" s="3467" t="s">
        <v>3943</v>
      </c>
      <c r="C502" s="3457"/>
      <c r="D502" s="3463">
        <v>37.64</v>
      </c>
      <c r="E502" s="3470">
        <v>23.27</v>
      </c>
      <c r="F502" s="3463">
        <v>14.37</v>
      </c>
      <c r="G502" s="3471"/>
    </row>
    <row r="503" spans="2:7">
      <c r="B503" s="3467" t="s">
        <v>3944</v>
      </c>
      <c r="C503" s="3457"/>
      <c r="D503" s="3463">
        <v>27.45</v>
      </c>
      <c r="E503" s="3470">
        <v>16.97</v>
      </c>
      <c r="F503" s="3463">
        <v>10.48</v>
      </c>
      <c r="G503" s="3471"/>
    </row>
    <row r="504" spans="2:7">
      <c r="B504" s="3467" t="s">
        <v>3945</v>
      </c>
      <c r="C504" s="3457"/>
      <c r="D504" s="3463">
        <v>18.18</v>
      </c>
      <c r="E504" s="3470">
        <v>11.24</v>
      </c>
      <c r="F504" s="3463">
        <v>6.94</v>
      </c>
      <c r="G504" s="3471"/>
    </row>
    <row r="505" spans="2:7">
      <c r="B505" s="3467" t="s">
        <v>3946</v>
      </c>
      <c r="C505" s="3457"/>
      <c r="D505" s="3463">
        <v>20.059999999999999</v>
      </c>
      <c r="E505" s="3470">
        <v>12.4</v>
      </c>
      <c r="F505" s="3463">
        <v>7.66</v>
      </c>
      <c r="G505" s="3471"/>
    </row>
    <row r="506" spans="2:7">
      <c r="B506" s="3467" t="s">
        <v>3947</v>
      </c>
      <c r="C506" s="3457"/>
      <c r="D506" s="3463">
        <v>27.47</v>
      </c>
      <c r="E506" s="3470">
        <v>16.98</v>
      </c>
      <c r="F506" s="3463">
        <v>10.49</v>
      </c>
      <c r="G506" s="3471"/>
    </row>
    <row r="507" spans="2:7">
      <c r="B507" s="3467" t="s">
        <v>3948</v>
      </c>
      <c r="C507" s="3457"/>
      <c r="D507" s="3463">
        <v>38.369999999999997</v>
      </c>
      <c r="E507" s="3470">
        <v>23.72</v>
      </c>
      <c r="F507" s="3463">
        <v>14.65</v>
      </c>
      <c r="G507" s="3471"/>
    </row>
    <row r="508" spans="2:7">
      <c r="B508" s="3467" t="s">
        <v>3949</v>
      </c>
      <c r="C508" s="3457"/>
      <c r="D508" s="3463">
        <v>28.78</v>
      </c>
      <c r="E508" s="3470">
        <v>17.79</v>
      </c>
      <c r="F508" s="3463">
        <v>10.99</v>
      </c>
      <c r="G508" s="3471"/>
    </row>
    <row r="509" spans="2:7">
      <c r="B509" s="3467" t="s">
        <v>3950</v>
      </c>
      <c r="C509" s="3457"/>
      <c r="D509" s="3463">
        <v>27.35</v>
      </c>
      <c r="E509" s="3470">
        <v>16.91</v>
      </c>
      <c r="F509" s="3463">
        <v>10.44</v>
      </c>
      <c r="G509" s="3471"/>
    </row>
    <row r="510" spans="2:7">
      <c r="B510" s="3467" t="s">
        <v>3951</v>
      </c>
      <c r="C510" s="3457"/>
      <c r="D510" s="3463">
        <v>26.55</v>
      </c>
      <c r="E510" s="3470">
        <v>16.41</v>
      </c>
      <c r="F510" s="3463">
        <v>10.14</v>
      </c>
      <c r="G510" s="3471"/>
    </row>
    <row r="511" spans="2:7">
      <c r="B511" s="3467" t="s">
        <v>3952</v>
      </c>
      <c r="C511" s="3457"/>
      <c r="D511" s="3463">
        <v>26.32</v>
      </c>
      <c r="E511" s="3470">
        <v>16.27</v>
      </c>
      <c r="F511" s="3463">
        <v>10.050000000000001</v>
      </c>
      <c r="G511" s="3471"/>
    </row>
    <row r="512" spans="2:7">
      <c r="B512" s="3467" t="s">
        <v>3953</v>
      </c>
      <c r="C512" s="3457"/>
      <c r="D512" s="3463">
        <v>26.32</v>
      </c>
      <c r="E512" s="3470">
        <v>16.27</v>
      </c>
      <c r="F512" s="3463">
        <v>10.050000000000001</v>
      </c>
      <c r="G512" s="3471"/>
    </row>
    <row r="513" spans="2:7">
      <c r="B513" s="3467" t="s">
        <v>3954</v>
      </c>
      <c r="C513" s="3457"/>
      <c r="D513" s="3463">
        <v>26.32</v>
      </c>
      <c r="E513" s="3470">
        <v>16.27</v>
      </c>
      <c r="F513" s="3463">
        <v>10.050000000000001</v>
      </c>
      <c r="G513" s="3471"/>
    </row>
    <row r="514" spans="2:7" hidden="1">
      <c r="B514" s="3473" t="s">
        <v>3955</v>
      </c>
      <c r="C514" s="3457" t="s">
        <v>3556</v>
      </c>
      <c r="D514" s="3463">
        <v>35.72</v>
      </c>
      <c r="E514" s="3470">
        <v>22.08</v>
      </c>
      <c r="F514" s="3463">
        <v>13.64</v>
      </c>
      <c r="G514" s="3471"/>
    </row>
    <row r="515" spans="2:7">
      <c r="B515" s="3467" t="s">
        <v>3956</v>
      </c>
      <c r="C515" s="3457"/>
      <c r="D515" s="3463">
        <v>26.32</v>
      </c>
      <c r="E515" s="3470">
        <v>16.27</v>
      </c>
      <c r="F515" s="3463">
        <v>10.050000000000001</v>
      </c>
      <c r="G515" s="3471"/>
    </row>
    <row r="516" spans="2:7">
      <c r="B516" s="3467" t="s">
        <v>3957</v>
      </c>
      <c r="C516" s="3457"/>
      <c r="D516" s="3463">
        <v>29.6</v>
      </c>
      <c r="E516" s="3470">
        <v>18.3</v>
      </c>
      <c r="F516" s="3463">
        <v>11.3</v>
      </c>
      <c r="G516" s="3471"/>
    </row>
    <row r="517" spans="2:7">
      <c r="B517" s="3467" t="s">
        <v>3958</v>
      </c>
      <c r="C517" s="3457"/>
      <c r="D517" s="3463">
        <v>29.6</v>
      </c>
      <c r="E517" s="3470">
        <v>18.3</v>
      </c>
      <c r="F517" s="3463">
        <v>11.3</v>
      </c>
      <c r="G517" s="3471"/>
    </row>
    <row r="518" spans="2:7">
      <c r="B518" s="3467" t="s">
        <v>3959</v>
      </c>
      <c r="C518" s="3457"/>
      <c r="D518" s="3463">
        <v>29.6</v>
      </c>
      <c r="E518" s="3470">
        <v>18.3</v>
      </c>
      <c r="F518" s="3463">
        <v>11.3</v>
      </c>
      <c r="G518" s="3471"/>
    </row>
    <row r="519" spans="2:7">
      <c r="B519" s="3467" t="s">
        <v>3960</v>
      </c>
      <c r="C519" s="3457"/>
      <c r="D519" s="3463">
        <v>29.6</v>
      </c>
      <c r="E519" s="3470">
        <v>18.3</v>
      </c>
      <c r="F519" s="3463">
        <v>11.3</v>
      </c>
      <c r="G519" s="3471"/>
    </row>
    <row r="520" spans="2:7">
      <c r="B520" s="3467" t="s">
        <v>3961</v>
      </c>
      <c r="C520" s="3457"/>
      <c r="D520" s="3463">
        <v>29.6</v>
      </c>
      <c r="E520" s="3470">
        <v>18.3</v>
      </c>
      <c r="F520" s="3463">
        <v>11.3</v>
      </c>
      <c r="G520" s="3471"/>
    </row>
    <row r="521" spans="2:7">
      <c r="B521" s="3467" t="s">
        <v>3962</v>
      </c>
      <c r="C521" s="3457"/>
      <c r="D521" s="3463">
        <v>29.6</v>
      </c>
      <c r="E521" s="3470">
        <v>18.3</v>
      </c>
      <c r="F521" s="3463">
        <v>11.3</v>
      </c>
      <c r="G521" s="3471"/>
    </row>
    <row r="522" spans="2:7">
      <c r="B522" s="3467" t="s">
        <v>3963</v>
      </c>
      <c r="C522" s="3457"/>
      <c r="D522" s="3463">
        <v>29.6</v>
      </c>
      <c r="E522" s="3470">
        <v>18.3</v>
      </c>
      <c r="F522" s="3463">
        <v>11.3</v>
      </c>
      <c r="G522" s="3471"/>
    </row>
    <row r="523" spans="2:7">
      <c r="B523" s="3467" t="s">
        <v>3964</v>
      </c>
      <c r="C523" s="3457"/>
      <c r="D523" s="3463">
        <v>29.6</v>
      </c>
      <c r="E523" s="3470">
        <v>18.3</v>
      </c>
      <c r="F523" s="3463">
        <v>11.3</v>
      </c>
      <c r="G523" s="3471"/>
    </row>
    <row r="524" spans="2:7">
      <c r="B524" s="3467" t="s">
        <v>3965</v>
      </c>
      <c r="C524" s="3457"/>
      <c r="D524" s="3463">
        <v>28.66</v>
      </c>
      <c r="E524" s="3470">
        <v>17.72</v>
      </c>
      <c r="F524" s="3463">
        <v>10.94</v>
      </c>
      <c r="G524" s="3471"/>
    </row>
    <row r="525" spans="2:7">
      <c r="B525" s="3467" t="s">
        <v>3966</v>
      </c>
      <c r="C525" s="3457"/>
      <c r="D525" s="3463">
        <v>27.26</v>
      </c>
      <c r="E525" s="3470">
        <v>16.850000000000001</v>
      </c>
      <c r="F525" s="3463">
        <v>10.41</v>
      </c>
      <c r="G525" s="3471"/>
    </row>
    <row r="526" spans="2:7">
      <c r="B526" s="3467" t="s">
        <v>3967</v>
      </c>
      <c r="C526" s="3457"/>
      <c r="D526" s="3463">
        <v>33.58</v>
      </c>
      <c r="E526" s="3470">
        <v>20.76</v>
      </c>
      <c r="F526" s="3463">
        <v>12.82</v>
      </c>
      <c r="G526" s="3471"/>
    </row>
    <row r="527" spans="2:7">
      <c r="B527" s="3467" t="s">
        <v>3968</v>
      </c>
      <c r="C527" s="3457"/>
      <c r="D527" s="3463">
        <v>25.48</v>
      </c>
      <c r="E527" s="3470">
        <v>15.75</v>
      </c>
      <c r="F527" s="3463">
        <v>9.73</v>
      </c>
      <c r="G527" s="3471"/>
    </row>
    <row r="528" spans="2:7">
      <c r="B528" s="3467" t="s">
        <v>3969</v>
      </c>
      <c r="C528" s="3457"/>
      <c r="D528" s="3463">
        <v>25.22</v>
      </c>
      <c r="E528" s="3470">
        <v>15.59</v>
      </c>
      <c r="F528" s="3463">
        <v>9.6300000000000008</v>
      </c>
      <c r="G528" s="3471"/>
    </row>
    <row r="529" spans="2:7">
      <c r="B529" s="3467" t="s">
        <v>3970</v>
      </c>
      <c r="C529" s="3457"/>
      <c r="D529" s="3463">
        <v>24.46</v>
      </c>
      <c r="E529" s="3470">
        <v>15.12</v>
      </c>
      <c r="F529" s="3463">
        <v>9.34</v>
      </c>
      <c r="G529" s="3471"/>
    </row>
    <row r="530" spans="2:7">
      <c r="B530" s="3467" t="s">
        <v>3971</v>
      </c>
      <c r="C530" s="3457"/>
      <c r="D530" s="3463">
        <v>25.36</v>
      </c>
      <c r="E530" s="3470">
        <v>15.68</v>
      </c>
      <c r="F530" s="3463">
        <v>9.68</v>
      </c>
      <c r="G530" s="3471"/>
    </row>
    <row r="531" spans="2:7">
      <c r="B531" s="3467" t="s">
        <v>3972</v>
      </c>
      <c r="C531" s="3457"/>
      <c r="D531" s="3463">
        <v>20.84</v>
      </c>
      <c r="E531" s="3470">
        <v>12.88</v>
      </c>
      <c r="F531" s="3463">
        <v>7.96</v>
      </c>
      <c r="G531" s="3471"/>
    </row>
    <row r="532" spans="2:7">
      <c r="B532" s="3467" t="s">
        <v>3973</v>
      </c>
      <c r="C532" s="3457"/>
      <c r="D532" s="3463">
        <v>21.98</v>
      </c>
      <c r="E532" s="3470">
        <v>13.59</v>
      </c>
      <c r="F532" s="3463">
        <v>8.39</v>
      </c>
      <c r="G532" s="3471"/>
    </row>
    <row r="533" spans="2:7">
      <c r="B533" s="3467" t="s">
        <v>3974</v>
      </c>
      <c r="C533" s="3457"/>
      <c r="D533" s="3463">
        <v>21.98</v>
      </c>
      <c r="E533" s="3470">
        <v>13.59</v>
      </c>
      <c r="F533" s="3463">
        <v>8.39</v>
      </c>
      <c r="G533" s="3471"/>
    </row>
    <row r="534" spans="2:7">
      <c r="B534" s="3467" t="s">
        <v>3975</v>
      </c>
      <c r="C534" s="3457"/>
      <c r="D534" s="3463">
        <v>21.98</v>
      </c>
      <c r="E534" s="3470">
        <v>13.59</v>
      </c>
      <c r="F534" s="3463">
        <v>8.39</v>
      </c>
      <c r="G534" s="3471"/>
    </row>
    <row r="535" spans="2:7">
      <c r="B535" s="3467" t="s">
        <v>3976</v>
      </c>
      <c r="C535" s="3457"/>
      <c r="D535" s="3463">
        <v>21.98</v>
      </c>
      <c r="E535" s="3470">
        <v>13.59</v>
      </c>
      <c r="F535" s="3463">
        <v>8.39</v>
      </c>
      <c r="G535" s="3471"/>
    </row>
    <row r="536" spans="2:7">
      <c r="B536" s="3467" t="s">
        <v>3977</v>
      </c>
      <c r="C536" s="3457"/>
      <c r="D536" s="3463">
        <v>21.98</v>
      </c>
      <c r="E536" s="3470">
        <v>13.59</v>
      </c>
      <c r="F536" s="3463">
        <v>8.39</v>
      </c>
      <c r="G536" s="3471"/>
    </row>
    <row r="537" spans="2:7">
      <c r="B537" s="3467" t="s">
        <v>3978</v>
      </c>
      <c r="C537" s="3457"/>
      <c r="D537" s="3463">
        <v>21.98</v>
      </c>
      <c r="E537" s="3470">
        <v>13.59</v>
      </c>
      <c r="F537" s="3463">
        <v>8.39</v>
      </c>
      <c r="G537" s="3471"/>
    </row>
    <row r="538" spans="2:7">
      <c r="B538" s="3467" t="s">
        <v>3979</v>
      </c>
      <c r="C538" s="3457"/>
      <c r="D538" s="3463">
        <v>21.35</v>
      </c>
      <c r="E538" s="3470">
        <v>13.2</v>
      </c>
      <c r="F538" s="3463">
        <v>8.15</v>
      </c>
      <c r="G538" s="3471"/>
    </row>
    <row r="539" spans="2:7">
      <c r="B539" s="3467" t="s">
        <v>3980</v>
      </c>
      <c r="C539" s="3457"/>
      <c r="D539" s="3463">
        <v>37.06</v>
      </c>
      <c r="E539" s="3470">
        <v>22.91</v>
      </c>
      <c r="F539" s="3463">
        <v>14.15</v>
      </c>
      <c r="G539" s="3471"/>
    </row>
    <row r="540" spans="2:7">
      <c r="B540" s="3467" t="s">
        <v>3981</v>
      </c>
      <c r="C540" s="3457"/>
      <c r="D540" s="3463">
        <v>23.97</v>
      </c>
      <c r="E540" s="3470">
        <v>14.82</v>
      </c>
      <c r="F540" s="3463">
        <v>9.15</v>
      </c>
      <c r="G540" s="3471"/>
    </row>
    <row r="541" spans="2:7">
      <c r="B541" s="3467" t="s">
        <v>3982</v>
      </c>
      <c r="C541" s="3457"/>
      <c r="D541" s="3463">
        <v>24.18</v>
      </c>
      <c r="E541" s="3470">
        <v>14.95</v>
      </c>
      <c r="F541" s="3463">
        <v>9.23</v>
      </c>
      <c r="G541" s="3471"/>
    </row>
    <row r="542" spans="2:7">
      <c r="B542" s="3467" t="s">
        <v>3983</v>
      </c>
      <c r="C542" s="3457"/>
      <c r="D542" s="3463">
        <v>24.18</v>
      </c>
      <c r="E542" s="3470">
        <v>14.95</v>
      </c>
      <c r="F542" s="3463">
        <v>9.23</v>
      </c>
      <c r="G542" s="3471"/>
    </row>
    <row r="543" spans="2:7">
      <c r="B543" s="3467" t="s">
        <v>3984</v>
      </c>
      <c r="C543" s="3457"/>
      <c r="D543" s="3463">
        <v>24.18</v>
      </c>
      <c r="E543" s="3470">
        <v>14.95</v>
      </c>
      <c r="F543" s="3463">
        <v>9.23</v>
      </c>
      <c r="G543" s="3471"/>
    </row>
    <row r="544" spans="2:7">
      <c r="B544" s="3467" t="s">
        <v>3985</v>
      </c>
      <c r="C544" s="3457"/>
      <c r="D544" s="3463">
        <v>25.91</v>
      </c>
      <c r="E544" s="3470">
        <v>16.02</v>
      </c>
      <c r="F544" s="3463">
        <v>9.89</v>
      </c>
      <c r="G544" s="3471"/>
    </row>
    <row r="545" spans="2:7" hidden="1">
      <c r="B545" s="3473" t="s">
        <v>3986</v>
      </c>
      <c r="C545" s="3457" t="s">
        <v>3556</v>
      </c>
      <c r="D545" s="3463">
        <v>22.47</v>
      </c>
      <c r="E545" s="3470">
        <v>13.89</v>
      </c>
      <c r="F545" s="3463">
        <v>8.58</v>
      </c>
      <c r="G545" s="3471"/>
    </row>
    <row r="546" spans="2:7">
      <c r="B546" s="3467" t="s">
        <v>3987</v>
      </c>
      <c r="C546" s="3468"/>
      <c r="D546" s="3463">
        <v>38.19</v>
      </c>
      <c r="E546" s="3470">
        <v>23.61</v>
      </c>
      <c r="F546" s="3463">
        <v>14.58</v>
      </c>
      <c r="G546" s="3471"/>
    </row>
    <row r="547" spans="2:7">
      <c r="B547" s="3467" t="s">
        <v>3988</v>
      </c>
      <c r="C547" s="3468"/>
      <c r="D547" s="3463">
        <v>19.64</v>
      </c>
      <c r="E547" s="3470">
        <v>12.14</v>
      </c>
      <c r="F547" s="3463">
        <v>7.5</v>
      </c>
      <c r="G547" s="3471"/>
    </row>
    <row r="548" spans="2:7">
      <c r="B548" s="3467" t="s">
        <v>3989</v>
      </c>
      <c r="C548" s="3468"/>
      <c r="D548" s="3463">
        <v>20.87</v>
      </c>
      <c r="E548" s="3470">
        <v>12.9</v>
      </c>
      <c r="F548" s="3463">
        <v>7.97</v>
      </c>
      <c r="G548" s="3471"/>
    </row>
    <row r="549" spans="2:7">
      <c r="B549" s="3467" t="s">
        <v>3990</v>
      </c>
      <c r="C549" s="3468"/>
      <c r="D549" s="3463">
        <v>37.17</v>
      </c>
      <c r="E549" s="3470">
        <v>22.98</v>
      </c>
      <c r="F549" s="3463">
        <v>14.19</v>
      </c>
      <c r="G549" s="3471"/>
    </row>
    <row r="550" spans="2:7">
      <c r="B550" s="3467" t="s">
        <v>3991</v>
      </c>
      <c r="C550" s="3468"/>
      <c r="D550" s="3463">
        <v>25.15</v>
      </c>
      <c r="E550" s="3470">
        <v>15.55</v>
      </c>
      <c r="F550" s="3463">
        <v>9.6</v>
      </c>
      <c r="G550" s="3471"/>
    </row>
    <row r="551" spans="2:7">
      <c r="B551" s="3467" t="s">
        <v>3992</v>
      </c>
      <c r="C551" s="3468"/>
      <c r="D551" s="3463">
        <v>28.66</v>
      </c>
      <c r="E551" s="3470">
        <v>17.72</v>
      </c>
      <c r="F551" s="3463">
        <v>10.94</v>
      </c>
      <c r="G551" s="3471"/>
    </row>
    <row r="552" spans="2:7">
      <c r="B552" s="3467" t="s">
        <v>3993</v>
      </c>
      <c r="C552" s="3468"/>
      <c r="D552" s="3463">
        <v>22.79</v>
      </c>
      <c r="E552" s="3470">
        <v>14.09</v>
      </c>
      <c r="F552" s="3463">
        <v>8.6999999999999993</v>
      </c>
      <c r="G552" s="3471"/>
    </row>
    <row r="553" spans="2:7">
      <c r="B553" s="3467" t="s">
        <v>3994</v>
      </c>
      <c r="C553" s="3468"/>
      <c r="D553" s="3463">
        <v>36.79</v>
      </c>
      <c r="E553" s="3470">
        <v>22.74</v>
      </c>
      <c r="F553" s="3463">
        <v>14.05</v>
      </c>
      <c r="G553" s="3471"/>
    </row>
    <row r="554" spans="2:7">
      <c r="B554" s="3467" t="s">
        <v>3995</v>
      </c>
      <c r="C554" s="3468"/>
      <c r="D554" s="3463">
        <v>47.27</v>
      </c>
      <c r="E554" s="3470">
        <v>29.22</v>
      </c>
      <c r="F554" s="3463">
        <v>18.05</v>
      </c>
      <c r="G554" s="3471"/>
    </row>
    <row r="555" spans="2:7">
      <c r="B555" s="3467" t="s">
        <v>3996</v>
      </c>
      <c r="C555" s="3468"/>
      <c r="D555" s="3463">
        <v>24.22</v>
      </c>
      <c r="E555" s="3470">
        <v>14.97</v>
      </c>
      <c r="F555" s="3463">
        <v>9.25</v>
      </c>
      <c r="G555" s="3471"/>
    </row>
    <row r="556" spans="2:7">
      <c r="B556" s="3467" t="s">
        <v>3997</v>
      </c>
      <c r="C556" s="3468"/>
      <c r="D556" s="3463">
        <v>31.37</v>
      </c>
      <c r="E556" s="3470">
        <v>19.39</v>
      </c>
      <c r="F556" s="3463">
        <v>11.98</v>
      </c>
      <c r="G556" s="3471"/>
    </row>
    <row r="557" spans="2:7">
      <c r="B557" s="3467" t="s">
        <v>3998</v>
      </c>
      <c r="C557" s="3468"/>
      <c r="D557" s="3463">
        <v>20.61</v>
      </c>
      <c r="E557" s="3470">
        <v>12.74</v>
      </c>
      <c r="F557" s="3463">
        <v>7.87</v>
      </c>
      <c r="G557" s="3471"/>
    </row>
    <row r="558" spans="2:7">
      <c r="B558" s="3467" t="s">
        <v>3999</v>
      </c>
      <c r="C558" s="3468"/>
      <c r="D558" s="3463">
        <v>32.39</v>
      </c>
      <c r="E558" s="3470">
        <v>20.02</v>
      </c>
      <c r="F558" s="3463">
        <v>12.37</v>
      </c>
      <c r="G558" s="3471"/>
    </row>
    <row r="559" spans="2:7">
      <c r="B559" s="3467" t="s">
        <v>4000</v>
      </c>
      <c r="C559" s="3468"/>
      <c r="D559" s="3463">
        <v>18.8</v>
      </c>
      <c r="E559" s="3470">
        <v>11.62</v>
      </c>
      <c r="F559" s="3463">
        <v>7.18</v>
      </c>
      <c r="G559" s="3471"/>
    </row>
    <row r="560" spans="2:7">
      <c r="B560" s="3467" t="s">
        <v>4001</v>
      </c>
      <c r="C560" s="3468"/>
      <c r="D560" s="3463">
        <v>16.37</v>
      </c>
      <c r="E560" s="3470">
        <v>10.119999999999999</v>
      </c>
      <c r="F560" s="3463">
        <v>6.25</v>
      </c>
      <c r="G560" s="3471"/>
    </row>
    <row r="561" spans="2:7">
      <c r="B561" s="3467" t="s">
        <v>4002</v>
      </c>
      <c r="C561" s="3468"/>
      <c r="D561" s="3463">
        <v>13.96</v>
      </c>
      <c r="E561" s="3470">
        <v>8.6300000000000008</v>
      </c>
      <c r="F561" s="3463">
        <v>5.33</v>
      </c>
      <c r="G561" s="3471"/>
    </row>
    <row r="562" spans="2:7">
      <c r="B562" s="3467" t="s">
        <v>4003</v>
      </c>
      <c r="C562" s="3468"/>
      <c r="D562" s="3463">
        <v>16.66</v>
      </c>
      <c r="E562" s="3470">
        <v>10.3</v>
      </c>
      <c r="F562" s="3463">
        <v>6.36</v>
      </c>
      <c r="G562" s="3471"/>
    </row>
    <row r="563" spans="2:7">
      <c r="B563" s="3467" t="s">
        <v>4004</v>
      </c>
      <c r="C563" s="3468"/>
      <c r="D563" s="3463">
        <v>20.79</v>
      </c>
      <c r="E563" s="3470">
        <v>12.85</v>
      </c>
      <c r="F563" s="3463">
        <v>7.94</v>
      </c>
      <c r="G563" s="3471"/>
    </row>
    <row r="564" spans="2:7">
      <c r="B564" s="3467" t="s">
        <v>4005</v>
      </c>
      <c r="C564" s="3468"/>
      <c r="D564" s="3463">
        <v>22.97</v>
      </c>
      <c r="E564" s="3470">
        <v>14.2</v>
      </c>
      <c r="F564" s="3463">
        <v>8.77</v>
      </c>
      <c r="G564" s="3471"/>
    </row>
    <row r="565" spans="2:7">
      <c r="B565" s="3467" t="s">
        <v>4006</v>
      </c>
      <c r="C565" s="3468"/>
      <c r="D565" s="3463">
        <v>18.649999999999999</v>
      </c>
      <c r="E565" s="3470">
        <v>11.53</v>
      </c>
      <c r="F565" s="3463">
        <v>7.12</v>
      </c>
      <c r="G565" s="3471"/>
    </row>
    <row r="566" spans="2:7">
      <c r="B566" s="3467" t="s">
        <v>4007</v>
      </c>
      <c r="C566" s="3468"/>
      <c r="D566" s="3463">
        <v>27.95</v>
      </c>
      <c r="E566" s="3470">
        <v>17.28</v>
      </c>
      <c r="F566" s="3463">
        <v>10.67</v>
      </c>
      <c r="G566" s="3471"/>
    </row>
    <row r="567" spans="2:7">
      <c r="B567" s="3467" t="s">
        <v>4008</v>
      </c>
      <c r="C567" s="3468"/>
      <c r="D567" s="3463">
        <v>27.21</v>
      </c>
      <c r="E567" s="3470">
        <v>16.82</v>
      </c>
      <c r="F567" s="3463">
        <v>10.39</v>
      </c>
      <c r="G567" s="3471"/>
    </row>
    <row r="568" spans="2:7">
      <c r="B568" s="3467" t="s">
        <v>4009</v>
      </c>
      <c r="C568" s="3468"/>
      <c r="D568" s="3463">
        <v>33.31</v>
      </c>
      <c r="E568" s="3470">
        <v>20.59</v>
      </c>
      <c r="F568" s="3463">
        <v>12.72</v>
      </c>
      <c r="G568" s="3471"/>
    </row>
    <row r="569" spans="2:7">
      <c r="B569" s="3467" t="s">
        <v>4010</v>
      </c>
      <c r="C569" s="3468"/>
      <c r="D569" s="3463">
        <v>41.4</v>
      </c>
      <c r="E569" s="3470">
        <v>25.59</v>
      </c>
      <c r="F569" s="3463">
        <v>15.81</v>
      </c>
      <c r="G569" s="3471"/>
    </row>
    <row r="570" spans="2:7">
      <c r="B570" s="3467" t="s">
        <v>4011</v>
      </c>
      <c r="C570" s="3468"/>
      <c r="D570" s="3463">
        <v>24.25</v>
      </c>
      <c r="E570" s="3470">
        <v>14.99</v>
      </c>
      <c r="F570" s="3463">
        <v>9.26</v>
      </c>
      <c r="G570" s="3471"/>
    </row>
    <row r="571" spans="2:7">
      <c r="B571" s="3467" t="s">
        <v>4012</v>
      </c>
      <c r="C571" s="3468"/>
      <c r="D571" s="3463">
        <v>20.82</v>
      </c>
      <c r="E571" s="3470">
        <v>12.87</v>
      </c>
      <c r="F571" s="3463">
        <v>7.95</v>
      </c>
      <c r="G571" s="3471"/>
    </row>
    <row r="572" spans="2:7">
      <c r="B572" s="3467" t="s">
        <v>4013</v>
      </c>
      <c r="C572" s="3468"/>
      <c r="D572" s="3463">
        <v>26.98</v>
      </c>
      <c r="E572" s="3470">
        <v>16.68</v>
      </c>
      <c r="F572" s="3463">
        <v>10.3</v>
      </c>
      <c r="G572" s="3471"/>
    </row>
    <row r="573" spans="2:7">
      <c r="B573" s="3467" t="s">
        <v>4014</v>
      </c>
      <c r="C573" s="3468"/>
      <c r="D573" s="3463">
        <v>29.51</v>
      </c>
      <c r="E573" s="3470">
        <v>18.239999999999998</v>
      </c>
      <c r="F573" s="3463">
        <v>11.27</v>
      </c>
      <c r="G573" s="3471"/>
    </row>
    <row r="574" spans="2:7">
      <c r="B574" s="3467" t="s">
        <v>4015</v>
      </c>
      <c r="C574" s="3468"/>
      <c r="D574" s="3463">
        <v>32.6</v>
      </c>
      <c r="E574" s="3470">
        <v>20.149999999999999</v>
      </c>
      <c r="F574" s="3463">
        <v>12.45</v>
      </c>
      <c r="G574" s="3471"/>
    </row>
    <row r="575" spans="2:7">
      <c r="B575" s="3467" t="s">
        <v>4016</v>
      </c>
      <c r="C575" s="3468"/>
      <c r="D575" s="3463">
        <v>29.28</v>
      </c>
      <c r="E575" s="3470">
        <v>18.100000000000001</v>
      </c>
      <c r="F575" s="3463">
        <v>11.18</v>
      </c>
      <c r="G575" s="3471"/>
    </row>
    <row r="576" spans="2:7">
      <c r="B576" s="3467" t="s">
        <v>4017</v>
      </c>
      <c r="C576" s="3468"/>
      <c r="D576" s="3463">
        <v>18.12</v>
      </c>
      <c r="E576" s="3470">
        <v>11.2</v>
      </c>
      <c r="F576" s="3463">
        <v>6.92</v>
      </c>
      <c r="G576" s="3471"/>
    </row>
    <row r="577" spans="2:7">
      <c r="B577" s="3467" t="s">
        <v>4018</v>
      </c>
      <c r="C577" s="3468"/>
      <c r="D577" s="3463">
        <v>18.12</v>
      </c>
      <c r="E577" s="3470">
        <v>11.2</v>
      </c>
      <c r="F577" s="3463">
        <v>6.92</v>
      </c>
      <c r="G577" s="3471"/>
    </row>
    <row r="578" spans="2:7">
      <c r="B578" s="3467" t="s">
        <v>4019</v>
      </c>
      <c r="C578" s="3468"/>
      <c r="D578" s="3463">
        <v>27.14</v>
      </c>
      <c r="E578" s="3470">
        <v>16.78</v>
      </c>
      <c r="F578" s="3463">
        <v>10.36</v>
      </c>
      <c r="G578" s="3471"/>
    </row>
    <row r="579" spans="2:7">
      <c r="B579" s="3467" t="s">
        <v>4020</v>
      </c>
      <c r="C579" s="3468"/>
      <c r="D579" s="3463">
        <v>16.95</v>
      </c>
      <c r="E579" s="3470">
        <v>10.48</v>
      </c>
      <c r="F579" s="3463">
        <v>6.47</v>
      </c>
      <c r="G579" s="3471"/>
    </row>
    <row r="580" spans="2:7">
      <c r="B580" s="3467" t="s">
        <v>4021</v>
      </c>
      <c r="C580" s="3468"/>
      <c r="D580" s="3463">
        <v>20.38</v>
      </c>
      <c r="E580" s="3470">
        <v>12.6</v>
      </c>
      <c r="F580" s="3463">
        <v>7.78</v>
      </c>
      <c r="G580" s="3471"/>
    </row>
    <row r="581" spans="2:7">
      <c r="B581" s="3467" t="s">
        <v>4022</v>
      </c>
      <c r="C581" s="3468"/>
      <c r="D581" s="3463">
        <v>20.38</v>
      </c>
      <c r="E581" s="3470">
        <v>12.6</v>
      </c>
      <c r="F581" s="3463">
        <v>7.78</v>
      </c>
      <c r="G581" s="3471"/>
    </row>
    <row r="582" spans="2:7">
      <c r="B582" s="3467" t="s">
        <v>4023</v>
      </c>
      <c r="C582" s="3468"/>
      <c r="D582" s="3463">
        <v>20.38</v>
      </c>
      <c r="E582" s="3470">
        <v>12.6</v>
      </c>
      <c r="F582" s="3463">
        <v>7.78</v>
      </c>
      <c r="G582" s="3471"/>
    </row>
    <row r="583" spans="2:7">
      <c r="B583" s="3467" t="s">
        <v>4024</v>
      </c>
      <c r="C583" s="3468"/>
      <c r="D583" s="3463">
        <v>20.38</v>
      </c>
      <c r="E583" s="3470">
        <v>12.6</v>
      </c>
      <c r="F583" s="3463">
        <v>7.78</v>
      </c>
      <c r="G583" s="3471"/>
    </row>
    <row r="584" spans="2:7">
      <c r="B584" s="3467" t="s">
        <v>4025</v>
      </c>
      <c r="C584" s="3468"/>
      <c r="D584" s="3463">
        <v>26.72</v>
      </c>
      <c r="E584" s="3470">
        <v>16.52</v>
      </c>
      <c r="F584" s="3463">
        <v>10.199999999999999</v>
      </c>
      <c r="G584" s="3471"/>
    </row>
    <row r="585" spans="2:7">
      <c r="B585" s="3467" t="s">
        <v>4026</v>
      </c>
      <c r="C585" s="3468"/>
      <c r="D585" s="3463">
        <v>29.96</v>
      </c>
      <c r="E585" s="3470">
        <v>18.52</v>
      </c>
      <c r="F585" s="3463">
        <v>11.44</v>
      </c>
      <c r="G585" s="3471"/>
    </row>
    <row r="586" spans="2:7">
      <c r="B586" s="3467" t="s">
        <v>4027</v>
      </c>
      <c r="C586" s="3468"/>
      <c r="D586" s="3463">
        <v>21.82</v>
      </c>
      <c r="E586" s="3470">
        <v>13.49</v>
      </c>
      <c r="F586" s="3463">
        <v>8.33</v>
      </c>
      <c r="G586" s="3471"/>
    </row>
    <row r="587" spans="2:7">
      <c r="B587" s="3467" t="s">
        <v>4028</v>
      </c>
      <c r="C587" s="3468"/>
      <c r="D587" s="3463">
        <v>23.31</v>
      </c>
      <c r="E587" s="3470">
        <v>14.41</v>
      </c>
      <c r="F587" s="3463">
        <v>8.9</v>
      </c>
      <c r="G587" s="3471"/>
    </row>
    <row r="588" spans="2:7">
      <c r="B588" s="3467" t="s">
        <v>4029</v>
      </c>
      <c r="C588" s="3468"/>
      <c r="D588" s="3463">
        <v>25.64</v>
      </c>
      <c r="E588" s="3470">
        <v>15.85</v>
      </c>
      <c r="F588" s="3463">
        <v>9.7899999999999991</v>
      </c>
      <c r="G588" s="3471"/>
    </row>
    <row r="589" spans="2:7">
      <c r="B589" s="3467" t="s">
        <v>4030</v>
      </c>
      <c r="C589" s="3468"/>
      <c r="D589" s="3463">
        <v>18.93</v>
      </c>
      <c r="E589" s="3470">
        <v>11.7</v>
      </c>
      <c r="F589" s="3463">
        <v>7.23</v>
      </c>
      <c r="G589" s="3471"/>
    </row>
    <row r="590" spans="2:7">
      <c r="B590" s="3467" t="s">
        <v>4031</v>
      </c>
      <c r="C590" s="3468"/>
      <c r="D590" s="3463">
        <v>2497.06</v>
      </c>
      <c r="E590" s="3470">
        <v>2248.21</v>
      </c>
      <c r="F590" s="3463">
        <v>248.85</v>
      </c>
      <c r="G590" s="3480" t="s">
        <v>4032</v>
      </c>
    </row>
    <row r="591" spans="2:7">
      <c r="B591" s="3467" t="s">
        <v>4033</v>
      </c>
      <c r="C591" s="3468"/>
      <c r="D591" s="3463">
        <v>303.44</v>
      </c>
      <c r="E591" s="3470">
        <v>273.2</v>
      </c>
      <c r="F591" s="3463">
        <v>30.24</v>
      </c>
      <c r="G591" s="3480" t="s">
        <v>4032</v>
      </c>
    </row>
    <row r="592" spans="2:7">
      <c r="B592" s="3467" t="s">
        <v>4034</v>
      </c>
      <c r="C592" s="3468"/>
      <c r="D592" s="3463">
        <v>338.9</v>
      </c>
      <c r="E592" s="3470">
        <v>305.13</v>
      </c>
      <c r="F592" s="3463">
        <v>33.770000000000003</v>
      </c>
      <c r="G592" s="3480" t="s">
        <v>4032</v>
      </c>
    </row>
    <row r="593" spans="2:7">
      <c r="B593" s="3467" t="s">
        <v>4035</v>
      </c>
      <c r="C593" s="3468"/>
      <c r="D593" s="3463">
        <v>142.26</v>
      </c>
      <c r="E593" s="3470">
        <v>128.08000000000001</v>
      </c>
      <c r="F593" s="3463">
        <v>14.18</v>
      </c>
      <c r="G593" s="3480" t="s">
        <v>4032</v>
      </c>
    </row>
    <row r="594" spans="2:7">
      <c r="B594" s="3467" t="s">
        <v>4036</v>
      </c>
      <c r="C594" s="3468"/>
      <c r="D594" s="3463">
        <v>107.53</v>
      </c>
      <c r="E594" s="3470">
        <v>96.81</v>
      </c>
      <c r="F594" s="3463">
        <v>10.72</v>
      </c>
      <c r="G594" s="3480" t="s">
        <v>4032</v>
      </c>
    </row>
    <row r="595" spans="2:7">
      <c r="C595" s="3481"/>
    </row>
    <row r="596" spans="2:7">
      <c r="C596" s="3481"/>
    </row>
    <row r="597" spans="2:7">
      <c r="C597" s="3481"/>
      <c r="D597" s="3472">
        <v>31257.38</v>
      </c>
    </row>
    <row r="598" spans="2:7">
      <c r="C598" s="3481"/>
      <c r="D598" s="3500">
        <f>D597-D182</f>
        <v>30652.95</v>
      </c>
    </row>
    <row r="599" spans="2:7">
      <c r="C599" s="3481"/>
    </row>
    <row r="600" spans="2:7">
      <c r="C600" s="3481"/>
    </row>
    <row r="601" spans="2:7">
      <c r="C601" s="3481"/>
    </row>
    <row r="602" spans="2:7">
      <c r="C602" s="3481"/>
    </row>
    <row r="603" spans="2:7">
      <c r="C603" s="3481"/>
    </row>
    <row r="604" spans="2:7">
      <c r="C604" s="3481"/>
    </row>
    <row r="605" spans="2:7">
      <c r="C605" s="3481"/>
    </row>
    <row r="606" spans="2:7">
      <c r="C606" s="3481"/>
    </row>
    <row r="607" spans="2:7">
      <c r="C607" s="3481"/>
    </row>
    <row r="608" spans="2:7">
      <c r="C608" s="3481"/>
    </row>
    <row r="609" spans="3:7">
      <c r="C609" s="3481"/>
      <c r="G609" s="3472"/>
    </row>
    <row r="610" spans="3:7">
      <c r="C610" s="3481"/>
      <c r="G610" s="3472"/>
    </row>
    <row r="611" spans="3:7">
      <c r="C611" s="3481"/>
      <c r="G611" s="3472"/>
    </row>
    <row r="612" spans="3:7">
      <c r="C612" s="3481"/>
      <c r="G612" s="3472"/>
    </row>
    <row r="613" spans="3:7">
      <c r="C613" s="3481"/>
      <c r="G613" s="3472"/>
    </row>
    <row r="614" spans="3:7">
      <c r="C614" s="3481"/>
      <c r="G614" s="3472"/>
    </row>
    <row r="615" spans="3:7">
      <c r="C615" s="3481"/>
      <c r="G615" s="3472"/>
    </row>
    <row r="616" spans="3:7">
      <c r="C616" s="3481"/>
      <c r="G616" s="3472"/>
    </row>
    <row r="617" spans="3:7">
      <c r="C617" s="3481"/>
      <c r="G617" s="3472"/>
    </row>
    <row r="618" spans="3:7">
      <c r="C618" s="3481"/>
      <c r="G618" s="3472"/>
    </row>
    <row r="619" spans="3:7">
      <c r="C619" s="3481"/>
      <c r="G619" s="3472"/>
    </row>
    <row r="620" spans="3:7">
      <c r="C620" s="3481"/>
      <c r="G620" s="3472"/>
    </row>
    <row r="621" spans="3:7">
      <c r="C621" s="3481"/>
      <c r="G621" s="3472"/>
    </row>
    <row r="622" spans="3:7">
      <c r="C622" s="3481"/>
      <c r="G622" s="3472"/>
    </row>
    <row r="623" spans="3:7">
      <c r="C623" s="3481"/>
      <c r="G623" s="3472"/>
    </row>
    <row r="624" spans="3:7">
      <c r="C624" s="3481"/>
      <c r="G624" s="3472"/>
    </row>
    <row r="625" spans="3:7">
      <c r="C625" s="3481"/>
      <c r="G625" s="3472"/>
    </row>
    <row r="626" spans="3:7">
      <c r="C626" s="3481"/>
      <c r="G626" s="3472"/>
    </row>
    <row r="627" spans="3:7">
      <c r="C627" s="3481"/>
      <c r="G627" s="3472"/>
    </row>
    <row r="628" spans="3:7">
      <c r="C628" s="3481"/>
      <c r="G628" s="3472"/>
    </row>
    <row r="629" spans="3:7">
      <c r="C629" s="3481"/>
      <c r="G629" s="3472"/>
    </row>
    <row r="630" spans="3:7">
      <c r="C630" s="3481"/>
      <c r="G630" s="3472"/>
    </row>
    <row r="631" spans="3:7">
      <c r="C631" s="3481"/>
      <c r="G631" s="3472"/>
    </row>
    <row r="632" spans="3:7">
      <c r="C632" s="3481"/>
      <c r="G632" s="3472"/>
    </row>
    <row r="633" spans="3:7">
      <c r="C633" s="3481"/>
      <c r="G633" s="3472"/>
    </row>
    <row r="634" spans="3:7">
      <c r="C634" s="3481"/>
      <c r="G634" s="3472"/>
    </row>
    <row r="635" spans="3:7">
      <c r="C635" s="3481"/>
      <c r="G635" s="3472"/>
    </row>
    <row r="636" spans="3:7">
      <c r="C636" s="3481"/>
      <c r="G636" s="3472"/>
    </row>
    <row r="637" spans="3:7">
      <c r="C637" s="3481"/>
      <c r="G637" s="3472"/>
    </row>
    <row r="638" spans="3:7">
      <c r="C638" s="3481"/>
      <c r="G638" s="3472"/>
    </row>
    <row r="639" spans="3:7">
      <c r="C639" s="3481"/>
      <c r="G639" s="3472"/>
    </row>
    <row r="640" spans="3:7">
      <c r="C640" s="3481"/>
      <c r="G640" s="3472"/>
    </row>
    <row r="641" spans="3:7">
      <c r="C641" s="3481"/>
    </row>
    <row r="642" spans="3:7">
      <c r="C642" s="3481"/>
    </row>
    <row r="643" spans="3:7">
      <c r="C643" s="3481"/>
    </row>
    <row r="644" spans="3:7">
      <c r="C644" s="3481"/>
    </row>
    <row r="645" spans="3:7">
      <c r="C645" s="3481"/>
      <c r="G645" s="3483"/>
    </row>
    <row r="646" spans="3:7">
      <c r="C646" s="3481"/>
      <c r="G646" s="3483"/>
    </row>
    <row r="647" spans="3:7">
      <c r="C647" s="3481"/>
      <c r="G647" s="3483"/>
    </row>
    <row r="648" spans="3:7">
      <c r="C648" s="3481"/>
    </row>
    <row r="649" spans="3:7">
      <c r="C649" s="3481"/>
    </row>
    <row r="650" spans="3:7">
      <c r="C650" s="3481"/>
    </row>
    <row r="651" spans="3:7">
      <c r="C651" s="3481"/>
    </row>
    <row r="652" spans="3:7">
      <c r="C652" s="3481"/>
    </row>
    <row r="653" spans="3:7">
      <c r="C653" s="3481"/>
    </row>
    <row r="654" spans="3:7">
      <c r="C654" s="3481"/>
    </row>
    <row r="655" spans="3:7">
      <c r="C655" s="3481"/>
    </row>
    <row r="656" spans="3:7">
      <c r="C656" s="3481"/>
    </row>
    <row r="657" spans="3:7">
      <c r="C657" s="3481"/>
      <c r="G657" s="3472"/>
    </row>
    <row r="658" spans="3:7">
      <c r="C658" s="3481"/>
      <c r="G658" s="3472"/>
    </row>
    <row r="659" spans="3:7">
      <c r="C659" s="3481"/>
      <c r="G659" s="3472"/>
    </row>
    <row r="660" spans="3:7">
      <c r="C660" s="3481"/>
      <c r="G660" s="3472"/>
    </row>
    <row r="661" spans="3:7">
      <c r="C661" s="3481"/>
      <c r="G661" s="3472"/>
    </row>
    <row r="662" spans="3:7">
      <c r="C662" s="3481"/>
      <c r="G662" s="3472"/>
    </row>
    <row r="663" spans="3:7">
      <c r="C663" s="3481"/>
      <c r="G663" s="3472"/>
    </row>
    <row r="664" spans="3:7">
      <c r="C664" s="3481"/>
      <c r="G664" s="3472"/>
    </row>
    <row r="665" spans="3:7">
      <c r="C665" s="3481"/>
      <c r="G665" s="3472"/>
    </row>
    <row r="666" spans="3:7">
      <c r="C666" s="3481"/>
      <c r="G666" s="3472"/>
    </row>
    <row r="667" spans="3:7">
      <c r="C667" s="3481"/>
      <c r="G667" s="3472"/>
    </row>
    <row r="668" spans="3:7">
      <c r="C668" s="3481"/>
      <c r="G668" s="3472"/>
    </row>
    <row r="669" spans="3:7">
      <c r="C669" s="3481"/>
      <c r="G669" s="3472"/>
    </row>
    <row r="670" spans="3:7">
      <c r="C670" s="3481"/>
      <c r="G670" s="3472"/>
    </row>
    <row r="671" spans="3:7">
      <c r="C671" s="3481"/>
      <c r="G671" s="3472"/>
    </row>
    <row r="672" spans="3:7">
      <c r="C672" s="3481"/>
      <c r="G672" s="3472"/>
    </row>
    <row r="673" spans="3:7">
      <c r="C673" s="3481"/>
      <c r="G673" s="3472"/>
    </row>
    <row r="674" spans="3:7">
      <c r="C674" s="3481"/>
      <c r="G674" s="3472"/>
    </row>
    <row r="675" spans="3:7">
      <c r="C675" s="3481"/>
      <c r="G675" s="3472"/>
    </row>
    <row r="676" spans="3:7">
      <c r="C676" s="3481"/>
      <c r="G676" s="3472"/>
    </row>
    <row r="677" spans="3:7">
      <c r="C677" s="3481"/>
      <c r="G677" s="3472"/>
    </row>
    <row r="678" spans="3:7">
      <c r="C678" s="3481"/>
      <c r="G678" s="3472"/>
    </row>
    <row r="679" spans="3:7">
      <c r="C679" s="3481"/>
      <c r="G679" s="3472"/>
    </row>
    <row r="680" spans="3:7">
      <c r="C680" s="3481"/>
      <c r="G680" s="3472"/>
    </row>
    <row r="681" spans="3:7">
      <c r="C681" s="3481"/>
      <c r="G681" s="3472"/>
    </row>
    <row r="682" spans="3:7">
      <c r="C682" s="3481"/>
      <c r="G682" s="3472"/>
    </row>
    <row r="683" spans="3:7">
      <c r="C683" s="3481"/>
      <c r="G683" s="3472"/>
    </row>
    <row r="684" spans="3:7">
      <c r="C684" s="3481"/>
      <c r="G684" s="3472"/>
    </row>
    <row r="685" spans="3:7">
      <c r="C685" s="3481"/>
      <c r="G685" s="3472"/>
    </row>
    <row r="686" spans="3:7">
      <c r="C686" s="3481"/>
      <c r="G686" s="3472"/>
    </row>
    <row r="687" spans="3:7">
      <c r="C687" s="3481"/>
      <c r="G687" s="3472"/>
    </row>
    <row r="688" spans="3:7">
      <c r="C688" s="3481"/>
      <c r="G688" s="3472"/>
    </row>
    <row r="689" spans="3:7">
      <c r="C689" s="3481"/>
      <c r="G689" s="3472"/>
    </row>
    <row r="690" spans="3:7">
      <c r="C690" s="3481"/>
      <c r="G690" s="3472"/>
    </row>
    <row r="691" spans="3:7">
      <c r="C691" s="3481"/>
      <c r="G691" s="3472"/>
    </row>
    <row r="692" spans="3:7">
      <c r="C692" s="3481"/>
      <c r="G692" s="3472"/>
    </row>
    <row r="693" spans="3:7">
      <c r="C693" s="3481"/>
      <c r="G693" s="3472"/>
    </row>
    <row r="694" spans="3:7">
      <c r="C694" s="3481"/>
      <c r="G694" s="3472"/>
    </row>
    <row r="695" spans="3:7">
      <c r="C695" s="3481"/>
      <c r="G695" s="3472"/>
    </row>
    <row r="696" spans="3:7">
      <c r="C696" s="3481"/>
      <c r="G696" s="3472"/>
    </row>
    <row r="697" spans="3:7">
      <c r="C697" s="3481"/>
      <c r="G697" s="3472"/>
    </row>
    <row r="698" spans="3:7">
      <c r="C698" s="3481"/>
      <c r="G698" s="3472"/>
    </row>
    <row r="699" spans="3:7">
      <c r="C699" s="3481"/>
      <c r="G699" s="3472"/>
    </row>
    <row r="700" spans="3:7">
      <c r="C700" s="3481"/>
      <c r="G700" s="3472"/>
    </row>
    <row r="701" spans="3:7">
      <c r="C701" s="3481"/>
      <c r="G701" s="3472"/>
    </row>
    <row r="702" spans="3:7">
      <c r="C702" s="3481"/>
      <c r="G702" s="3472"/>
    </row>
    <row r="703" spans="3:7">
      <c r="C703" s="3481"/>
      <c r="G703" s="3472"/>
    </row>
    <row r="704" spans="3:7">
      <c r="C704" s="3481"/>
      <c r="G704" s="3472"/>
    </row>
    <row r="705" spans="3:7">
      <c r="C705" s="3481"/>
      <c r="G705" s="3472"/>
    </row>
    <row r="706" spans="3:7">
      <c r="C706" s="3481"/>
      <c r="G706" s="3472"/>
    </row>
    <row r="707" spans="3:7">
      <c r="C707" s="3481"/>
      <c r="G707" s="3472"/>
    </row>
    <row r="708" spans="3:7">
      <c r="C708" s="3481"/>
      <c r="G708" s="3472"/>
    </row>
    <row r="709" spans="3:7">
      <c r="C709" s="3481"/>
      <c r="G709" s="3472"/>
    </row>
    <row r="710" spans="3:7">
      <c r="C710" s="3481"/>
      <c r="G710" s="3472"/>
    </row>
    <row r="711" spans="3:7">
      <c r="C711" s="3481"/>
      <c r="G711" s="3472"/>
    </row>
    <row r="712" spans="3:7">
      <c r="C712" s="3481"/>
      <c r="G712" s="3472"/>
    </row>
    <row r="713" spans="3:7">
      <c r="C713" s="3481"/>
      <c r="G713" s="3472"/>
    </row>
    <row r="714" spans="3:7">
      <c r="C714" s="3481"/>
      <c r="G714" s="3472"/>
    </row>
    <row r="715" spans="3:7">
      <c r="C715" s="3481"/>
      <c r="G715" s="3472"/>
    </row>
    <row r="716" spans="3:7">
      <c r="C716" s="3481"/>
      <c r="G716" s="3472"/>
    </row>
    <row r="717" spans="3:7">
      <c r="C717" s="3481"/>
      <c r="G717" s="3472"/>
    </row>
    <row r="718" spans="3:7">
      <c r="C718" s="3481"/>
      <c r="G718" s="3472"/>
    </row>
    <row r="719" spans="3:7">
      <c r="C719" s="3481"/>
      <c r="G719" s="3472"/>
    </row>
    <row r="720" spans="3:7">
      <c r="C720" s="3481"/>
      <c r="G720" s="3472"/>
    </row>
    <row r="721" spans="3:7">
      <c r="C721" s="3481"/>
      <c r="G721" s="3472"/>
    </row>
    <row r="722" spans="3:7">
      <c r="C722" s="3481"/>
      <c r="G722" s="3472"/>
    </row>
    <row r="723" spans="3:7">
      <c r="C723" s="3484"/>
      <c r="G723" s="3472"/>
    </row>
    <row r="724" spans="3:7">
      <c r="C724" s="3484"/>
      <c r="G724" s="3472"/>
    </row>
    <row r="725" spans="3:7">
      <c r="C725" s="3484"/>
      <c r="G725" s="3472"/>
    </row>
    <row r="726" spans="3:7">
      <c r="C726" s="3484"/>
      <c r="G726" s="3472"/>
    </row>
    <row r="727" spans="3:7">
      <c r="C727" s="3484"/>
      <c r="G727" s="3472"/>
    </row>
    <row r="728" spans="3:7">
      <c r="C728" s="3484"/>
      <c r="G728" s="3472"/>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R56" sqref="R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5" t="s">
        <v>1131</v>
      </c>
      <c r="B2" s="3605"/>
      <c r="C2" s="3605"/>
      <c r="D2" s="796" t="s">
        <v>1107</v>
      </c>
      <c r="E2" s="1639" t="s">
        <v>1108</v>
      </c>
      <c r="F2" s="2659"/>
      <c r="G2" s="2650"/>
      <c r="H2" s="2651"/>
      <c r="I2" s="2325" t="s">
        <v>1132</v>
      </c>
      <c r="J2" s="2659"/>
      <c r="K2" s="2659"/>
      <c r="L2" s="2659"/>
      <c r="M2" s="2659"/>
      <c r="N2" s="2661"/>
      <c r="O2" s="2659"/>
      <c r="P2" s="2659"/>
    </row>
    <row r="3" spans="1:16" ht="15.75" thickBot="1">
      <c r="A3" s="3606" t="s">
        <v>1105</v>
      </c>
      <c r="B3" s="3606"/>
      <c r="C3" s="3606"/>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607"/>
      <c r="B4" s="3608"/>
      <c r="C4" s="3609"/>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610" t="s">
        <v>1110</v>
      </c>
      <c r="C5" s="3610"/>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610" t="s">
        <v>1111</v>
      </c>
      <c r="C6" s="3610"/>
      <c r="D6" s="45">
        <f>ROUND($D$3*E6/$E$3,2)</f>
        <v>3233.28</v>
      </c>
      <c r="E6" s="46">
        <f>E3-E5</f>
        <v>30652.949999999997</v>
      </c>
      <c r="F6" s="2659"/>
      <c r="G6" s="2653" t="s">
        <v>1112</v>
      </c>
      <c r="H6" s="1146" t="s">
        <v>1113</v>
      </c>
      <c r="I6" s="2654">
        <f>ROUND(F31/D31,2)</f>
        <v>5.96</v>
      </c>
      <c r="J6" s="2659"/>
      <c r="K6" s="2659"/>
      <c r="L6" s="2659"/>
      <c r="M6" s="2659"/>
      <c r="N6" s="2659"/>
      <c r="O6" s="2659"/>
      <c r="P6" s="2659"/>
    </row>
    <row r="7" spans="1:16" ht="15.75" thickBot="1">
      <c r="A7" s="3602"/>
      <c r="B7" s="3603"/>
      <c r="C7" s="3604"/>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3233.2799999999997</v>
      </c>
      <c r="E16" s="50">
        <f>SUM(E8:E15)</f>
        <v>30652.949999999997</v>
      </c>
      <c r="F16" s="2659"/>
      <c r="G16" s="2660"/>
      <c r="H16" s="1648" t="s">
        <v>1135</v>
      </c>
      <c r="I16" s="1649"/>
      <c r="J16" s="1139"/>
      <c r="K16" s="3599" t="s">
        <v>1135</v>
      </c>
      <c r="L16" s="3600"/>
      <c r="M16" s="3600"/>
      <c r="N16" s="3600"/>
      <c r="O16" s="3600"/>
      <c r="P16" s="3601"/>
    </row>
    <row r="17" spans="1:19" ht="15">
      <c r="A17" s="1650" t="s">
        <v>1136</v>
      </c>
      <c r="B17" s="1651" t="s">
        <v>1137</v>
      </c>
      <c r="C17" s="1652" t="s">
        <v>1138</v>
      </c>
      <c r="D17" s="1653" t="s">
        <v>1126</v>
      </c>
      <c r="E17" s="1654" t="s">
        <v>1127</v>
      </c>
      <c r="F17" s="1655"/>
      <c r="G17" s="1656"/>
      <c r="H17" s="1657" t="s">
        <v>1139</v>
      </c>
      <c r="I17" s="1658" t="s">
        <v>1124</v>
      </c>
      <c r="J17" s="1139"/>
      <c r="K17" s="3596" t="s">
        <v>1140</v>
      </c>
      <c r="L17" s="3597"/>
      <c r="M17" s="3598"/>
      <c r="N17" s="3596" t="s">
        <v>1141</v>
      </c>
      <c r="O17" s="3597"/>
      <c r="P17" s="359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c r="A20" s="1670"/>
      <c r="B20" s="47" t="s">
        <v>1153</v>
      </c>
      <c r="C20" s="3416"/>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G31/E31</f>
        <v>0.37094276407327847</v>
      </c>
    </row>
    <row r="37" spans="4:7">
      <c r="D37" s="1638">
        <v>32.200000000000003</v>
      </c>
    </row>
    <row r="38" spans="4:7">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S18" activePane="bottomRight" state="frozen"/>
      <selection activeCell="C50" sqref="C50"/>
      <selection pane="topRight" activeCell="C50" sqref="C50"/>
      <selection pane="bottomLeft" activeCell="C50" sqref="C50"/>
      <selection pane="bottomRight" activeCell="W52" sqref="W5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 style="1682" customWidth="1"/>
    <col min="22" max="22" width="6.375" style="1682" customWidth="1"/>
    <col min="23" max="23" width="10.375" style="1682" customWidth="1"/>
    <col min="24" max="24" width="11.125" style="1682" customWidth="1"/>
    <col min="25" max="25" width="8.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6500</v>
      </c>
      <c r="M6" s="67">
        <f t="shared" ref="M6:M14" si="0">ROUND(K6*L6/10000,0)</f>
        <v>19924</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7">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0.03</v>
      </c>
      <c r="AN6" s="1715" t="s">
        <v>3389</v>
      </c>
      <c r="AO6" s="52">
        <f ca="1">SUMIF(INDIRECT("'"&amp;AN6&amp;"'"&amp;"!A:A"),"总价",INDIRECT("'"&amp;AN6&amp;"'"&amp;"!B:B"))</f>
        <v>157193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6500</v>
      </c>
      <c r="M16" s="93">
        <f>SUM(M6:M14)</f>
        <v>19924</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1" t="s">
        <v>3412</v>
      </c>
      <c r="V26" s="3451" t="s">
        <v>3413</v>
      </c>
      <c r="W26" s="3451"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0">
        <v>1</v>
      </c>
      <c r="U27" s="3510">
        <f>基准地价修正!U2</f>
        <v>1267.92</v>
      </c>
      <c r="V27" s="3510">
        <v>1</v>
      </c>
      <c r="W27" s="3510">
        <v>20</v>
      </c>
      <c r="X27" s="3510">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510">
        <v>2</v>
      </c>
      <c r="U28" s="3510">
        <f>基准地价修正!U3</f>
        <v>4813.49</v>
      </c>
      <c r="V28" s="3510">
        <v>0.7</v>
      </c>
      <c r="W28" s="3510">
        <f>V28*$W$27</f>
        <v>14</v>
      </c>
      <c r="X28" s="3510">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0">
        <v>3</v>
      </c>
      <c r="U29" s="3510">
        <f>基准地价修正!U4</f>
        <v>4568.0200000000004</v>
      </c>
      <c r="V29" s="3510">
        <v>0.6</v>
      </c>
      <c r="W29" s="3510">
        <f t="shared" ref="W29:W33" si="13">V29*$W$27</f>
        <v>12</v>
      </c>
      <c r="X29" s="3510">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112289</v>
      </c>
      <c r="O30" s="2671"/>
      <c r="P30" s="2671"/>
      <c r="Q30" s="2671"/>
      <c r="R30" s="2671"/>
      <c r="S30" s="2671"/>
      <c r="T30" s="3510">
        <v>4</v>
      </c>
      <c r="U30" s="3510">
        <f>基准地价修正!U5</f>
        <v>5243.8399999999983</v>
      </c>
      <c r="V30" s="3510">
        <v>0.6</v>
      </c>
      <c r="W30" s="3510">
        <f t="shared" si="13"/>
        <v>12</v>
      </c>
      <c r="X30" s="3510">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1">
        <v>5</v>
      </c>
      <c r="U31" s="3510">
        <f>基准地价修正!U6</f>
        <v>3389.19</v>
      </c>
      <c r="V31" s="3510">
        <v>0.6</v>
      </c>
      <c r="W31" s="3510">
        <f t="shared" si="13"/>
        <v>12</v>
      </c>
      <c r="X31" s="3510">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0" t="s">
        <v>4081</v>
      </c>
      <c r="U32" s="3510">
        <f>基准地价修正!D37</f>
        <v>4228.84</v>
      </c>
      <c r="V32" s="3510">
        <v>0.6</v>
      </c>
      <c r="W32" s="3510">
        <f t="shared" si="13"/>
        <v>12</v>
      </c>
      <c r="X32" s="3510">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0" t="s">
        <v>3411</v>
      </c>
      <c r="U33" s="3510">
        <f>基准地价修正!D38</f>
        <v>7141.65</v>
      </c>
      <c r="V33" s="3510">
        <v>0.8</v>
      </c>
      <c r="W33" s="3510">
        <f t="shared" si="13"/>
        <v>16</v>
      </c>
      <c r="X33" s="3510">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0">
        <f>SUM(U27:U33)</f>
        <v>30652.949999999997</v>
      </c>
      <c r="V34" s="2671"/>
      <c r="W34" s="2671"/>
      <c r="X34" s="3510">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1" t="s">
        <v>2286</v>
      </c>
      <c r="B1" s="3612"/>
      <c r="C1" s="3612"/>
      <c r="D1" s="3612"/>
      <c r="E1" s="3612"/>
      <c r="F1" s="3612"/>
      <c r="G1" s="361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70" zoomScaleNormal="80" zoomScaleSheetLayoutView="70" workbookViewId="0">
      <selection activeCell="J32" sqref="J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3233.28</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112289</v>
      </c>
      <c r="C5" s="2512">
        <f ca="1">IF(B5=D14,结果表!H102,ROUND(B5*10000/$B$1,0))</f>
        <v>36632</v>
      </c>
      <c r="D5" s="2512">
        <f ca="1">ROUND(B5*10000/$B$2,0)</f>
        <v>347291</v>
      </c>
      <c r="E5" s="2686"/>
      <c r="F5" s="2687"/>
      <c r="G5" s="2687"/>
      <c r="H5" s="2688"/>
      <c r="I5" s="2688"/>
      <c r="J5" s="2688"/>
      <c r="K5" s="2688"/>
    </row>
    <row r="6" spans="1:11" ht="16.5">
      <c r="A6" s="2512" t="s">
        <v>656</v>
      </c>
      <c r="B6" s="2512">
        <f>SUM(G14:G23)</f>
        <v>0</v>
      </c>
      <c r="C6" s="2512">
        <f ca="1">IF(B6=G14,结果表!H108,ROUND(B6*10000/$B$1,0))</f>
        <v>36632</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3233.28</v>
      </c>
      <c r="D14" s="2518">
        <f ca="1">结果表!H118</f>
        <v>112289</v>
      </c>
      <c r="E14" s="2518">
        <f ca="1">ROUND(D14*10000/B14,0)</f>
        <v>36632</v>
      </c>
      <c r="F14" s="2518">
        <f ca="1">ROUND(D14*10000/C14,0)</f>
        <v>347291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9" t="str">
        <f>项目基本情况!B1</f>
        <v>北京市房地产抵押价值预评估</v>
      </c>
      <c r="C37" s="3519"/>
      <c r="D37" s="3519"/>
      <c r="E37" s="3519"/>
      <c r="F37" s="3519"/>
      <c r="G37" s="3519"/>
      <c r="H37" s="3519"/>
      <c r="I37" s="351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87" zoomScaleNormal="100" zoomScaleSheetLayoutView="87" zoomScalePageLayoutView="80" workbookViewId="0">
      <selection activeCell="K107" sqref="K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7" t="str">
        <f>项目基本情况!S2</f>
        <v>北京市房地产</v>
      </c>
      <c r="B2" s="3648"/>
      <c r="C2" s="3648"/>
      <c r="D2" s="3648"/>
      <c r="E2" s="3648"/>
      <c r="F2" s="3648"/>
      <c r="G2" s="3648"/>
      <c r="H2" s="3648"/>
      <c r="I2" s="3649"/>
    </row>
    <row r="3" spans="1:12" ht="12.75">
      <c r="A3" s="3651" t="s">
        <v>1264</v>
      </c>
      <c r="B3" s="3652"/>
      <c r="C3" s="3652"/>
      <c r="D3" s="3652"/>
      <c r="E3" s="3652"/>
      <c r="F3" s="3652"/>
      <c r="G3" s="3652"/>
      <c r="H3" s="3652"/>
      <c r="I3" s="3652"/>
    </row>
    <row r="4" spans="1:12" ht="14.25">
      <c r="A4" s="1754" t="s">
        <v>1265</v>
      </c>
      <c r="B4" s="1755" t="s">
        <v>1266</v>
      </c>
      <c r="C4" s="1756" t="s">
        <v>3409</v>
      </c>
      <c r="D4" s="1756" t="s">
        <v>4082</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7" t="s">
        <v>1268</v>
      </c>
      <c r="B5" s="3614">
        <v>25</v>
      </c>
      <c r="C5" s="3630"/>
      <c r="D5" s="3650"/>
      <c r="E5" s="131" t="s">
        <v>1269</v>
      </c>
      <c r="F5" s="1757"/>
      <c r="G5" s="1757"/>
      <c r="H5" s="1757"/>
      <c r="I5" s="1373"/>
    </row>
    <row r="6" spans="1:12" ht="12.75">
      <c r="A6" s="3627"/>
      <c r="B6" s="3614"/>
      <c r="C6" s="3631"/>
      <c r="D6" s="3650"/>
      <c r="E6" s="131" t="s">
        <v>1270</v>
      </c>
      <c r="F6" s="1757"/>
      <c r="G6" s="1757"/>
      <c r="H6" s="1757"/>
      <c r="I6" s="1373"/>
    </row>
    <row r="7" spans="1:12" ht="12.75">
      <c r="A7" s="3627"/>
      <c r="B7" s="3614"/>
      <c r="C7" s="3632"/>
      <c r="D7" s="3650"/>
      <c r="E7" s="131" t="s">
        <v>1271</v>
      </c>
      <c r="F7" s="1757"/>
      <c r="G7" s="1757"/>
      <c r="H7" s="1757"/>
      <c r="I7" s="1373"/>
    </row>
    <row r="8" spans="1:12" ht="12.75">
      <c r="A8" s="3627" t="s">
        <v>1272</v>
      </c>
      <c r="B8" s="3614">
        <v>15</v>
      </c>
      <c r="C8" s="3630"/>
      <c r="D8" s="3650"/>
      <c r="E8" s="131" t="s">
        <v>1273</v>
      </c>
      <c r="F8" s="1757"/>
      <c r="G8" s="1757"/>
      <c r="H8" s="1757"/>
      <c r="I8" s="1373"/>
    </row>
    <row r="9" spans="1:12" ht="12.75">
      <c r="A9" s="3627"/>
      <c r="B9" s="3614"/>
      <c r="C9" s="3632"/>
      <c r="D9" s="3650"/>
      <c r="E9" s="131" t="s">
        <v>1274</v>
      </c>
      <c r="F9" s="1757"/>
      <c r="G9" s="1757"/>
      <c r="H9" s="1757"/>
      <c r="I9" s="1373"/>
    </row>
    <row r="10" spans="1:12" ht="12.75">
      <c r="A10" s="3627" t="s">
        <v>1275</v>
      </c>
      <c r="B10" s="3614">
        <v>15</v>
      </c>
      <c r="C10" s="3630"/>
      <c r="D10" s="3650"/>
      <c r="E10" s="131" t="s">
        <v>1276</v>
      </c>
      <c r="F10" s="1757"/>
      <c r="G10" s="1757"/>
      <c r="H10" s="1757"/>
      <c r="I10" s="1373"/>
    </row>
    <row r="11" spans="1:12" ht="12.75">
      <c r="A11" s="3627"/>
      <c r="B11" s="3614"/>
      <c r="C11" s="3632"/>
      <c r="D11" s="3650"/>
      <c r="E11" s="131" t="s">
        <v>1277</v>
      </c>
      <c r="F11" s="1757"/>
      <c r="G11" s="1757"/>
      <c r="H11" s="1757"/>
      <c r="I11" s="1373"/>
    </row>
    <row r="12" spans="1:12" ht="12.75">
      <c r="A12" s="3627" t="s">
        <v>1278</v>
      </c>
      <c r="B12" s="3614">
        <v>15</v>
      </c>
      <c r="C12" s="3630"/>
      <c r="D12" s="3650"/>
      <c r="E12" s="131" t="s">
        <v>1279</v>
      </c>
      <c r="F12" s="1757"/>
      <c r="G12" s="1757"/>
      <c r="H12" s="1757"/>
      <c r="I12" s="1373"/>
    </row>
    <row r="13" spans="1:12" ht="12.75">
      <c r="A13" s="3627"/>
      <c r="B13" s="3614"/>
      <c r="C13" s="3632"/>
      <c r="D13" s="3650"/>
      <c r="E13" s="131" t="s">
        <v>1280</v>
      </c>
      <c r="F13" s="1757"/>
      <c r="G13" s="1757"/>
      <c r="H13" s="1757"/>
      <c r="I13" s="1373"/>
    </row>
    <row r="14" spans="1:12" ht="12.75">
      <c r="A14" s="3627" t="s">
        <v>1281</v>
      </c>
      <c r="B14" s="3614">
        <v>30</v>
      </c>
      <c r="C14" s="3630">
        <v>5</v>
      </c>
      <c r="D14" s="3650">
        <v>5</v>
      </c>
      <c r="E14" s="131" t="s">
        <v>1282</v>
      </c>
      <c r="F14" s="1757"/>
      <c r="G14" s="1757"/>
      <c r="H14" s="1757"/>
      <c r="I14" s="1373"/>
    </row>
    <row r="15" spans="1:12" ht="12.75">
      <c r="A15" s="3627"/>
      <c r="B15" s="3614"/>
      <c r="C15" s="3631"/>
      <c r="D15" s="3650"/>
      <c r="E15" s="131" t="s">
        <v>1283</v>
      </c>
      <c r="F15" s="1757"/>
      <c r="G15" s="1757"/>
      <c r="H15" s="1757"/>
      <c r="I15" s="1373"/>
    </row>
    <row r="16" spans="1:12" ht="12.75">
      <c r="A16" s="3627"/>
      <c r="B16" s="3614"/>
      <c r="C16" s="3632"/>
      <c r="D16" s="365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7" t="s">
        <v>2131</v>
      </c>
      <c r="F18" s="3638"/>
      <c r="G18" s="3638"/>
      <c r="H18" s="3638"/>
      <c r="I18" s="3638"/>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105137</v>
      </c>
      <c r="D19" s="135">
        <f ca="1">SUMIF(INDIRECT("'"&amp;D4&amp;"'"&amp;"!A:A"),结果表!B19,INDIRECT("'"&amp;D4&amp;"'"&amp;"!B:B"))</f>
        <v>119441</v>
      </c>
      <c r="E19" s="1761" t="s">
        <v>1292</v>
      </c>
      <c r="F19" s="1762" t="s">
        <v>1291</v>
      </c>
      <c r="G19" s="136">
        <f ca="1">ROUND(C19*$C$18+D19*$D$18,0)</f>
        <v>112289</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5">
      <c r="A20" s="1764"/>
      <c r="B20" s="1026" t="s">
        <v>1295</v>
      </c>
      <c r="C20" s="137">
        <f ca="1">SUMIF(INDIRECT("'"&amp;C4&amp;"'"&amp;"!A:A"),结果表!B20,INDIRECT("'"&amp;C4&amp;"'"&amp;"!B:B"))</f>
        <v>34299</v>
      </c>
      <c r="D20" s="138">
        <f ca="1">SUMIF(INDIRECT("'"&amp;D4&amp;"'"&amp;"!A:A"),结果表!B20,INDIRECT("'"&amp;D4&amp;"'"&amp;"!B:B"))</f>
        <v>38966</v>
      </c>
      <c r="E20" s="1764"/>
      <c r="F20" s="1026" t="s">
        <v>1295</v>
      </c>
      <c r="G20" s="139">
        <f ca="1">ROUND(C20*$C$18+D20*$D$18,0)</f>
        <v>36633</v>
      </c>
      <c r="H20" s="808" t="s">
        <v>1296</v>
      </c>
      <c r="I20" s="129"/>
    </row>
    <row r="21" spans="1:36" ht="15" customHeight="1" thickBot="1">
      <c r="A21" s="828"/>
      <c r="B21" s="1765" t="s">
        <v>1297</v>
      </c>
      <c r="C21" s="719">
        <f ca="1">ROUND(C19*10000/L19,0)</f>
        <v>325171</v>
      </c>
      <c r="D21" s="720">
        <f ca="1">ROUND(D19*10000/L19,0)</f>
        <v>369411</v>
      </c>
      <c r="E21" s="828"/>
      <c r="F21" s="1765" t="s">
        <v>1297</v>
      </c>
      <c r="G21" s="140">
        <f ca="1">ROUND(G19*10000/L19,0)</f>
        <v>347291</v>
      </c>
      <c r="H21" s="1766" t="s">
        <v>1296</v>
      </c>
      <c r="I21" s="129"/>
    </row>
    <row r="22" spans="1:36" ht="15" thickBot="1">
      <c r="A22" s="1688" t="s">
        <v>1298</v>
      </c>
      <c r="B22" s="1767"/>
      <c r="C22" s="1768"/>
      <c r="D22" s="721">
        <f ca="1">IF(C19&lt;D19,D19/C19-1,C19/D19-1)</f>
        <v>0.13605105719204458</v>
      </c>
      <c r="E22" s="129"/>
      <c r="F22" s="129"/>
      <c r="G22" s="129"/>
      <c r="H22" s="129"/>
      <c r="I22" s="129"/>
      <c r="J22" s="725">
        <f ca="1">G19*10000/'数据-汇总表'!F31</f>
        <v>58233.752332430617</v>
      </c>
    </row>
    <row r="23" spans="1:36" ht="13.5" thickBot="1">
      <c r="A23" s="1747"/>
      <c r="B23" s="1747"/>
      <c r="C23" s="1747"/>
      <c r="D23" s="1747"/>
      <c r="E23" s="129"/>
      <c r="F23" s="129"/>
      <c r="G23" s="129"/>
      <c r="H23" s="129"/>
      <c r="I23" s="129"/>
    </row>
    <row r="24" spans="1:36" ht="14.25">
      <c r="A24" s="3621" t="s">
        <v>1299</v>
      </c>
      <c r="B24" s="1762" t="s">
        <v>1291</v>
      </c>
      <c r="C24" s="136">
        <f>IF(B30=0,0,D30)</f>
        <v>0</v>
      </c>
      <c r="D24" s="1769"/>
      <c r="E24" s="129"/>
      <c r="F24" s="129"/>
      <c r="G24" s="129"/>
      <c r="H24" s="129"/>
      <c r="I24" s="129"/>
    </row>
    <row r="25" spans="1:36" ht="14.25">
      <c r="A25" s="362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112289</v>
      </c>
      <c r="D32" s="1775" t="s">
        <v>3415</v>
      </c>
      <c r="E32" s="129"/>
      <c r="F32" s="129"/>
      <c r="G32" s="129"/>
      <c r="H32" s="129"/>
      <c r="I32" s="129"/>
    </row>
    <row r="33" spans="1:15" ht="15">
      <c r="A33" s="786" t="s">
        <v>1306</v>
      </c>
      <c r="B33" s="1776"/>
      <c r="C33" s="1777" t="s">
        <v>4066</v>
      </c>
      <c r="D33" s="1778" t="s">
        <v>3409</v>
      </c>
      <c r="E33" s="1779" t="s">
        <v>1307</v>
      </c>
      <c r="F33" s="1780" t="str">
        <f>IF(D32="楼面单价","取值（单价）","取值（总价）")</f>
        <v>取值（总价）</v>
      </c>
      <c r="G33" s="129"/>
      <c r="H33" s="129"/>
      <c r="I33" s="129"/>
    </row>
    <row r="34" spans="1:15" ht="15">
      <c r="A34" s="1781"/>
      <c r="B34" s="1782" t="s">
        <v>1308</v>
      </c>
      <c r="C34" s="148">
        <f ca="1">IF(C33="自定义",F34,C32-C35)</f>
        <v>86463</v>
      </c>
      <c r="D34" s="861">
        <f ca="1">IF(C33="自定义",ROUND(C34/C32,3),IF(C33="收益比率",SUMIF(INDIRECT("'"&amp;D33&amp;"'"&amp;"!b:b"),"土地收益比率",INDIRECT("'"&amp;D33&amp;"'"&amp;"!c:c")),SUMIF(INDIRECT("'"&amp;D33&amp;"'"&amp;"!b:b"),"土地成本比率",INDIRECT("'"&amp;D33&amp;"'"&amp;"!c:c"))))</f>
        <v>0.77</v>
      </c>
      <c r="E34" s="1783" t="s">
        <v>1309</v>
      </c>
      <c r="F34" s="1330"/>
      <c r="G34" s="129"/>
      <c r="H34" s="129"/>
      <c r="I34" s="129"/>
    </row>
    <row r="35" spans="1:15" ht="15.75" thickBot="1">
      <c r="A35" s="1784"/>
      <c r="B35" s="1785" t="s">
        <v>1310</v>
      </c>
      <c r="C35" s="1170">
        <f ca="1">IF(C33="自定义",F35,ROUND(C32*D35,0))</f>
        <v>25826</v>
      </c>
      <c r="D35" s="1171">
        <f ca="1">IF(C33="自定义",ROUND(C35/C32,3),IF(C33="收益比率",SUMIF(INDIRECT("'"&amp;D33&amp;"'"&amp;"!b:b"),"建筑物收益比率",INDIRECT("'"&amp;D33&amp;"'"&amp;"!c:c")),SUMIF(INDIRECT("'"&amp;D33&amp;"'"&amp;"!b:b"),"建筑物成本比率",INDIRECT("'"&amp;D33&amp;"'"&amp;"!c:c"))))</f>
        <v>0.23</v>
      </c>
      <c r="E35" s="1786" t="s">
        <v>1311</v>
      </c>
      <c r="F35" s="154"/>
      <c r="G35" s="129"/>
      <c r="H35" s="129"/>
      <c r="I35" s="129"/>
    </row>
    <row r="36" spans="1:15" ht="15.75" thickBot="1">
      <c r="A36" s="3641" t="s">
        <v>1312</v>
      </c>
      <c r="B36" s="1787" t="s">
        <v>1313</v>
      </c>
      <c r="C36" s="145"/>
      <c r="D36" s="1788"/>
      <c r="E36" s="1789"/>
      <c r="F36" s="1790"/>
      <c r="G36" s="129"/>
      <c r="H36" s="129"/>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8" t="s">
        <v>1326</v>
      </c>
      <c r="B45" s="3619"/>
      <c r="C45" s="3620"/>
      <c r="D45" s="155">
        <f ca="1">ROUND(H101*F45,0)</f>
        <v>112289</v>
      </c>
      <c r="E45" s="156" t="s">
        <v>1327</v>
      </c>
      <c r="F45" s="157">
        <v>1</v>
      </c>
      <c r="G45" s="158" t="s">
        <v>1328</v>
      </c>
      <c r="H45" s="129"/>
      <c r="I45" s="129"/>
      <c r="J45" s="3696" t="s">
        <v>1329</v>
      </c>
      <c r="K45" s="3696"/>
      <c r="L45" s="3696"/>
      <c r="M45" s="3696"/>
      <c r="N45" s="3696"/>
      <c r="O45" s="3696"/>
    </row>
    <row r="46" spans="1:15" ht="14.25" customHeight="1">
      <c r="A46" s="3615" t="s">
        <v>1330</v>
      </c>
      <c r="B46" s="3616"/>
      <c r="C46" s="3616"/>
      <c r="D46" s="3616"/>
      <c r="E46" s="3616"/>
      <c r="F46" s="3616"/>
      <c r="G46" s="3617"/>
      <c r="H46" s="1806"/>
      <c r="I46" s="159"/>
      <c r="J46" s="2523">
        <v>1</v>
      </c>
      <c r="K46" s="3677" t="s">
        <v>1331</v>
      </c>
      <c r="L46" s="3677"/>
      <c r="M46" s="3697"/>
      <c r="N46" s="3697"/>
      <c r="O46" s="3697"/>
    </row>
    <row r="47" spans="1:15" ht="12" customHeight="1">
      <c r="A47" s="160" t="s">
        <v>1332</v>
      </c>
      <c r="B47" s="161"/>
      <c r="C47" s="162"/>
      <c r="D47" s="1087" t="s">
        <v>1333</v>
      </c>
      <c r="E47" s="302" t="s">
        <v>1334</v>
      </c>
      <c r="F47" s="163" t="s">
        <v>1335</v>
      </c>
      <c r="G47" s="2546" t="s">
        <v>1336</v>
      </c>
      <c r="H47" s="2547"/>
      <c r="I47" s="159"/>
      <c r="J47" s="2523">
        <v>2</v>
      </c>
      <c r="K47" s="3677" t="s">
        <v>1337</v>
      </c>
      <c r="L47" s="3677"/>
      <c r="M47" s="3698">
        <f>'数据-取费表'!B2</f>
        <v>45128</v>
      </c>
      <c r="N47" s="3698"/>
      <c r="O47" s="3698"/>
    </row>
    <row r="48" spans="1:15" ht="25.5">
      <c r="A48" s="3646"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7" t="s">
        <v>1340</v>
      </c>
      <c r="L48" s="3677"/>
      <c r="M48" s="3699">
        <f ca="1">H101</f>
        <v>112289</v>
      </c>
      <c r="N48" s="3699"/>
      <c r="O48" s="3699"/>
    </row>
    <row r="49" spans="1:35" ht="25.5" customHeight="1">
      <c r="A49" s="2333" t="s">
        <v>1341</v>
      </c>
      <c r="B49" s="3613" t="s">
        <v>1342</v>
      </c>
      <c r="C49" s="3613"/>
      <c r="D49" s="1590">
        <v>0</v>
      </c>
      <c r="E49" s="324" t="s">
        <v>1343</v>
      </c>
      <c r="F49" s="2424" t="s">
        <v>28</v>
      </c>
      <c r="G49" s="3683"/>
      <c r="H49" s="2310" t="s">
        <v>2134</v>
      </c>
      <c r="I49" s="2311"/>
      <c r="J49" s="2523">
        <v>4</v>
      </c>
      <c r="K49" s="3677" t="str">
        <f>IF(项目基本情况!E8="房地产抵押价值","房地产抵押价值","抵押担保权已注销时的房地产抵押价值")</f>
        <v>抵押担保权已注销时的房地产抵押价值</v>
      </c>
      <c r="L49" s="3677"/>
      <c r="M49" s="3699" t="str">
        <f>IF(项目基本情况!E8="房地产抵押价值",H107,H109)</f>
        <v>——</v>
      </c>
      <c r="N49" s="3699"/>
      <c r="O49" s="3699"/>
    </row>
    <row r="50" spans="1:35" ht="25.5" customHeight="1">
      <c r="A50" s="2551"/>
      <c r="B50" s="3613" t="s">
        <v>1344</v>
      </c>
      <c r="C50" s="3613"/>
      <c r="D50" s="2552"/>
      <c r="E50" s="332"/>
      <c r="F50" s="2424"/>
      <c r="G50" s="3684"/>
      <c r="H50" s="2312" t="s">
        <v>2135</v>
      </c>
      <c r="I50" s="2311"/>
      <c r="J50" s="3696" t="s">
        <v>1345</v>
      </c>
      <c r="K50" s="3696"/>
      <c r="L50" s="3696"/>
      <c r="M50" s="3696"/>
      <c r="N50" s="3696"/>
      <c r="O50" s="3696"/>
    </row>
    <row r="51" spans="1:35" ht="20.45" customHeight="1">
      <c r="A51" s="2553"/>
      <c r="B51" s="3613" t="s">
        <v>1346</v>
      </c>
      <c r="C51" s="3613"/>
      <c r="D51" s="1087"/>
      <c r="E51" s="327"/>
      <c r="F51" s="2424"/>
      <c r="G51" s="3685"/>
      <c r="H51" s="2312" t="s">
        <v>2136</v>
      </c>
      <c r="I51" s="2311"/>
      <c r="J51" s="2524" t="s">
        <v>1347</v>
      </c>
      <c r="K51" s="3677" t="s">
        <v>1348</v>
      </c>
      <c r="L51" s="3677"/>
      <c r="M51" s="2524" t="s">
        <v>1349</v>
      </c>
      <c r="N51" s="2524" t="s">
        <v>1350</v>
      </c>
      <c r="O51" s="2524" t="s">
        <v>1351</v>
      </c>
    </row>
    <row r="52" spans="1:35" ht="24" customHeight="1">
      <c r="A52" s="2335" t="s">
        <v>1352</v>
      </c>
      <c r="B52" s="3613" t="s">
        <v>1353</v>
      </c>
      <c r="C52" s="3613"/>
      <c r="D52" s="1087">
        <f ca="1">ROUND(D45*'数据-取费表'!B41/(1+'数据-取费表'!C42),0)</f>
        <v>5989</v>
      </c>
      <c r="E52" s="2334" t="s">
        <v>1354</v>
      </c>
      <c r="F52" s="2554">
        <f>'数据-取费表'!B41</f>
        <v>5.6000000000000001E-2</v>
      </c>
      <c r="G52" s="2555"/>
      <c r="H52" s="2544"/>
      <c r="I52" s="1807"/>
      <c r="J52" s="2523">
        <v>1</v>
      </c>
      <c r="K52" s="3678" t="s">
        <v>1355</v>
      </c>
      <c r="L52" s="3678"/>
      <c r="M52" s="2525" t="b">
        <f>D48</f>
        <v>0</v>
      </c>
      <c r="N52" s="2523" t="str">
        <f>E48</f>
        <v>销售额×税（费）率</v>
      </c>
      <c r="O52" s="2526">
        <f>F48</f>
        <v>5.6000000000000001E-2</v>
      </c>
    </row>
    <row r="53" spans="1:35" ht="12" customHeight="1">
      <c r="A53" s="2335" t="s">
        <v>1356</v>
      </c>
      <c r="B53" s="3639" t="s">
        <v>2291</v>
      </c>
      <c r="C53" s="3640"/>
      <c r="D53" s="1087">
        <f ca="1">ROUND(D45*'数据-取费表'!B41/(1+'数据-取费表'!C42),0)</f>
        <v>5989</v>
      </c>
      <c r="E53" s="2334" t="s">
        <v>1354</v>
      </c>
      <c r="F53" s="2554">
        <f>'数据-取费表'!B41</f>
        <v>5.6000000000000001E-2</v>
      </c>
      <c r="G53" s="2555"/>
      <c r="H53" s="2544"/>
      <c r="I53" s="1807"/>
      <c r="J53" s="2523">
        <v>2</v>
      </c>
      <c r="K53" s="3678" t="s">
        <v>1357</v>
      </c>
      <c r="L53" s="3678"/>
      <c r="M53" s="2525">
        <f t="shared" ref="M53:O54" ca="1" si="0">D55</f>
        <v>56</v>
      </c>
      <c r="N53" s="2523" t="str">
        <f t="shared" si="0"/>
        <v>销售额×税（费）率</v>
      </c>
      <c r="O53" s="2526" t="str">
        <f t="shared" si="0"/>
        <v>免征</v>
      </c>
    </row>
    <row r="54" spans="1:35" ht="12" customHeight="1">
      <c r="A54" s="2335" t="s">
        <v>1358</v>
      </c>
      <c r="B54" s="3639" t="s">
        <v>2292</v>
      </c>
      <c r="C54" s="3640"/>
      <c r="D54" s="1087">
        <f ca="1">C68</f>
        <v>5989</v>
      </c>
      <c r="E54" s="327" t="s">
        <v>1359</v>
      </c>
      <c r="F54" s="2554">
        <f>'数据-取费表'!B41</f>
        <v>5.6000000000000001E-2</v>
      </c>
      <c r="G54" s="2555"/>
      <c r="H54" s="2556"/>
      <c r="I54" s="1807"/>
      <c r="J54" s="2523">
        <v>3</v>
      </c>
      <c r="K54" s="3678" t="s">
        <v>1360</v>
      </c>
      <c r="L54" s="3678"/>
      <c r="M54" s="2525">
        <f t="shared" ca="1" si="0"/>
        <v>63555</v>
      </c>
      <c r="N54" s="2523" t="str">
        <f t="shared" si="0"/>
        <v>增值额×税（费）率</v>
      </c>
      <c r="O54" s="2527" t="str">
        <f t="shared" si="0"/>
        <v>免征</v>
      </c>
    </row>
    <row r="55" spans="1:35" ht="24" customHeight="1">
      <c r="A55" s="3628" t="s">
        <v>1361</v>
      </c>
      <c r="B55" s="3629"/>
      <c r="C55" s="3629"/>
      <c r="D55" s="2324">
        <f ca="1">IF(H55="个人住宅",0,ROUND(D45*I55,0))</f>
        <v>56</v>
      </c>
      <c r="E55" s="2334" t="s">
        <v>1362</v>
      </c>
      <c r="F55" s="2554" t="str">
        <f>IF(H55="正常",I55,"免征")</f>
        <v>免征</v>
      </c>
      <c r="G55" s="2555"/>
      <c r="H55" s="2550"/>
      <c r="I55" s="165">
        <f>'数据-取费表'!B49</f>
        <v>5.0000000000000001E-4</v>
      </c>
      <c r="J55" s="2523">
        <f>IF(H59="非个人房产","",4)</f>
        <v>4</v>
      </c>
      <c r="K55" s="3678" t="str">
        <f>IF(H59="非个人房产","——","个人所得税")</f>
        <v>个人所得税</v>
      </c>
      <c r="L55" s="3678"/>
      <c r="M55" s="2528">
        <f ca="1">D59</f>
        <v>1069</v>
      </c>
      <c r="N55" s="2040" t="str">
        <f>E59</f>
        <v>差额计税</v>
      </c>
      <c r="O55" s="2529">
        <f>F59</f>
        <v>0.01</v>
      </c>
    </row>
    <row r="56" spans="1:35" ht="24.75">
      <c r="A56" s="3628" t="s">
        <v>1363</v>
      </c>
      <c r="B56" s="3629"/>
      <c r="C56" s="3629"/>
      <c r="D56" s="2324">
        <f ca="1">IF(H56="个人住宅",D57,D58)</f>
        <v>63555</v>
      </c>
      <c r="E56" s="2334" t="s">
        <v>1364</v>
      </c>
      <c r="F56" s="2554" t="str">
        <f>IF(H56="正常",F58,"免征")</f>
        <v>免征</v>
      </c>
      <c r="G56" s="2557" t="s">
        <v>1365</v>
      </c>
      <c r="H56" s="2558"/>
      <c r="I56" s="1808"/>
      <c r="J56" s="2523" t="str">
        <f>IF(项目基本情况!K6="上海银行",IF(J55="",4,J55+1),"")</f>
        <v/>
      </c>
      <c r="K56" s="3701" t="str">
        <f>IF(项目基本情况!K6="上海银行","其他处置费用","")</f>
        <v/>
      </c>
      <c r="L56" s="3702"/>
      <c r="M56" s="2525" t="str">
        <f>IF(项目基本情况!K6="上海银行",M69,"")</f>
        <v/>
      </c>
      <c r="N56" s="3701" t="str">
        <f>IF(项目基本情况!K6="上海银行","包含处置中涉及的律师、诉讼、拍卖、评估等费用","")</f>
        <v/>
      </c>
      <c r="O56" s="3704"/>
    </row>
    <row r="57" spans="1:35" ht="12.75">
      <c r="A57" s="2335" t="s">
        <v>1341</v>
      </c>
      <c r="B57" s="3639" t="s">
        <v>1366</v>
      </c>
      <c r="C57" s="3640"/>
      <c r="D57" s="1590">
        <v>0</v>
      </c>
      <c r="E57" s="324" t="s">
        <v>1343</v>
      </c>
      <c r="F57" s="302"/>
      <c r="G57" s="2555"/>
      <c r="H57" s="2559"/>
      <c r="I57" s="1808"/>
      <c r="J57" s="3678">
        <f>IF(AND(J55="",J56=""),4,IF(项目基本情况!K6="上海银行",结果表!J56+1,结果表!J55+1))</f>
        <v>5</v>
      </c>
      <c r="K57" s="3678" t="s">
        <v>1367</v>
      </c>
      <c r="L57" s="2530" t="s">
        <v>1368</v>
      </c>
      <c r="M57" s="2531"/>
      <c r="N57" s="2532">
        <f ca="1">SUMIF(M52:M56,"&lt;9e307")</f>
        <v>64680</v>
      </c>
      <c r="O57" s="2533"/>
      <c r="P57" s="2690" t="e">
        <f ca="1">N57/M49</f>
        <v>#VALUE!</v>
      </c>
    </row>
    <row r="58" spans="1:35" ht="24.75">
      <c r="A58" s="2335" t="s">
        <v>1352</v>
      </c>
      <c r="B58" s="3639" t="s">
        <v>1369</v>
      </c>
      <c r="C58" s="3613"/>
      <c r="D58" s="2324">
        <f ca="1">IF(H58="转让取得",C81,C97)</f>
        <v>63555</v>
      </c>
      <c r="E58" s="2334" t="s">
        <v>1364</v>
      </c>
      <c r="F58" s="302" t="s">
        <v>28</v>
      </c>
      <c r="G58" s="2555"/>
      <c r="H58" s="2558"/>
      <c r="I58" s="1808"/>
      <c r="J58" s="3678"/>
      <c r="K58" s="3678"/>
      <c r="L58" s="2530" t="s">
        <v>1370</v>
      </c>
      <c r="M58" s="2534"/>
      <c r="N58" s="2535" t="str">
        <f ca="1">NUMBERSTRING(INT(N57*10000),2)&amp;"元整"</f>
        <v>陆亿肆仟陆佰捌拾万元整</v>
      </c>
      <c r="O58" s="2536"/>
    </row>
    <row r="59" spans="1:35" ht="24.75" thickBot="1">
      <c r="A59" s="3681" t="s">
        <v>1371</v>
      </c>
      <c r="B59" s="3682"/>
      <c r="C59" s="3682"/>
      <c r="D59" s="2560">
        <f ca="1">IF(H59="非个人房产","——",IF(H59="个人住宅（满五唯一有凭证）",0,IF(H59="个人其他（无凭证）",ROUND(D45*F59,0),ROUND(C67*F59,0))))</f>
        <v>1069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79">
        <f>J57+1</f>
        <v>6</v>
      </c>
      <c r="K59" s="3678" t="s">
        <v>1372</v>
      </c>
      <c r="L59" s="2523" t="s">
        <v>1368</v>
      </c>
      <c r="M59" s="2537"/>
      <c r="N59" s="2538" t="e">
        <f ca="1">M49-N57</f>
        <v>#VALUE!</v>
      </c>
      <c r="O59" s="2539"/>
    </row>
    <row r="60" spans="1:35" ht="12" customHeight="1">
      <c r="A60" s="1809"/>
      <c r="B60" s="1747"/>
      <c r="C60" s="1747"/>
      <c r="D60" s="1747"/>
      <c r="E60" s="1578"/>
      <c r="F60" s="1808"/>
      <c r="G60" s="1808"/>
      <c r="H60" s="1810"/>
      <c r="I60" s="129"/>
      <c r="J60" s="3680"/>
      <c r="K60" s="3678"/>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678" t="s">
        <v>1374</v>
      </c>
      <c r="L61" s="3678"/>
      <c r="M61" s="2540"/>
      <c r="N61" s="2541" t="e">
        <f ca="1">ROUND(N59*10000/'数据-汇总表'!E3,0)</f>
        <v>#VALUE!</v>
      </c>
      <c r="O61" s="2542"/>
    </row>
    <row r="62" spans="1:35" ht="12.75">
      <c r="A62" s="3644" t="s">
        <v>1375</v>
      </c>
      <c r="B62" s="3645"/>
      <c r="C62" s="2021"/>
      <c r="D62" s="2021" t="s">
        <v>1376</v>
      </c>
      <c r="E62" s="166" t="s">
        <v>1377</v>
      </c>
      <c r="F62" s="1808"/>
      <c r="G62" s="1808"/>
      <c r="H62" s="1810"/>
      <c r="I62" s="129"/>
    </row>
    <row r="63" spans="1:35" ht="12.75">
      <c r="A63" s="173" t="s">
        <v>330</v>
      </c>
      <c r="B63" s="167" t="s">
        <v>1378</v>
      </c>
      <c r="C63" s="2564">
        <f ca="1">ROUND((C64+C65)/(1+'数据-取费表'!C42),0)</f>
        <v>106942</v>
      </c>
      <c r="D63" s="167"/>
      <c r="E63" s="168"/>
      <c r="F63" s="1808"/>
      <c r="G63" s="1808"/>
      <c r="H63" s="1810"/>
      <c r="I63" s="129"/>
      <c r="J63" s="370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112289</v>
      </c>
      <c r="D64" s="170" t="s">
        <v>26</v>
      </c>
      <c r="E64" s="172"/>
      <c r="F64" s="1808"/>
      <c r="G64" s="1808"/>
      <c r="H64" s="1810"/>
      <c r="I64" s="129"/>
      <c r="J64" s="370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3"/>
      <c r="K66" s="1332" t="s">
        <v>1387</v>
      </c>
      <c r="L66" s="1332" t="e">
        <f>M49*0.5%</f>
        <v>#VALUE!</v>
      </c>
      <c r="M66" s="302" t="e">
        <f>IF(L66&gt;0.5,0.5,ROUND(L66,0))</f>
        <v>#VALUE!</v>
      </c>
      <c r="N66" s="2544" t="s">
        <v>1388</v>
      </c>
      <c r="Z66" s="1752"/>
      <c r="AI66" s="1753"/>
    </row>
    <row r="67" spans="1:35" ht="14.25" customHeight="1">
      <c r="A67" s="173" t="s">
        <v>328</v>
      </c>
      <c r="B67" s="174" t="s">
        <v>1389</v>
      </c>
      <c r="C67" s="2568">
        <f ca="1">C63-C66</f>
        <v>106942</v>
      </c>
      <c r="D67" s="170" t="s">
        <v>26</v>
      </c>
      <c r="E67" s="172"/>
      <c r="F67" s="1808"/>
      <c r="G67" s="1808"/>
      <c r="H67" s="1810"/>
      <c r="I67" s="129"/>
      <c r="J67" s="370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5989</v>
      </c>
      <c r="D68" s="2570">
        <f>'数据-取费表'!B41</f>
        <v>5.6000000000000001E-2</v>
      </c>
      <c r="E68" s="178"/>
      <c r="F68" s="1808"/>
      <c r="G68" s="1808"/>
      <c r="H68" s="1810"/>
      <c r="I68" s="129"/>
      <c r="J68" s="370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5" t="s">
        <v>1394</v>
      </c>
      <c r="B70" s="3666"/>
      <c r="C70" s="3666"/>
      <c r="D70" s="3666"/>
      <c r="E70" s="3666"/>
      <c r="F70" s="3666"/>
      <c r="G70" s="3666"/>
      <c r="H70" s="366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4" t="s">
        <v>1375</v>
      </c>
      <c r="B71" s="364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106942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642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9" t="s">
        <v>1402</v>
      </c>
      <c r="F76" s="3613"/>
      <c r="G76" s="3613"/>
      <c r="H76" s="366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642</v>
      </c>
      <c r="D78" s="2577">
        <f>'数据-取费表'!B43</f>
        <v>6.000000000000001E-3</v>
      </c>
      <c r="E78" s="3623" t="s">
        <v>1406</v>
      </c>
      <c r="F78" s="3624"/>
      <c r="G78" s="3624"/>
      <c r="H78" s="363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106300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165.57632398753893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63555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5" t="s">
        <v>1410</v>
      </c>
      <c r="B83" s="3666"/>
      <c r="C83" s="3666"/>
      <c r="D83" s="3666"/>
      <c r="E83" s="3666"/>
      <c r="F83" s="3666"/>
      <c r="G83" s="3666"/>
      <c r="H83" s="366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4" t="s">
        <v>1375</v>
      </c>
      <c r="B84" s="364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106942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642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5" t="s">
        <v>2129</v>
      </c>
      <c r="H90" s="370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3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642</v>
      </c>
      <c r="D93" s="2577">
        <f>'数据-取费表'!B43</f>
        <v>6.000000000000001E-3</v>
      </c>
      <c r="E93" s="3623" t="s">
        <v>1406</v>
      </c>
      <c r="F93" s="3624"/>
      <c r="G93" s="3624"/>
      <c r="H93" s="363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106300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165.57632398753893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63555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7" t="s">
        <v>1428</v>
      </c>
      <c r="B100" s="3608"/>
      <c r="C100" s="3608"/>
      <c r="D100" s="3625"/>
      <c r="E100" s="3608" t="s">
        <v>1429</v>
      </c>
      <c r="F100" s="3608"/>
      <c r="G100" s="3608"/>
      <c r="H100" s="3625"/>
      <c r="I100" s="129"/>
    </row>
    <row r="101" spans="1:35" ht="18.75" customHeight="1">
      <c r="A101" s="3686" t="s">
        <v>1430</v>
      </c>
      <c r="B101" s="3687"/>
      <c r="C101" s="2585" t="str">
        <f>C4</f>
        <v>成本法</v>
      </c>
      <c r="D101" s="2586" t="str">
        <f>D4</f>
        <v>收益法-酒店模型</v>
      </c>
      <c r="E101" s="3700" t="s">
        <v>1431</v>
      </c>
      <c r="F101" s="3657"/>
      <c r="G101" s="1827" t="s">
        <v>1432</v>
      </c>
      <c r="H101" s="2595">
        <f ca="1">H118</f>
        <v>112289</v>
      </c>
      <c r="I101" s="129"/>
    </row>
    <row r="102" spans="1:35" ht="18.75" customHeight="1">
      <c r="A102" s="3659" t="s">
        <v>1433</v>
      </c>
      <c r="B102" s="2584" t="s">
        <v>1432</v>
      </c>
      <c r="C102" s="2585">
        <f ca="1">IF(D32="楼面单价",ROUND(C19,0),C19)</f>
        <v>105137</v>
      </c>
      <c r="D102" s="2586">
        <f ca="1">IF(D32="楼面单价",ROUND(D19,0),D19)</f>
        <v>119441</v>
      </c>
      <c r="E102" s="3700"/>
      <c r="F102" s="3657"/>
      <c r="G102" s="1827" t="s">
        <v>1434</v>
      </c>
      <c r="H102" s="2555">
        <f ca="1">I118</f>
        <v>36632</v>
      </c>
      <c r="I102" s="129"/>
    </row>
    <row r="103" spans="1:35" ht="42.75" customHeight="1">
      <c r="A103" s="3659"/>
      <c r="B103" s="2584" t="s">
        <v>1434</v>
      </c>
      <c r="C103" s="2587">
        <f ca="1">C20</f>
        <v>34299</v>
      </c>
      <c r="D103" s="2588">
        <f ca="1">D20</f>
        <v>38966</v>
      </c>
      <c r="E103" s="3694" t="s">
        <v>1435</v>
      </c>
      <c r="F103" s="3695"/>
      <c r="G103" s="1828" t="s">
        <v>1436</v>
      </c>
      <c r="H103" s="2595">
        <f>IF(D36="正常操作",H104+H105+H106,H105+H106)</f>
        <v>0</v>
      </c>
      <c r="I103" s="129"/>
    </row>
    <row r="104" spans="1:35" ht="18.75" customHeight="1">
      <c r="A104" s="3659" t="s">
        <v>1437</v>
      </c>
      <c r="B104" s="2589" t="s">
        <v>1432</v>
      </c>
      <c r="C104" s="2590">
        <f ca="1">H118</f>
        <v>112289</v>
      </c>
      <c r="D104" s="2591"/>
      <c r="E104" s="1674" t="s">
        <v>1438</v>
      </c>
      <c r="F104" s="1666"/>
      <c r="G104" s="1828" t="s">
        <v>1436</v>
      </c>
      <c r="H104" s="2596">
        <f>IF(D36="同一抵押权人同一抵押物续贷",C36&amp;"（续贷，未扣减，详见特别提示）",C36)</f>
        <v>0</v>
      </c>
      <c r="I104" s="129"/>
    </row>
    <row r="105" spans="1:35" ht="18.75" customHeight="1" thickBot="1">
      <c r="A105" s="3660"/>
      <c r="B105" s="2592" t="s">
        <v>1434</v>
      </c>
      <c r="C105" s="2593">
        <f ca="1">I118</f>
        <v>36632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6" t="str">
        <f>IF(项目基本情况!E8="已注销","——","3.房地产抵押价值")</f>
        <v>3.房地产抵押价值</v>
      </c>
      <c r="F107" s="3657"/>
      <c r="G107" s="1827" t="s">
        <v>1432</v>
      </c>
      <c r="H107" s="2595">
        <f ca="1">IF(E107="——","——",H101-H103)</f>
        <v>112289</v>
      </c>
      <c r="I107" s="129"/>
    </row>
    <row r="108" spans="1:35" ht="18.75" customHeight="1">
      <c r="A108" s="129"/>
      <c r="B108" s="129"/>
      <c r="C108" s="129"/>
      <c r="D108" s="129"/>
      <c r="E108" s="3656"/>
      <c r="F108" s="3657"/>
      <c r="G108" s="1827" t="s">
        <v>1434</v>
      </c>
      <c r="H108" s="2555">
        <f ca="1">IF(H107=H101,H102,ROUND(H107*10000/'数据-汇总表'!E3,0))</f>
        <v>36632</v>
      </c>
      <c r="I108" s="129"/>
    </row>
    <row r="109" spans="1:35" ht="18.75" customHeight="1">
      <c r="A109" s="129"/>
      <c r="B109" s="129"/>
      <c r="C109" s="129"/>
      <c r="D109" s="129"/>
      <c r="E109" s="3656" t="str">
        <f>IF(项目基本情况!E8="已注销及未注销","4.抵押担保权已注销时的房地产抵押价值",IF(项目基本情况!E8="已注销","3.抵押担保权已注销时的房地产抵押价值","——"))</f>
        <v>——</v>
      </c>
      <c r="F109" s="3657"/>
      <c r="G109" s="1827" t="s">
        <v>1432</v>
      </c>
      <c r="H109" s="2598" t="str">
        <f>IF(E109="——","——",H101-H105-H106)</f>
        <v>——</v>
      </c>
      <c r="I109" s="129"/>
    </row>
    <row r="110" spans="1:35" ht="18.75" customHeight="1">
      <c r="A110" s="129"/>
      <c r="B110" s="129"/>
      <c r="C110" s="129"/>
      <c r="D110" s="129"/>
      <c r="E110" s="3656"/>
      <c r="F110" s="3657"/>
      <c r="G110" s="1827" t="s">
        <v>1434</v>
      </c>
      <c r="H110" s="2555" t="str">
        <f>IF(H109="——","——",ROUND(H109*10000/'数据-汇总表'!E3,0))</f>
        <v>——</v>
      </c>
      <c r="I110" s="129"/>
    </row>
    <row r="111" spans="1:35" ht="18.75" customHeight="1">
      <c r="A111" s="129"/>
      <c r="B111" s="129"/>
      <c r="C111" s="129"/>
      <c r="D111" s="129"/>
      <c r="E111" s="3688" t="str">
        <f>IF(项目基本情况!E9="抵押净值",IF(OR(项目基本情况!E8="已注销",项目基本情况!E8="房地产抵押价值"),"4.抵押净值","5.抵押净值"),"——")</f>
        <v>——</v>
      </c>
      <c r="F111" s="3658"/>
      <c r="G111" s="1827" t="s">
        <v>1432</v>
      </c>
      <c r="H111" s="2595" t="str">
        <f>IF(E111="——","——",N59)</f>
        <v>——</v>
      </c>
      <c r="I111" s="129"/>
    </row>
    <row r="112" spans="1:35" ht="18.75" customHeight="1" thickBot="1">
      <c r="A112" s="129"/>
      <c r="B112" s="129"/>
      <c r="C112" s="129"/>
      <c r="D112" s="129"/>
      <c r="E112" s="3689"/>
      <c r="F112" s="3690"/>
      <c r="G112" s="1830" t="s">
        <v>1434</v>
      </c>
      <c r="H112" s="2599" t="str">
        <f>IF(E111="——","——",N61)</f>
        <v>——</v>
      </c>
      <c r="I112" s="129"/>
    </row>
    <row r="113" spans="1:27" ht="18.75" customHeight="1">
      <c r="A113" s="129"/>
      <c r="B113" s="129"/>
      <c r="C113" s="129"/>
      <c r="D113" s="129"/>
      <c r="E113" s="3661" t="s">
        <v>1440</v>
      </c>
      <c r="F113" s="3661"/>
      <c r="G113" s="3661"/>
      <c r="H113" s="3661"/>
      <c r="I113" s="129"/>
    </row>
    <row r="114" spans="1:27" ht="3.75" customHeight="1">
      <c r="A114" s="1747"/>
      <c r="B114" s="1747"/>
      <c r="C114" s="1747"/>
      <c r="D114" s="1747"/>
      <c r="E114" s="1809"/>
      <c r="F114" s="1809"/>
      <c r="G114" s="1809"/>
      <c r="H114" s="1809"/>
      <c r="I114" s="1747"/>
    </row>
    <row r="115" spans="1:27" ht="18.75" customHeight="1">
      <c r="A115" s="3671" t="s">
        <v>1442</v>
      </c>
      <c r="B115" s="3672"/>
      <c r="C115" s="3672"/>
      <c r="D115" s="3672"/>
      <c r="E115" s="3672"/>
      <c r="F115" s="3672"/>
      <c r="G115" s="3672"/>
      <c r="H115" s="3672"/>
      <c r="I115" s="3673"/>
    </row>
    <row r="116" spans="1:27" ht="27" customHeight="1">
      <c r="A116" s="3627" t="s">
        <v>1443</v>
      </c>
      <c r="B116" s="3662" t="s">
        <v>1444</v>
      </c>
      <c r="C116" s="3662" t="s">
        <v>1445</v>
      </c>
      <c r="D116" s="3675" t="s">
        <v>1446</v>
      </c>
      <c r="E116" s="3676"/>
      <c r="F116" s="3670" t="s">
        <v>1447</v>
      </c>
      <c r="G116" s="3670"/>
      <c r="H116" s="3627" t="s">
        <v>1448</v>
      </c>
      <c r="I116" s="3627"/>
    </row>
    <row r="117" spans="1:27" ht="18.75" customHeight="1">
      <c r="A117" s="3627"/>
      <c r="B117" s="3663"/>
      <c r="C117" s="36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86463</v>
      </c>
      <c r="E118" s="2329">
        <f ca="1">ROUND(IF(C33="自定义",IF(D32="楼面单价",C34,D118*10000/B118),I118-G118),0)</f>
        <v>28207</v>
      </c>
      <c r="F118" s="2329">
        <f ca="1">ROUND(IF(D32="总价",C35,G118*B118/10000),0)</f>
        <v>25826</v>
      </c>
      <c r="G118" s="2329">
        <f ca="1">ROUND(IF(D32="楼面单价",C35,F118*10000/B118),0)</f>
        <v>8425</v>
      </c>
      <c r="H118" s="2329">
        <f ca="1">ROUND(IF(D32="总价",C32,I118*B118/10000),0)</f>
        <v>112289</v>
      </c>
      <c r="I118" s="2329">
        <f ca="1">ROUND(IF(D32="楼面单价",C32,H118*10000/B118),0)</f>
        <v>36632</v>
      </c>
    </row>
    <row r="119" spans="1:27" ht="18.75" customHeight="1">
      <c r="A119" s="3627" t="s">
        <v>1452</v>
      </c>
      <c r="B119" s="3627"/>
      <c r="C119" s="3627"/>
      <c r="D119" s="3667" t="str">
        <f ca="1">NUMBERSTRING(INT(D118*10000),2)&amp;"元整"</f>
        <v>捌亿陆仟肆佰陆拾叁万元整</v>
      </c>
      <c r="E119" s="3669"/>
      <c r="F119" s="3667" t="str">
        <f ca="1">NUMBERSTRING(INT(F118*10000),2)&amp;"元整"</f>
        <v>贰亿伍仟捌佰贰拾陆万元整</v>
      </c>
      <c r="G119" s="3669"/>
      <c r="H119" s="3667" t="str">
        <f ca="1">NUMBERSTRING(INT(H118*10000),2)&amp;"元整"</f>
        <v>壹拾壹亿贰仟贰佰捌拾玖万元整</v>
      </c>
      <c r="I119" s="3669"/>
    </row>
    <row r="120" spans="1:27" ht="18.75" customHeight="1">
      <c r="A120" s="3691" t="str">
        <f>IF(项目基本情况!B9="房地产市场价值","",MID(E103,3,LEN(E103)-2))</f>
        <v>估价师知悉的法定优先受偿款</v>
      </c>
      <c r="B120" s="3692"/>
      <c r="C120" s="3693"/>
      <c r="D120" s="3691">
        <f>H103</f>
        <v>0</v>
      </c>
      <c r="E120" s="3692"/>
      <c r="F120" s="3692"/>
      <c r="G120" s="3692"/>
      <c r="H120" s="3692"/>
      <c r="I120" s="36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7" t="s">
        <v>1452</v>
      </c>
      <c r="B121" s="3668"/>
      <c r="C121" s="3669"/>
      <c r="D121" s="3667" t="str">
        <f>IF(D120=0,"零元整",NUMBERSTRING(INT(D120*10000),2)&amp;"元整")</f>
        <v>零元整</v>
      </c>
      <c r="E121" s="3668"/>
      <c r="F121" s="3668"/>
      <c r="G121" s="3668"/>
      <c r="H121" s="3668"/>
      <c r="I121" s="3669"/>
      <c r="AA121" s="725"/>
    </row>
    <row r="122" spans="1:27" ht="18.75" customHeight="1">
      <c r="A122" s="3658" t="str">
        <f>IF(项目基本情况!B9="房地产市场价值","",MID(E107,3,LEN(E107)-2))</f>
        <v>房地产抵押价值</v>
      </c>
      <c r="B122" s="3658"/>
      <c r="C122" s="3658"/>
      <c r="D122" s="3691">
        <f ca="1">H107</f>
        <v>112289</v>
      </c>
      <c r="E122" s="3692"/>
      <c r="F122" s="3692"/>
      <c r="G122" s="3692"/>
      <c r="H122" s="3692"/>
      <c r="I122" s="3693"/>
      <c r="AA122" s="725"/>
    </row>
    <row r="123" spans="1:27" ht="18.75" customHeight="1">
      <c r="A123" s="3627" t="s">
        <v>1452</v>
      </c>
      <c r="B123" s="3627"/>
      <c r="C123" s="3627"/>
      <c r="D123" s="3667" t="str">
        <f ca="1">NUMBERSTRING(INT(D122*10000),2)&amp;"元整"</f>
        <v>壹拾壹亿贰仟贰佰捌拾玖万元整</v>
      </c>
      <c r="E123" s="3668"/>
      <c r="F123" s="3668"/>
      <c r="G123" s="3668"/>
      <c r="H123" s="3668"/>
      <c r="I123" s="3669"/>
      <c r="AA123" s="725"/>
    </row>
    <row r="124" spans="1:27" ht="18.75" customHeight="1">
      <c r="A124" s="3658" t="str">
        <f>IF(项目基本情况!B9="房地产市场价值","",MID(E109,3,LEN(E109)-2))</f>
        <v/>
      </c>
      <c r="B124" s="3658"/>
      <c r="C124" s="3658"/>
      <c r="D124" s="3691" t="str">
        <f>H109</f>
        <v>——</v>
      </c>
      <c r="E124" s="3692"/>
      <c r="F124" s="3692"/>
      <c r="G124" s="3692"/>
      <c r="H124" s="3692"/>
      <c r="I124" s="3693"/>
      <c r="AA124" s="725"/>
    </row>
    <row r="125" spans="1:27" ht="18.75" customHeight="1">
      <c r="A125" s="3627" t="s">
        <v>1452</v>
      </c>
      <c r="B125" s="3627"/>
      <c r="C125" s="3627"/>
      <c r="D125" s="3667" t="e">
        <f>NUMBERSTRING(INT(D124*10000),2)&amp;"元整"</f>
        <v>#VALUE!</v>
      </c>
      <c r="E125" s="3668"/>
      <c r="F125" s="3668"/>
      <c r="G125" s="3668"/>
      <c r="H125" s="3668"/>
      <c r="I125" s="3669"/>
      <c r="AA125" s="725"/>
    </row>
    <row r="126" spans="1:27" ht="18.75" customHeight="1">
      <c r="A126" s="3658" t="str">
        <f>IF(项目基本情况!B9="房地产市场价值","",MID(E111,3,LEN(E111)-2))</f>
        <v/>
      </c>
      <c r="B126" s="3658"/>
      <c r="C126" s="3658"/>
      <c r="D126" s="3691" t="str">
        <f>H111</f>
        <v>——</v>
      </c>
      <c r="E126" s="3692"/>
      <c r="F126" s="3692"/>
      <c r="G126" s="3692"/>
      <c r="H126" s="3692"/>
      <c r="I126" s="3693"/>
      <c r="AA126" s="725"/>
    </row>
    <row r="127" spans="1:27" ht="18.75" customHeight="1">
      <c r="A127" s="3627" t="s">
        <v>1452</v>
      </c>
      <c r="B127" s="3627"/>
      <c r="C127" s="3627"/>
      <c r="D127" s="3667" t="e">
        <f>NUMBERSTRING(INT(D126*10000),2)&amp;"元整"</f>
        <v>#VALUE!</v>
      </c>
      <c r="E127" s="3668"/>
      <c r="F127" s="3668"/>
      <c r="G127" s="3668"/>
      <c r="H127" s="3668"/>
      <c r="I127" s="3669"/>
      <c r="AA127" s="725"/>
    </row>
    <row r="128" spans="1:27" ht="21.75" customHeight="1">
      <c r="A128" s="3674" t="s">
        <v>1453</v>
      </c>
      <c r="B128" s="3674"/>
      <c r="C128" s="3674"/>
      <c r="D128" s="3674"/>
      <c r="E128" s="3674"/>
      <c r="F128" s="3674"/>
      <c r="G128" s="3674"/>
      <c r="H128" s="3674"/>
      <c r="I128" s="36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E55" sqref="E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105137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34299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57557</v>
      </c>
      <c r="D5" s="211" t="s">
        <v>1469</v>
      </c>
      <c r="E5" s="212" t="s">
        <v>1470</v>
      </c>
      <c r="F5" s="212" t="s">
        <v>1471</v>
      </c>
      <c r="G5" s="213"/>
    </row>
    <row r="6" spans="1:9" s="214" customFormat="1" ht="13.5" customHeight="1">
      <c r="A6" s="778" t="s">
        <v>1472</v>
      </c>
      <c r="B6" s="215" t="s">
        <v>1473</v>
      </c>
      <c r="C6" s="216">
        <f>基准地价修正!B2</f>
        <v>55259</v>
      </c>
      <c r="D6" s="217"/>
      <c r="E6" s="218"/>
      <c r="F6" s="218"/>
      <c r="G6" s="219"/>
    </row>
    <row r="7" spans="1:9" s="214" customFormat="1" ht="13.5" customHeight="1">
      <c r="A7" s="778" t="s">
        <v>1474</v>
      </c>
      <c r="B7" s="215" t="s">
        <v>1475</v>
      </c>
      <c r="C7" s="220">
        <f>ROUND(C6*F7,0)</f>
        <v>1685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11742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80965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21832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19924</v>
      </c>
      <c r="D34" s="217"/>
      <c r="E34" s="220"/>
      <c r="F34" s="257">
        <f ca="1">IF('数据-取费表'!B24=0,1,IF(B1="",'数据-取费表'!N16,INDIRECT("'数据-取费表'!n"&amp;$G$1)))</f>
        <v>1</v>
      </c>
      <c r="G34" s="219" t="s">
        <v>1526</v>
      </c>
    </row>
    <row r="35" spans="1:7" ht="13.5" customHeight="1">
      <c r="A35" s="780" t="s">
        <v>351</v>
      </c>
      <c r="B35" s="215" t="s">
        <v>1527</v>
      </c>
      <c r="C35" s="220">
        <f ca="1">ROUND(C34*F35,0)</f>
        <v>996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299</v>
      </c>
      <c r="D38" s="220"/>
      <c r="E38" s="220"/>
      <c r="F38" s="259">
        <f>'数据-取费表'!B36</f>
        <v>1.4999999999999999E-2</v>
      </c>
      <c r="G38" s="219" t="s">
        <v>1528</v>
      </c>
    </row>
    <row r="39" spans="1:7" s="214" customFormat="1" ht="13.5" customHeight="1">
      <c r="A39" s="255" t="s">
        <v>1534</v>
      </c>
      <c r="B39" s="210" t="s">
        <v>1535</v>
      </c>
      <c r="C39" s="232">
        <f ca="1">ROUND(C33*F20,0)</f>
        <v>437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775</v>
      </c>
      <c r="D42" s="238"/>
      <c r="E42" s="238"/>
      <c r="F42" s="239"/>
      <c r="G42" s="3707" t="s">
        <v>1544</v>
      </c>
    </row>
    <row r="43" spans="1:7" ht="13.5" customHeight="1">
      <c r="A43" s="780" t="s">
        <v>347</v>
      </c>
      <c r="B43" s="215" t="s">
        <v>1545</v>
      </c>
      <c r="C43" s="238">
        <f ca="1">ROUND(IF('数据-取费表'!B22&lt;=1,C39*F22*'数据-取费表'!B21/2,C39*(POWER((1+F22),'数据-取费表'!B21/2)-1)),0)</f>
        <v>16</v>
      </c>
      <c r="D43" s="238"/>
      <c r="E43" s="238"/>
      <c r="F43" s="239"/>
      <c r="G43" s="3708"/>
    </row>
    <row r="44" spans="1:7" ht="13.5" customHeight="1">
      <c r="A44" s="780" t="s">
        <v>348</v>
      </c>
      <c r="B44" s="215" t="s">
        <v>1546</v>
      </c>
      <c r="C44" s="238">
        <f ca="1">ROUND(IF('数据-取费表'!B22&lt;=1,C40*F22*'数据-取费表'!B21/2,C40*(POWER((1+F22),'数据-取费表'!B21/2)-1)),4)</f>
        <v>6.9999999999999999E-4</v>
      </c>
      <c r="D44" s="238"/>
      <c r="E44" s="238"/>
      <c r="F44" s="239"/>
      <c r="G44" s="3709"/>
    </row>
    <row r="45" spans="1:7" s="214" customFormat="1" ht="13.5" customHeight="1">
      <c r="A45" s="255" t="s">
        <v>1547</v>
      </c>
      <c r="B45" s="244" t="s">
        <v>1513</v>
      </c>
      <c r="C45" s="245">
        <f ca="1">C46</f>
        <v>4454</v>
      </c>
      <c r="D45" s="235">
        <f ca="1">C47</f>
        <v>4.0000000000000001E-3</v>
      </c>
      <c r="E45" s="236" t="s">
        <v>1539</v>
      </c>
      <c r="F45" s="246">
        <f ca="1">F27</f>
        <v>0.2</v>
      </c>
      <c r="G45" s="247" t="s">
        <v>1548</v>
      </c>
    </row>
    <row r="46" spans="1:7" s="214" customFormat="1" ht="13.5" customHeight="1">
      <c r="A46" s="780" t="s">
        <v>346</v>
      </c>
      <c r="B46" s="248" t="s">
        <v>1549</v>
      </c>
      <c r="C46" s="249">
        <f ca="1">ROUND((C33+C39)*F27,0)</f>
        <v>4454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29842</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24172</v>
      </c>
      <c r="D51" s="232"/>
      <c r="E51" s="232"/>
      <c r="F51" s="264"/>
      <c r="G51" s="234" t="s">
        <v>1560</v>
      </c>
    </row>
    <row r="52" spans="1:7" s="208" customFormat="1" ht="16.5" thickBot="1">
      <c r="A52" s="265" t="s">
        <v>1561</v>
      </c>
      <c r="B52" s="266"/>
      <c r="C52" s="267">
        <f ca="1">C31+C51</f>
        <v>105137</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25896.1679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218325637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199244175</v>
      </c>
      <c r="D34" s="217"/>
      <c r="E34" s="220"/>
      <c r="F34" s="257"/>
      <c r="G34" s="219"/>
    </row>
    <row r="35" spans="1:7" ht="13.5" customHeight="1">
      <c r="A35" s="780" t="s">
        <v>351</v>
      </c>
      <c r="B35" s="215" t="s">
        <v>1527</v>
      </c>
      <c r="C35" s="220">
        <f ca="1">ROUND(C34*F35,0)</f>
        <v>9962209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2988663</v>
      </c>
      <c r="D38" s="220"/>
      <c r="E38" s="220"/>
      <c r="F38" s="259">
        <f>'数据-取费表'!B36</f>
        <v>1.4999999999999999E-2</v>
      </c>
      <c r="G38" s="219" t="s">
        <v>1528</v>
      </c>
    </row>
    <row r="39" spans="1:7" s="214" customFormat="1" ht="13.5" customHeight="1">
      <c r="A39" s="255" t="s">
        <v>1534</v>
      </c>
      <c r="B39" s="210" t="s">
        <v>1535</v>
      </c>
      <c r="C39" s="232">
        <f ca="1">ROUND(C33*F20,0)</f>
        <v>4366513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7905571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7750560</v>
      </c>
      <c r="D42" s="238"/>
      <c r="E42" s="238"/>
      <c r="F42" s="239"/>
      <c r="G42" s="3707" t="s">
        <v>1591</v>
      </c>
    </row>
    <row r="43" spans="1:7" ht="13.5" customHeight="1">
      <c r="A43" s="780" t="s">
        <v>347</v>
      </c>
      <c r="B43" s="215" t="s">
        <v>1545</v>
      </c>
      <c r="C43" s="238">
        <f ca="1">ROUND(IF('数据-取费表'!B22&lt;=1,C39*F22*'数据-取费表'!B20/2,C39*(POWER((1+F22),'数据-取费表'!B20/2)-1)),0)</f>
        <v>155011</v>
      </c>
      <c r="D43" s="238"/>
      <c r="E43" s="238"/>
      <c r="F43" s="239"/>
      <c r="G43" s="3708"/>
    </row>
    <row r="44" spans="1:7" ht="13.5" customHeight="1">
      <c r="A44" s="780" t="s">
        <v>348</v>
      </c>
      <c r="B44" s="215" t="s">
        <v>1546</v>
      </c>
      <c r="C44" s="238">
        <f ca="1">ROUND(IF('数据-取费表'!B22&lt;=1,C40*F22*'数据-取费表'!B20/2,C40*(POWER((1+F22),'数据-取费表'!B20/2)-1)),4)</f>
        <v>6.9999999999999999E-4</v>
      </c>
      <c r="D44" s="238"/>
      <c r="E44" s="238"/>
      <c r="F44" s="239"/>
      <c r="G44" s="3709"/>
    </row>
    <row r="45" spans="1:7" s="214" customFormat="1" ht="13.5" customHeight="1">
      <c r="A45" s="255" t="s">
        <v>1547</v>
      </c>
      <c r="B45" s="244" t="s">
        <v>1513</v>
      </c>
      <c r="C45" s="245">
        <f ca="1">C46</f>
        <v>44538430</v>
      </c>
      <c r="D45" s="235">
        <f ca="1">C47</f>
        <v>4.0000000000000001E-3</v>
      </c>
      <c r="E45" s="236" t="s">
        <v>1539</v>
      </c>
      <c r="F45" s="246">
        <f ca="1">F27</f>
        <v>0.2</v>
      </c>
      <c r="G45" s="247" t="s">
        <v>1548</v>
      </c>
    </row>
    <row r="46" spans="1:7" s="214" customFormat="1" ht="13.5" customHeight="1">
      <c r="A46" s="780" t="s">
        <v>346</v>
      </c>
      <c r="B46" s="248" t="s">
        <v>1549</v>
      </c>
      <c r="C46" s="249">
        <f ca="1">ROUND((C33+C39)*F27,0)</f>
        <v>44538430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298412311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241713972</v>
      </c>
      <c r="D51" s="232"/>
      <c r="E51" s="232"/>
      <c r="F51" s="264"/>
      <c r="G51" s="234" t="s">
        <v>1560</v>
      </c>
    </row>
    <row r="52" spans="1:7" s="208" customFormat="1" ht="16.5" thickBot="1">
      <c r="A52" s="265" t="s">
        <v>1561</v>
      </c>
      <c r="B52" s="266"/>
      <c r="C52" s="267">
        <f ca="1">C31+C51</f>
        <v>258961679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54" sqref="G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157193</v>
      </c>
      <c r="C2" s="1387" t="s">
        <v>805</v>
      </c>
      <c r="D2" s="1387"/>
      <c r="E2" s="1388"/>
      <c r="F2" s="1389"/>
      <c r="G2" s="2706"/>
      <c r="H2" s="2695"/>
      <c r="I2" s="2695"/>
      <c r="J2" s="2695"/>
      <c r="K2" s="2696"/>
      <c r="L2" s="2695"/>
      <c r="M2" s="2695"/>
    </row>
    <row r="3" spans="1:37" ht="18" customHeight="1" thickBot="1">
      <c r="A3" s="1390" t="s">
        <v>806</v>
      </c>
      <c r="B3" s="1391">
        <f ca="1">IF(ISERROR(B2*10000/F43),0,ROUND(B2*10000/F43,0))</f>
        <v>51282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12600</v>
      </c>
      <c r="D6" s="155" t="s">
        <v>2109</v>
      </c>
      <c r="E6" s="302" t="s">
        <v>696</v>
      </c>
      <c r="F6" s="303">
        <f ca="1">INDIRECT("'数据-取费表'!u"&amp;$G$1)</f>
        <v>140000000</v>
      </c>
      <c r="G6" s="1384"/>
      <c r="H6" s="1069" t="s">
        <v>398</v>
      </c>
      <c r="I6" s="3712" t="s">
        <v>694</v>
      </c>
      <c r="J6" s="301">
        <f ca="1">ROUND(M6*M8*M7*(1-M9)/10000,0)</f>
        <v>0</v>
      </c>
      <c r="K6" s="155" t="s">
        <v>2108</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v>
      </c>
      <c r="G7" s="1384"/>
      <c r="H7" s="304"/>
      <c r="I7" s="3713"/>
      <c r="J7" s="306"/>
      <c r="K7" s="307"/>
      <c r="L7" s="302" t="s">
        <v>697</v>
      </c>
      <c r="M7" s="303">
        <f ca="1">F7</f>
        <v>1</v>
      </c>
    </row>
    <row r="8" spans="1:37" ht="18" customHeight="1">
      <c r="A8" s="304"/>
      <c r="B8" s="3713"/>
      <c r="C8" s="306"/>
      <c r="D8" s="307"/>
      <c r="E8" s="302" t="s">
        <v>698</v>
      </c>
      <c r="F8" s="303">
        <f ca="1">INDIRECT("'数据-取费表'!ai"&amp;$G$1)</f>
        <v>1</v>
      </c>
      <c r="G8" s="1384"/>
      <c r="H8" s="304"/>
      <c r="I8" s="3713"/>
      <c r="J8" s="306"/>
      <c r="K8" s="307"/>
      <c r="L8" s="302" t="s">
        <v>698</v>
      </c>
      <c r="M8" s="303">
        <f ca="1">INDIRECT("'数据-取费表'!ai"&amp;$G$1)</f>
        <v>1</v>
      </c>
    </row>
    <row r="9" spans="1:37" ht="18" customHeight="1">
      <c r="A9" s="304"/>
      <c r="B9" s="3714"/>
      <c r="C9" s="306"/>
      <c r="D9" s="307"/>
      <c r="E9" s="302" t="s">
        <v>699</v>
      </c>
      <c r="F9" s="312">
        <f ca="1">INDIRECT("'数据-取费表'!w"&amp;$G$1)</f>
        <v>0.1</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24172</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19924</v>
      </c>
      <c r="D14" s="1345" t="s">
        <v>708</v>
      </c>
      <c r="E14" s="1342"/>
      <c r="F14" s="319"/>
      <c r="G14" s="1384"/>
      <c r="H14" s="982" t="s">
        <v>398</v>
      </c>
      <c r="I14" s="302" t="s">
        <v>709</v>
      </c>
      <c r="J14" s="21">
        <f ca="1">C29</f>
        <v>29842</v>
      </c>
      <c r="K14" s="12"/>
      <c r="L14" s="807"/>
      <c r="M14" s="808"/>
    </row>
    <row r="15" spans="1:37" s="1397" customFormat="1" ht="18" customHeight="1" thickBot="1">
      <c r="A15" s="982" t="s">
        <v>399</v>
      </c>
      <c r="B15" s="302" t="s">
        <v>710</v>
      </c>
      <c r="C15" s="21">
        <f ca="1">ROUND(C14*F15,0)</f>
        <v>996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21832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437</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4454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29842</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930.43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250.67</v>
      </c>
      <c r="D33" s="1370" t="s">
        <v>4083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298.42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378.96</v>
      </c>
      <c r="D38" s="1092" t="s">
        <v>748</v>
      </c>
      <c r="E38" s="1090" t="s">
        <v>744</v>
      </c>
      <c r="F38" s="1086">
        <f ca="1">INDIRECT("'数据-取费表'!Am"&amp;$G$1)</f>
        <v>0.03</v>
      </c>
      <c r="G38" s="1384"/>
      <c r="H38" s="2700"/>
      <c r="I38" s="1398">
        <f ca="1">F6/365/F43</f>
        <v>12.513041773650381</v>
      </c>
      <c r="J38" s="1399"/>
      <c r="K38" s="2704"/>
      <c r="L38" s="2700"/>
      <c r="M38" s="2700"/>
    </row>
    <row r="39" spans="1:18" ht="24.6" customHeight="1" thickTop="1">
      <c r="A39" s="1079" t="s">
        <v>394</v>
      </c>
      <c r="B39" s="1094" t="s">
        <v>772</v>
      </c>
      <c r="C39" s="310">
        <f ca="1">C5-C30</f>
        <v>11000</v>
      </c>
      <c r="D39" s="1095" t="s">
        <v>773</v>
      </c>
      <c r="E39" s="1096"/>
      <c r="F39" s="1097"/>
      <c r="G39" s="1384"/>
      <c r="H39" s="2700"/>
      <c r="I39" s="1398">
        <f ca="1">C39*10000/365/F43</f>
        <v>9.8316756792967279</v>
      </c>
      <c r="J39" s="1399">
        <f ca="1">C39/C5</f>
        <v>0.87080430652311591</v>
      </c>
      <c r="K39" s="2704"/>
      <c r="L39" s="2700"/>
      <c r="M39" s="2700"/>
    </row>
    <row r="40" spans="1:18" ht="18" customHeight="1">
      <c r="A40" s="299" t="s">
        <v>395</v>
      </c>
      <c r="B40" s="300" t="s">
        <v>774</v>
      </c>
      <c r="C40" s="301">
        <f ca="1">ROUND(C39*(1-((1+F42)/(1+F40))^F41)/(F40-F42),0)</f>
        <v>154389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50367</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-158348</v>
      </c>
      <c r="D46" s="1406" t="str">
        <f>C2</f>
        <v>万元</v>
      </c>
      <c r="E46" s="1400"/>
      <c r="F46" s="1400"/>
      <c r="I46" s="1407" t="s">
        <v>810</v>
      </c>
      <c r="J46" s="1408"/>
      <c r="K46" s="1409"/>
      <c r="L46" s="1410">
        <f ca="1">IF(M47="住宅",0,IF(L48&gt;J51,L60,J60))</f>
        <v>2804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154389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2804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29842</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163317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10" t="s">
        <v>837</v>
      </c>
      <c r="L53" s="3711"/>
      <c r="O53" s="1418" t="s">
        <v>409</v>
      </c>
      <c r="P53" s="1419" t="s">
        <v>838</v>
      </c>
      <c r="Q53" s="1420">
        <f ca="1">Q47+Q48</f>
        <v>157193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24172</v>
      </c>
      <c r="D56" s="1447"/>
      <c r="E56" s="1448"/>
      <c r="F56" s="1440"/>
      <c r="I56" s="1449" t="s">
        <v>842</v>
      </c>
      <c r="J56" s="1450" t="s">
        <v>3392</v>
      </c>
      <c r="K56" s="1421" t="s">
        <v>843</v>
      </c>
      <c r="L56" s="1424" t="str">
        <f ca="1">IF(L48&lt;J51,"——",L48-J53)</f>
        <v>——</v>
      </c>
      <c r="O56" s="1418" t="s">
        <v>403</v>
      </c>
      <c r="P56" s="1419" t="s">
        <v>817</v>
      </c>
      <c r="Q56" s="1420">
        <f ca="1">C40+J29</f>
        <v>154389</v>
      </c>
      <c r="R56" s="1420" t="s">
        <v>818</v>
      </c>
    </row>
    <row r="57" spans="1:18" s="1384" customFormat="1" ht="24.75" thickBot="1">
      <c r="A57" s="1451"/>
      <c r="B57" s="950" t="s">
        <v>767</v>
      </c>
      <c r="C57" s="238">
        <f ca="1">C29</f>
        <v>29842</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11937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154389</v>
      </c>
      <c r="R62" s="1420" t="s">
        <v>410</v>
      </c>
    </row>
    <row r="63" spans="1:18" s="1384" customFormat="1" ht="13.5"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298.42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24.17</v>
      </c>
      <c r="D65" s="964" t="s">
        <v>743</v>
      </c>
      <c r="E65" s="950" t="s">
        <v>744</v>
      </c>
      <c r="F65" s="330">
        <f t="shared" ca="1" si="0"/>
        <v>1E-3</v>
      </c>
      <c r="I65" s="1462" t="s">
        <v>867</v>
      </c>
      <c r="J65" s="1463">
        <v>40</v>
      </c>
      <c r="K65" s="1463">
        <v>30</v>
      </c>
      <c r="L65" s="1463">
        <v>50</v>
      </c>
      <c r="M65" s="1465">
        <v>0.02</v>
      </c>
      <c r="O65" s="1418" t="s">
        <v>403</v>
      </c>
      <c r="P65" s="1419" t="s">
        <v>868</v>
      </c>
      <c r="Q65" s="1420">
        <f ca="1">C40+J29</f>
        <v>154389</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-331</v>
      </c>
      <c r="D67" s="963" t="s">
        <v>753</v>
      </c>
      <c r="E67" s="968"/>
      <c r="F67" s="969"/>
      <c r="O67" s="1428" t="s">
        <v>405</v>
      </c>
      <c r="P67" s="1419" t="s">
        <v>850</v>
      </c>
      <c r="Q67" s="1466">
        <f ca="1">L51</f>
        <v>163317</v>
      </c>
      <c r="R67" s="1420" t="s">
        <v>870</v>
      </c>
    </row>
    <row r="68" spans="1:18" s="1384" customFormat="1" ht="16.5" thickBot="1">
      <c r="A68" s="947" t="s">
        <v>395</v>
      </c>
      <c r="B68" s="948" t="s">
        <v>774</v>
      </c>
      <c r="C68" s="301">
        <f ca="1">ROUND(C67*(1-((1+F70)/(1+F68))^F69)/(F68-F70),0)</f>
        <v>-3959</v>
      </c>
      <c r="D68" s="965" t="s">
        <v>758</v>
      </c>
      <c r="E68" s="950" t="s">
        <v>759</v>
      </c>
      <c r="F68" s="312">
        <f ca="1">F40</f>
        <v>5.5E-2</v>
      </c>
      <c r="O68" s="1428" t="s">
        <v>406</v>
      </c>
      <c r="P68" s="1467" t="s">
        <v>871</v>
      </c>
      <c r="Q68" s="1420">
        <f ca="1">ROUND(Q69-Q70*Q71,0)</f>
        <v>9308</v>
      </c>
      <c r="R68" s="1420" t="s">
        <v>414</v>
      </c>
    </row>
    <row r="69" spans="1:18" s="1384" customFormat="1" ht="13.5" thickBot="1">
      <c r="A69" s="951"/>
      <c r="B69" s="952"/>
      <c r="C69" s="306"/>
      <c r="D69" s="970" t="s">
        <v>762</v>
      </c>
      <c r="E69" s="950" t="s">
        <v>763</v>
      </c>
      <c r="F69" s="333">
        <f ca="1">F41</f>
        <v>20.03</v>
      </c>
      <c r="O69" s="1428" t="s">
        <v>411</v>
      </c>
      <c r="P69" s="1467" t="s">
        <v>872</v>
      </c>
      <c r="Q69" s="1420">
        <f ca="1">C39</f>
        <v>11000</v>
      </c>
      <c r="R69" s="1420" t="s">
        <v>818</v>
      </c>
    </row>
    <row r="70" spans="1:18" s="1384" customFormat="1" ht="13.5" thickBot="1">
      <c r="A70" s="954"/>
      <c r="B70" s="955"/>
      <c r="C70" s="310"/>
      <c r="D70" s="966"/>
      <c r="E70" s="950" t="s">
        <v>766</v>
      </c>
      <c r="F70" s="1054"/>
      <c r="O70" s="1428" t="s">
        <v>412</v>
      </c>
      <c r="P70" s="1467" t="s">
        <v>873</v>
      </c>
      <c r="Q70" s="1420">
        <f ca="1">C13</f>
        <v>24172</v>
      </c>
      <c r="R70" s="1420" t="s">
        <v>818</v>
      </c>
    </row>
    <row r="71" spans="1:18" s="1384" customFormat="1" ht="13.5" thickBot="1">
      <c r="A71" s="971" t="s">
        <v>396</v>
      </c>
      <c r="B71" s="972" t="s">
        <v>776</v>
      </c>
      <c r="C71" s="336">
        <f ca="1">ROUND(C68*10000/F71,0)</f>
        <v>-1292</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1692</v>
      </c>
      <c r="D75" s="1384"/>
      <c r="E75" s="1384"/>
      <c r="F75" s="1384"/>
      <c r="K75" s="1402"/>
      <c r="L75" s="1384"/>
      <c r="O75" s="1418" t="s">
        <v>409</v>
      </c>
      <c r="P75" s="1419" t="s">
        <v>838</v>
      </c>
      <c r="Q75" s="1420">
        <f ca="1">Q65+Q66</f>
        <v>154389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0</v>
      </c>
      <c r="D6" s="155" t="s">
        <v>2106</v>
      </c>
      <c r="E6" s="302" t="s">
        <v>696</v>
      </c>
      <c r="F6" s="303">
        <f ca="1">INDIRECT("'数据-取费表'!u"&amp;$G$1)</f>
        <v>0</v>
      </c>
      <c r="G6" s="1384"/>
      <c r="H6" s="1069" t="s">
        <v>398</v>
      </c>
      <c r="I6" s="3712" t="s">
        <v>694</v>
      </c>
      <c r="J6" s="301">
        <f ca="1">ROUND(M6*M8*M7*(1-M9),0)</f>
        <v>0</v>
      </c>
      <c r="K6" s="1376" t="s">
        <v>2107</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15" sqref="B15:C1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0" customWidth="1"/>
    <col min="8" max="8" width="8.875" style="2836"/>
    <col min="9" max="9" width="8.875" style="2837"/>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119441</v>
      </c>
      <c r="C2" s="2844" t="s">
        <v>2320</v>
      </c>
      <c r="D2" s="3442" t="s">
        <v>3364</v>
      </c>
      <c r="E2" s="3443"/>
      <c r="F2" s="2846"/>
      <c r="G2" s="2847"/>
      <c r="H2" s="2848"/>
      <c r="I2" s="2849"/>
      <c r="J2" s="3721" t="s">
        <v>2321</v>
      </c>
      <c r="K2" s="372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38966</v>
      </c>
      <c r="C3" s="2844" t="s">
        <v>2330</v>
      </c>
      <c r="D3" s="2844"/>
      <c r="E3" s="2845"/>
      <c r="F3" s="2846"/>
      <c r="G3" s="2847"/>
      <c r="H3" s="2848"/>
      <c r="I3" s="2849"/>
      <c r="J3" s="3723" t="s">
        <v>2331</v>
      </c>
      <c r="K3" s="3724"/>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723" t="s">
        <v>2333</v>
      </c>
      <c r="K4" s="3724"/>
      <c r="L4" s="2861"/>
      <c r="M4" s="2861"/>
      <c r="N4" s="2861"/>
      <c r="O4" s="2861"/>
      <c r="P4" s="2861"/>
      <c r="Q4" s="2862"/>
      <c r="R4" s="2863">
        <f>SUM(L4:Q4)</f>
        <v>0</v>
      </c>
      <c r="S4" s="2841"/>
      <c r="T4" s="2841"/>
      <c r="U4" s="2841"/>
      <c r="V4" s="2849"/>
    </row>
    <row r="5" spans="1:22" s="2853" customFormat="1" ht="13.15"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29" t="s">
        <v>2337</v>
      </c>
      <c r="B6" s="3730"/>
      <c r="C6" s="3731"/>
      <c r="D6" s="2870">
        <f ca="1">收益法!C6</f>
        <v>12600</v>
      </c>
      <c r="E6" s="2871"/>
      <c r="F6" s="2872"/>
      <c r="G6" s="2873"/>
      <c r="H6" s="2848"/>
      <c r="I6" s="2849"/>
      <c r="J6" s="3715">
        <v>1</v>
      </c>
      <c r="K6" s="371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 ca="1">SUM(D9,D10,D11,D17,0)</f>
        <v>3460</v>
      </c>
      <c r="E7" s="2880">
        <f ca="1">E9+E10+E11+E17</f>
        <v>0.2745873015873016</v>
      </c>
      <c r="F7" s="2881"/>
      <c r="G7" s="2882"/>
      <c r="H7" s="2848"/>
      <c r="I7" s="2849"/>
      <c r="J7" s="3715"/>
      <c r="K7" s="371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32" t="s">
        <v>2351</v>
      </c>
      <c r="C8" s="3733"/>
      <c r="D8" s="2889" t="s">
        <v>2352</v>
      </c>
      <c r="E8" s="2890" t="s">
        <v>2353</v>
      </c>
      <c r="F8" s="2891" t="s">
        <v>2354</v>
      </c>
      <c r="G8" s="2892"/>
      <c r="H8" s="2848"/>
      <c r="I8" s="2849"/>
      <c r="J8" s="3715"/>
      <c r="K8" s="371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32" t="s">
        <v>2357</v>
      </c>
      <c r="C9" s="3733"/>
      <c r="D9" s="2889">
        <f ca="1">ROUND(D6*E9,0)</f>
        <v>0</v>
      </c>
      <c r="E9" s="2893"/>
      <c r="F9" s="2894" t="s">
        <v>2358</v>
      </c>
      <c r="G9" s="2873"/>
      <c r="H9" s="2848"/>
      <c r="I9" s="2849"/>
      <c r="J9" s="3715"/>
      <c r="K9" s="3717"/>
      <c r="L9" s="2883" t="s">
        <v>2359</v>
      </c>
      <c r="M9" s="2884"/>
      <c r="N9" s="2860"/>
      <c r="O9" s="2885"/>
      <c r="P9" s="2885"/>
      <c r="Q9" s="2886">
        <v>365</v>
      </c>
      <c r="R9" s="2887">
        <f t="shared" si="0"/>
        <v>0</v>
      </c>
      <c r="S9" s="2841"/>
      <c r="T9" s="2841"/>
      <c r="U9" s="2841"/>
      <c r="V9" s="2849"/>
    </row>
    <row r="10" spans="1:22" s="2853" customFormat="1" ht="13.15" customHeight="1">
      <c r="A10" s="2888">
        <v>2</v>
      </c>
      <c r="B10" s="3732" t="s">
        <v>2360</v>
      </c>
      <c r="C10" s="3733"/>
      <c r="D10" s="2889">
        <f ca="1">ROUND(D6*E10,0)</f>
        <v>1890</v>
      </c>
      <c r="E10" s="2893">
        <v>0.15</v>
      </c>
      <c r="F10" s="2894" t="s">
        <v>2361</v>
      </c>
      <c r="G10" s="2873"/>
      <c r="H10" s="2848"/>
      <c r="I10" s="2849"/>
      <c r="J10" s="3715"/>
      <c r="K10" s="3717"/>
      <c r="L10" s="2883" t="s">
        <v>2362</v>
      </c>
      <c r="M10" s="2884"/>
      <c r="N10" s="2860"/>
      <c r="O10" s="2885"/>
      <c r="P10" s="2885"/>
      <c r="Q10" s="2886">
        <v>365</v>
      </c>
      <c r="R10" s="2887">
        <f t="shared" si="0"/>
        <v>0</v>
      </c>
      <c r="S10" s="2841"/>
      <c r="T10" s="2841"/>
      <c r="U10" s="2841"/>
      <c r="V10" s="2849"/>
    </row>
    <row r="11" spans="1:22" s="2853" customFormat="1" ht="13.15" customHeight="1">
      <c r="A11" s="2888">
        <v>3</v>
      </c>
      <c r="B11" s="3732" t="s">
        <v>2363</v>
      </c>
      <c r="C11" s="3733"/>
      <c r="D11" s="2889">
        <f ca="1">D12+D14+D15+D16</f>
        <v>965</v>
      </c>
      <c r="E11" s="2895">
        <f ca="1">D11/D6</f>
        <v>7.6587301587301593E-2</v>
      </c>
      <c r="F11" s="2891"/>
      <c r="G11" s="2892"/>
      <c r="H11" s="2848"/>
      <c r="I11" s="2849"/>
      <c r="J11" s="3715"/>
      <c r="K11" s="371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5" t="s">
        <v>2366</v>
      </c>
      <c r="C12" s="3726"/>
      <c r="D12" s="2897">
        <f ca="1">ROUND(D13*1.2%*(1-30%),0)</f>
        <v>251</v>
      </c>
      <c r="E12" s="2898">
        <v>1.2E-2</v>
      </c>
      <c r="F12" s="2891" t="s">
        <v>2367</v>
      </c>
      <c r="G12" s="2892"/>
      <c r="H12" s="2848"/>
      <c r="I12" s="2849"/>
      <c r="J12" s="3715"/>
      <c r="K12" s="371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f ca="1">收益法!C29</f>
        <v>29842</v>
      </c>
      <c r="E13" s="2902"/>
      <c r="F13" s="2891"/>
      <c r="G13" s="2892"/>
      <c r="H13" s="2848"/>
      <c r="I13" s="2849"/>
      <c r="J13" s="3715"/>
      <c r="K13" s="371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5" t="s">
        <v>2372</v>
      </c>
      <c r="C14" s="3726"/>
      <c r="D14" s="2897">
        <f>ROUND(E14*B5/10000,0)</f>
        <v>8</v>
      </c>
      <c r="E14" s="2886">
        <f>收益法!F34</f>
        <v>24</v>
      </c>
      <c r="F14" s="2891" t="s">
        <v>2373</v>
      </c>
      <c r="G14" s="2892"/>
      <c r="H14" s="2848"/>
      <c r="I14" s="2849"/>
      <c r="J14" s="3715"/>
      <c r="K14" s="371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5" t="s">
        <v>2376</v>
      </c>
      <c r="C15" s="3726"/>
      <c r="D15" s="2897">
        <f ca="1">ROUND(D6*E15,0)</f>
        <v>706</v>
      </c>
      <c r="E15" s="2898">
        <v>5.6000000000000001E-2</v>
      </c>
      <c r="F15" s="2891" t="s">
        <v>2377</v>
      </c>
      <c r="G15" s="2873"/>
      <c r="H15" s="2848"/>
      <c r="I15" s="2849"/>
      <c r="J15" s="3715">
        <v>2</v>
      </c>
      <c r="K15" s="371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5" t="s">
        <v>2385</v>
      </c>
      <c r="C16" s="3726"/>
      <c r="D16" s="2908">
        <f ca="1">D6*E16</f>
        <v>0</v>
      </c>
      <c r="E16" s="2909"/>
      <c r="F16" s="2894" t="s">
        <v>2386</v>
      </c>
      <c r="G16" s="2873"/>
      <c r="H16" s="2848"/>
      <c r="I16" s="2849"/>
      <c r="J16" s="3715"/>
      <c r="K16" s="371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2388</v>
      </c>
      <c r="C17" s="3728"/>
      <c r="D17" s="2911">
        <f ca="1">ROUND(D6*E17,0)</f>
        <v>605</v>
      </c>
      <c r="E17" s="3867">
        <v>4.8000000000000001E-2</v>
      </c>
      <c r="F17" s="2912" t="s">
        <v>2389</v>
      </c>
      <c r="G17" s="2873"/>
      <c r="H17" s="2848"/>
      <c r="I17" s="2849"/>
      <c r="J17" s="3715"/>
      <c r="K17" s="371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3">
        <f ca="1">ROUND(D6*E18,0)</f>
        <v>630</v>
      </c>
      <c r="E18" s="2914">
        <v>0.05</v>
      </c>
      <c r="F18" s="2915" t="s">
        <v>2392</v>
      </c>
      <c r="G18" s="2873"/>
      <c r="H18" s="2848"/>
      <c r="I18" s="2849"/>
      <c r="J18" s="3715"/>
      <c r="K18" s="371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6" t="s">
        <v>2394</v>
      </c>
      <c r="B19" s="2871"/>
      <c r="C19" s="2871"/>
      <c r="D19" s="2871"/>
      <c r="E19" s="2871"/>
      <c r="F19" s="2872"/>
      <c r="G19" s="2892"/>
      <c r="H19" s="2848"/>
      <c r="I19" s="2849"/>
      <c r="J19" s="3715"/>
      <c r="K19" s="3718"/>
      <c r="L19" s="2903" t="s">
        <v>2374</v>
      </c>
      <c r="M19" s="2904"/>
      <c r="N19" s="2904">
        <f>SUM(N16:N18)</f>
        <v>0</v>
      </c>
      <c r="O19" s="2905"/>
      <c r="P19" s="2917" t="s">
        <v>2438</v>
      </c>
      <c r="Q19" s="2885">
        <v>0</v>
      </c>
      <c r="R19" s="2918">
        <f>ROUND(IF(P19="按比例",R14*Q19,SUM(R16:R18)),0)</f>
        <v>0</v>
      </c>
      <c r="S19" s="2841"/>
      <c r="T19" s="2841"/>
      <c r="U19" s="2841"/>
      <c r="V19" s="2849"/>
    </row>
    <row r="20" spans="1:22" s="2853" customFormat="1" ht="13.15" customHeight="1">
      <c r="A20" s="2876"/>
      <c r="B20" s="2877"/>
      <c r="C20" s="2877"/>
      <c r="D20" s="2877"/>
      <c r="E20" s="2877"/>
      <c r="F20" s="2919"/>
      <c r="G20" s="2892"/>
      <c r="H20" s="2848"/>
      <c r="I20" s="2849"/>
      <c r="J20" s="3715">
        <v>3</v>
      </c>
      <c r="K20" s="3716" t="s">
        <v>2395</v>
      </c>
      <c r="L20" s="2883" t="s">
        <v>2396</v>
      </c>
      <c r="M20" s="2884" t="s">
        <v>2397</v>
      </c>
      <c r="N20" s="2920" t="s">
        <v>2398</v>
      </c>
      <c r="O20" s="2885" t="s">
        <v>2399</v>
      </c>
      <c r="P20" s="2886" t="s">
        <v>2400</v>
      </c>
      <c r="Q20" s="2860" t="s">
        <v>2401</v>
      </c>
      <c r="R20" s="2907" t="s">
        <v>2402</v>
      </c>
      <c r="S20" s="2921"/>
      <c r="T20" s="2921"/>
      <c r="U20" s="2921"/>
      <c r="V20" s="2849"/>
    </row>
    <row r="21" spans="1:22" s="2853" customFormat="1" ht="13.15" customHeight="1">
      <c r="A21" s="2876"/>
      <c r="B21" s="2877"/>
      <c r="C21" s="2922" t="s">
        <v>2403</v>
      </c>
      <c r="D21" s="2923" t="s">
        <v>2404</v>
      </c>
      <c r="E21" s="2924" t="s">
        <v>2405</v>
      </c>
      <c r="F21" s="2919"/>
      <c r="G21" s="2892">
        <f ca="1">G23-G22</f>
        <v>168</v>
      </c>
      <c r="H21" s="2848"/>
      <c r="I21" s="2849"/>
      <c r="J21" s="3715"/>
      <c r="K21" s="3717"/>
      <c r="L21" s="2883" t="s">
        <v>2406</v>
      </c>
      <c r="M21" s="2884"/>
      <c r="N21" s="2884"/>
      <c r="O21" s="2885"/>
      <c r="P21" s="2886">
        <v>365</v>
      </c>
      <c r="Q21" s="2860"/>
      <c r="R21" s="2925">
        <f>ROUND(M21*N21*O21*P21/10000,0)</f>
        <v>0</v>
      </c>
      <c r="S21" s="2921"/>
      <c r="T21" s="2921"/>
      <c r="U21" s="2921"/>
      <c r="V21" s="2849"/>
    </row>
    <row r="22" spans="1:22" s="2853" customFormat="1" ht="13.15" customHeight="1">
      <c r="A22" s="2876"/>
      <c r="B22" s="2877"/>
      <c r="C22" s="2926" t="s">
        <v>2407</v>
      </c>
      <c r="D22" s="2927" t="s">
        <v>2408</v>
      </c>
      <c r="E22" s="2928" t="s">
        <v>2409</v>
      </c>
      <c r="F22" s="2919"/>
      <c r="G22" s="2929">
        <v>119273</v>
      </c>
      <c r="H22" s="2848"/>
      <c r="I22" s="2849"/>
      <c r="J22" s="3715"/>
      <c r="K22" s="3717"/>
      <c r="L22" s="2883" t="s">
        <v>2410</v>
      </c>
      <c r="M22" s="2884"/>
      <c r="N22" s="2884"/>
      <c r="O22" s="2885"/>
      <c r="P22" s="2886">
        <v>365</v>
      </c>
      <c r="Q22" s="2860"/>
      <c r="R22" s="2925">
        <f>ROUND(M22*N22*O22*P22/10000,0)</f>
        <v>0</v>
      </c>
      <c r="S22" s="2921"/>
      <c r="T22" s="2921"/>
      <c r="U22" s="2921"/>
      <c r="V22" s="2849"/>
    </row>
    <row r="23" spans="1:22" s="2853" customFormat="1" ht="13.15" customHeight="1">
      <c r="A23" s="2930">
        <v>1</v>
      </c>
      <c r="B23" s="2931" t="s">
        <v>2411</v>
      </c>
      <c r="C23" s="2932">
        <f ca="1">D6</f>
        <v>12600</v>
      </c>
      <c r="D23" s="2933">
        <f ca="1">C23*(1+D24)</f>
        <v>12600</v>
      </c>
      <c r="E23" s="2934">
        <f ca="1">D23*(1+E24)</f>
        <v>12600</v>
      </c>
      <c r="F23" s="2935"/>
      <c r="G23" s="2936">
        <f ca="1">结果表!D19</f>
        <v>119441</v>
      </c>
      <c r="H23" s="2848"/>
      <c r="I23" s="2849"/>
      <c r="J23" s="3715"/>
      <c r="K23" s="3717"/>
      <c r="L23" s="2883" t="s">
        <v>2412</v>
      </c>
      <c r="M23" s="2884"/>
      <c r="N23" s="2884"/>
      <c r="O23" s="2885"/>
      <c r="P23" s="2886">
        <v>365</v>
      </c>
      <c r="Q23" s="2860"/>
      <c r="R23" s="2925">
        <f>ROUND(M23*N23*O23*P23/10000,0)</f>
        <v>0</v>
      </c>
      <c r="S23" s="2841"/>
      <c r="T23" s="2841"/>
      <c r="U23" s="2841"/>
      <c r="V23" s="2849"/>
    </row>
    <row r="24" spans="1:22" s="2853" customFormat="1" ht="13.15" customHeight="1">
      <c r="A24" s="2937"/>
      <c r="B24" s="2938" t="s">
        <v>2413</v>
      </c>
      <c r="C24" s="2939"/>
      <c r="D24" s="2940"/>
      <c r="E24" s="2941"/>
      <c r="F24" s="2942"/>
      <c r="G24" s="2936"/>
      <c r="H24" s="2848"/>
      <c r="I24" s="2849"/>
      <c r="J24" s="3715"/>
      <c r="K24" s="3718"/>
      <c r="L24" s="2903" t="s">
        <v>2374</v>
      </c>
      <c r="M24" s="2904">
        <f>SUM(M21:M23)</f>
        <v>0</v>
      </c>
      <c r="N24" s="2904"/>
      <c r="O24" s="2905"/>
      <c r="P24" s="2917" t="s">
        <v>2438</v>
      </c>
      <c r="Q24" s="2885">
        <v>0</v>
      </c>
      <c r="R24" s="2918">
        <f>ROUND(IF(P24="按比例",R14*Q24,SUM(R21:R23)),0)</f>
        <v>0</v>
      </c>
      <c r="S24" s="2841"/>
      <c r="T24" s="2841"/>
      <c r="U24" s="2841"/>
      <c r="V24" s="2849"/>
    </row>
    <row r="25" spans="1:22" s="2949" customFormat="1" ht="13.15" customHeight="1">
      <c r="A25" s="2937"/>
      <c r="B25" s="2938"/>
      <c r="C25" s="2939"/>
      <c r="D25" s="2940"/>
      <c r="E25" s="2941"/>
      <c r="F25" s="2942"/>
      <c r="G25" s="2929"/>
      <c r="H25" s="2848"/>
      <c r="I25" s="2849"/>
      <c r="J25" s="2943">
        <v>4</v>
      </c>
      <c r="K25" s="2944" t="s">
        <v>2414</v>
      </c>
      <c r="L25" s="2945"/>
      <c r="M25" s="2945"/>
      <c r="N25" s="2945"/>
      <c r="O25" s="2945"/>
      <c r="P25" s="2946"/>
      <c r="Q25" s="2947">
        <v>0</v>
      </c>
      <c r="R25" s="2918">
        <f>ROUND(R14*Q25,0)</f>
        <v>0</v>
      </c>
      <c r="S25" s="2841"/>
      <c r="T25" s="2841"/>
      <c r="U25" s="2841"/>
      <c r="V25" s="2948"/>
    </row>
    <row r="26" spans="1:22" s="2949" customFormat="1" ht="13.15" customHeight="1">
      <c r="A26" s="2930">
        <v>2</v>
      </c>
      <c r="B26" s="2931" t="s">
        <v>2415</v>
      </c>
      <c r="C26" s="2932">
        <f ca="1">D7</f>
        <v>3460</v>
      </c>
      <c r="D26" s="2933">
        <f ca="1">D23*D27</f>
        <v>0</v>
      </c>
      <c r="E26" s="2934">
        <f ca="1">E23*E27</f>
        <v>0</v>
      </c>
      <c r="F26" s="2935"/>
      <c r="G26" s="2936"/>
      <c r="H26" s="2848"/>
      <c r="I26" s="2849"/>
      <c r="J26" s="3719">
        <v>5</v>
      </c>
      <c r="K26" s="2950" t="s">
        <v>2416</v>
      </c>
      <c r="L26" s="2951"/>
      <c r="M26" s="2952"/>
      <c r="N26" s="2953" t="s">
        <v>2417</v>
      </c>
      <c r="O26" s="2953" t="s">
        <v>2418</v>
      </c>
      <c r="P26" s="2954" t="s">
        <v>2419</v>
      </c>
      <c r="Q26" s="2954" t="s">
        <v>2420</v>
      </c>
      <c r="R26" s="2858" t="s">
        <v>2345</v>
      </c>
      <c r="S26" s="2955"/>
      <c r="T26" s="2955"/>
      <c r="U26" s="2955"/>
      <c r="V26" s="2948"/>
    </row>
    <row r="27" spans="1:22" s="2853" customFormat="1" ht="13.15" customHeight="1">
      <c r="A27" s="2937"/>
      <c r="B27" s="2938" t="s">
        <v>2421</v>
      </c>
      <c r="C27" s="2956">
        <f ca="1">E7</f>
        <v>0.2745873015873016</v>
      </c>
      <c r="D27" s="2940"/>
      <c r="E27" s="2941"/>
      <c r="F27" s="2942"/>
      <c r="G27" s="2936"/>
      <c r="H27" s="2957"/>
      <c r="I27" s="2948"/>
      <c r="J27" s="3720"/>
      <c r="K27" s="2958"/>
      <c r="L27" s="2959"/>
      <c r="M27" s="2960"/>
      <c r="N27" s="2961"/>
      <c r="O27" s="2961"/>
      <c r="P27" s="2961"/>
      <c r="Q27" s="2962"/>
      <c r="R27" s="2918">
        <f>ROUND(O27*N27*P27*(1-Q27)/10000,0)</f>
        <v>0</v>
      </c>
      <c r="S27" s="2841"/>
      <c r="T27" s="2841"/>
      <c r="U27" s="2841"/>
      <c r="V27" s="2849"/>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 ca="1">C23*C30</f>
        <v>630</v>
      </c>
      <c r="D29" s="2933">
        <f ca="1">D23*C30</f>
        <v>630</v>
      </c>
      <c r="E29" s="2934">
        <f ca="1">E23*C30</f>
        <v>630</v>
      </c>
      <c r="F29" s="2935"/>
      <c r="G29" s="2936"/>
      <c r="H29" s="2848"/>
      <c r="I29" s="2849"/>
      <c r="J29" s="2921"/>
      <c r="K29" s="2921"/>
      <c r="L29" s="2921"/>
      <c r="M29" s="2921"/>
      <c r="N29" s="2921"/>
      <c r="O29" s="2921"/>
      <c r="P29" s="2921"/>
      <c r="Q29" s="2921"/>
      <c r="R29" s="2921"/>
      <c r="S29" s="2921"/>
      <c r="T29" s="2921"/>
      <c r="U29" s="2921"/>
      <c r="V29" s="2948"/>
    </row>
    <row r="30" spans="1:22" s="2853" customFormat="1" ht="13.15" customHeight="1" thickBot="1">
      <c r="A30" s="2937"/>
      <c r="B30" s="2938" t="s">
        <v>2421</v>
      </c>
      <c r="C30" s="2956">
        <f>E18</f>
        <v>0.05</v>
      </c>
      <c r="D30" s="2970"/>
      <c r="E30" s="2902"/>
      <c r="F30" s="2942"/>
      <c r="G30" s="2936"/>
      <c r="H30" s="2957"/>
      <c r="I30" s="2948"/>
      <c r="J30" s="2921"/>
      <c r="K30" s="2921"/>
      <c r="L30" s="2921"/>
      <c r="M30" s="2921"/>
      <c r="N30" s="2921"/>
      <c r="O30" s="2921"/>
      <c r="P30" s="2921"/>
      <c r="Q30" s="2921"/>
      <c r="R30" s="2921"/>
      <c r="S30" s="2921"/>
      <c r="T30" s="2921"/>
      <c r="U30" s="2841"/>
      <c r="V30" s="2849"/>
    </row>
    <row r="31" spans="1:22" s="2949" customFormat="1" ht="13.15" customHeight="1">
      <c r="A31" s="2937"/>
      <c r="B31" s="2938"/>
      <c r="C31" s="2971"/>
      <c r="D31" s="2970"/>
      <c r="E31" s="2902"/>
      <c r="F31" s="2942"/>
      <c r="G31" s="2929"/>
      <c r="H31" s="2957"/>
      <c r="I31" s="2948"/>
      <c r="J31" s="2838" t="s">
        <v>2428</v>
      </c>
      <c r="K31" s="2839"/>
      <c r="L31" s="2839"/>
      <c r="M31" s="2839"/>
      <c r="N31" s="2839"/>
      <c r="O31" s="2839"/>
      <c r="P31" s="2839"/>
      <c r="Q31" s="2839"/>
      <c r="R31" s="2840"/>
      <c r="S31" s="2921"/>
      <c r="T31" s="2841"/>
      <c r="U31" s="2841"/>
      <c r="V31" s="2948"/>
    </row>
    <row r="32" spans="1:22" s="2949" customFormat="1" ht="13.15" customHeight="1">
      <c r="A32" s="2930">
        <v>4</v>
      </c>
      <c r="B32" s="2931" t="s">
        <v>2429</v>
      </c>
      <c r="C32" s="2932">
        <f ca="1">C23-C26-C29</f>
        <v>8510</v>
      </c>
      <c r="D32" s="2933">
        <f ca="1">D23-D26-D29</f>
        <v>11970</v>
      </c>
      <c r="E32" s="2934">
        <f ca="1">E23-E26-E29</f>
        <v>11970</v>
      </c>
      <c r="F32" s="2935"/>
      <c r="G32" s="2929">
        <f ca="1">C32*10000/365/B4</f>
        <v>7.6061418209831961</v>
      </c>
      <c r="H32" s="2848"/>
      <c r="I32" s="2849"/>
      <c r="J32" s="3721" t="s">
        <v>2321</v>
      </c>
      <c r="K32" s="3722"/>
      <c r="L32" s="2850" t="s">
        <v>2322</v>
      </c>
      <c r="M32" s="2850" t="s">
        <v>2323</v>
      </c>
      <c r="N32" s="2850" t="s">
        <v>2324</v>
      </c>
      <c r="O32" s="2850" t="s">
        <v>2325</v>
      </c>
      <c r="P32" s="2850" t="s">
        <v>2326</v>
      </c>
      <c r="Q32" s="2851" t="s">
        <v>2327</v>
      </c>
      <c r="R32" s="2972" t="s">
        <v>2328</v>
      </c>
      <c r="S32" s="2921"/>
      <c r="T32" s="2841"/>
      <c r="U32" s="2841"/>
      <c r="V32" s="2948"/>
    </row>
    <row r="33" spans="1:23" s="2853" customFormat="1" ht="13.15" customHeight="1">
      <c r="A33" s="2930"/>
      <c r="B33" s="2931"/>
      <c r="C33" s="2932"/>
      <c r="D33" s="2973"/>
      <c r="E33" s="2974"/>
      <c r="F33" s="2935"/>
      <c r="G33" s="2929"/>
      <c r="H33" s="2957"/>
      <c r="I33" s="2948"/>
      <c r="J33" s="3723" t="s">
        <v>2331</v>
      </c>
      <c r="K33" s="3724"/>
      <c r="L33" s="2856"/>
      <c r="M33" s="2856"/>
      <c r="N33" s="2856"/>
      <c r="O33" s="2856"/>
      <c r="P33" s="2856"/>
      <c r="Q33" s="2857"/>
      <c r="R33" s="2975">
        <f>SUM(L33:Q33)</f>
        <v>0</v>
      </c>
      <c r="S33" s="2921"/>
      <c r="T33" s="2841"/>
      <c r="U33" s="2841"/>
      <c r="V33" s="2849"/>
    </row>
    <row r="34" spans="1:23" s="2853" customFormat="1" ht="13.15" customHeight="1">
      <c r="A34" s="2930">
        <v>5</v>
      </c>
      <c r="B34" s="2931" t="s">
        <v>2430</v>
      </c>
      <c r="C34" s="2976">
        <v>5.5E-2</v>
      </c>
      <c r="D34" s="2977">
        <v>0.06</v>
      </c>
      <c r="E34" s="2978">
        <v>0.06</v>
      </c>
      <c r="F34" s="2935"/>
      <c r="G34" s="2929"/>
      <c r="H34" s="2957"/>
      <c r="I34" s="2948"/>
      <c r="J34" s="3723" t="s">
        <v>2333</v>
      </c>
      <c r="K34" s="3724"/>
      <c r="L34" s="2861"/>
      <c r="M34" s="2861"/>
      <c r="N34" s="2861"/>
      <c r="O34" s="2861"/>
      <c r="P34" s="2861"/>
      <c r="Q34" s="2862"/>
      <c r="R34" s="2979">
        <f>SUM(L34:Q34)</f>
        <v>0</v>
      </c>
      <c r="S34" s="2921"/>
      <c r="T34" s="2841"/>
      <c r="U34" s="2841" t="e">
        <f>ROUND(R35*10000/365/R33,1)</f>
        <v>#DIV/0!</v>
      </c>
      <c r="V34" s="2849"/>
    </row>
    <row r="35" spans="1:23" s="2853" customFormat="1" ht="13.15" customHeight="1">
      <c r="A35" s="2930">
        <v>6</v>
      </c>
      <c r="B35" s="2931" t="s">
        <v>2431</v>
      </c>
      <c r="C35" s="2980">
        <f ca="1">收益法!F42</f>
        <v>0.02</v>
      </c>
      <c r="D35" s="2981"/>
      <c r="E35" s="2982"/>
      <c r="F35" s="2935"/>
      <c r="G35" s="2983"/>
      <c r="H35" s="2848"/>
      <c r="I35" s="2948"/>
      <c r="J35" s="2867" t="s">
        <v>2335</v>
      </c>
      <c r="K35" s="2868"/>
      <c r="L35" s="2868"/>
      <c r="M35" s="2869"/>
      <c r="N35" s="2869"/>
      <c r="O35" s="2869"/>
      <c r="P35" s="2869"/>
      <c r="Q35" s="2869"/>
      <c r="R35" s="2984">
        <f>R40+R41+R43</f>
        <v>0</v>
      </c>
      <c r="S35" s="2921"/>
      <c r="T35" s="2841" t="s">
        <v>2336</v>
      </c>
      <c r="U35" s="2841"/>
      <c r="V35" s="2849"/>
    </row>
    <row r="36" spans="1:23" s="2853" customFormat="1" ht="13.15" customHeight="1" thickBot="1">
      <c r="A36" s="2930">
        <v>7</v>
      </c>
      <c r="B36" s="2985" t="s">
        <v>2432</v>
      </c>
      <c r="C36" s="2986">
        <f ca="1">收益法!F41</f>
        <v>20.03</v>
      </c>
      <c r="D36" s="2987">
        <v>0</v>
      </c>
      <c r="E36" s="2988">
        <v>0</v>
      </c>
      <c r="F36" s="2989">
        <f ca="1">C36+D36+E36</f>
        <v>20.03</v>
      </c>
      <c r="G36" s="2929"/>
      <c r="H36" s="2848"/>
      <c r="I36" s="2849"/>
      <c r="J36" s="3715">
        <v>1</v>
      </c>
      <c r="K36" s="3716" t="s">
        <v>2433</v>
      </c>
      <c r="L36" s="2874"/>
      <c r="M36" s="2875"/>
      <c r="N36" s="2875"/>
      <c r="O36" s="2875"/>
      <c r="P36" s="2875"/>
      <c r="Q36" s="2875"/>
      <c r="R36" s="2858" t="s">
        <v>2345</v>
      </c>
      <c r="S36" s="2921"/>
      <c r="T36" s="2841" t="s">
        <v>2346</v>
      </c>
      <c r="U36" s="2841"/>
      <c r="V36" s="2849"/>
    </row>
    <row r="37" spans="1:23" s="2853" customFormat="1" ht="13.15" customHeight="1">
      <c r="A37" s="2930"/>
      <c r="B37" s="2931"/>
      <c r="C37" s="2931"/>
      <c r="D37" s="2931"/>
      <c r="E37" s="2931"/>
      <c r="F37" s="2935"/>
      <c r="G37" s="2929"/>
      <c r="H37" s="2848"/>
      <c r="I37" s="2849"/>
      <c r="J37" s="3715"/>
      <c r="K37" s="3717"/>
      <c r="L37" s="2883"/>
      <c r="M37" s="2884"/>
      <c r="N37" s="2860"/>
      <c r="O37" s="2885"/>
      <c r="P37" s="2885"/>
      <c r="Q37" s="2886"/>
      <c r="R37" s="2887"/>
      <c r="S37" s="2921"/>
      <c r="T37" s="2841" t="s">
        <v>2349</v>
      </c>
      <c r="U37" s="2841"/>
      <c r="V37" s="2849"/>
    </row>
    <row r="38" spans="1:23" s="2853" customFormat="1" ht="13.15" customHeight="1">
      <c r="A38" s="2930">
        <v>8</v>
      </c>
      <c r="B38" s="2931"/>
      <c r="C38" s="2889">
        <f ca="1">ROUND(C32*(1-((1+C35)/(1+C34))^C36)/(C34-C35),0)</f>
        <v>119441</v>
      </c>
      <c r="D38" s="2889">
        <f ca="1">IF(D23=0,0,ROUND(D32*(1-((1+D35)/(1+D34))^D36)/(D34-D35),0))</f>
        <v>0</v>
      </c>
      <c r="E38" s="2889">
        <f ca="1">IF(E23=0,0,ROUND(E32*(1-((1+E35)/(1+E34))^E36)/(E34-E35),0))</f>
        <v>0</v>
      </c>
      <c r="F38" s="2935"/>
      <c r="G38" s="2929"/>
      <c r="H38" s="2848"/>
      <c r="I38" s="2849"/>
      <c r="J38" s="3715"/>
      <c r="K38" s="3717"/>
      <c r="L38" s="2883"/>
      <c r="M38" s="2884"/>
      <c r="N38" s="2860"/>
      <c r="O38" s="2885"/>
      <c r="P38" s="2885"/>
      <c r="Q38" s="2886"/>
      <c r="R38" s="2887"/>
      <c r="S38" s="2921"/>
      <c r="T38" s="2841" t="s">
        <v>2356</v>
      </c>
      <c r="U38" s="2841"/>
      <c r="V38" s="2849"/>
    </row>
    <row r="39" spans="1:23" s="2853" customFormat="1" ht="13.15" customHeight="1">
      <c r="A39" s="2930">
        <v>9</v>
      </c>
      <c r="B39" s="2931" t="s">
        <v>2434</v>
      </c>
      <c r="C39" s="2897">
        <f ca="1">C38</f>
        <v>119441</v>
      </c>
      <c r="D39" s="2931">
        <f ca="1">D38/(1+D34)^C36</f>
        <v>0</v>
      </c>
      <c r="E39" s="2931">
        <f ca="1">E38/(1+E34)^(C36+D36)</f>
        <v>0</v>
      </c>
      <c r="F39" s="2935"/>
      <c r="G39" s="2990"/>
      <c r="H39" s="2848"/>
      <c r="I39" s="2849"/>
      <c r="J39" s="3715"/>
      <c r="K39" s="3717"/>
      <c r="L39" s="2883"/>
      <c r="M39" s="2884"/>
      <c r="N39" s="2860"/>
      <c r="O39" s="2885"/>
      <c r="P39" s="2885"/>
      <c r="Q39" s="2886"/>
      <c r="R39" s="2887"/>
      <c r="S39" s="2921"/>
      <c r="T39" s="2841"/>
      <c r="U39" s="2841"/>
      <c r="V39" s="2849"/>
    </row>
    <row r="40" spans="1:23" s="2853" customFormat="1" ht="13.15" customHeight="1">
      <c r="A40" s="2991">
        <v>10</v>
      </c>
      <c r="B40" s="2931" t="s">
        <v>2435</v>
      </c>
      <c r="C40" s="2992">
        <f ca="1">C39+D39+E39</f>
        <v>119441</v>
      </c>
      <c r="D40" s="2993"/>
      <c r="E40" s="2993"/>
      <c r="F40" s="2994"/>
      <c r="G40" s="2929"/>
      <c r="H40" s="2848"/>
      <c r="I40" s="2849"/>
      <c r="J40" s="3715"/>
      <c r="K40" s="3718"/>
      <c r="L40" s="2903" t="s">
        <v>2374</v>
      </c>
      <c r="M40" s="2904"/>
      <c r="N40" s="2904"/>
      <c r="O40" s="2905"/>
      <c r="P40" s="2905"/>
      <c r="Q40" s="2906"/>
      <c r="R40" s="2852">
        <f>SUM(R37:R39)</f>
        <v>0</v>
      </c>
      <c r="S40" s="2921"/>
      <c r="T40" s="2841"/>
      <c r="U40" s="2841"/>
      <c r="V40" s="2849"/>
    </row>
    <row r="41" spans="1:23" s="2853" customFormat="1" ht="13.15" customHeight="1" thickBot="1">
      <c r="A41" s="2995">
        <v>11</v>
      </c>
      <c r="B41" s="2996" t="s">
        <v>2436</v>
      </c>
      <c r="C41" s="2996">
        <f ca="1">ROUND(C40*10000/B4,0)</f>
        <v>38966</v>
      </c>
      <c r="D41" s="2997"/>
      <c r="E41" s="2997"/>
      <c r="F41" s="2998"/>
      <c r="G41" s="2999"/>
      <c r="H41" s="2848"/>
      <c r="I41" s="2849"/>
      <c r="J41" s="2943">
        <v>2</v>
      </c>
      <c r="K41" s="2944" t="s">
        <v>2414</v>
      </c>
      <c r="L41" s="2945"/>
      <c r="M41" s="2945"/>
      <c r="N41" s="2945"/>
      <c r="O41" s="2945"/>
      <c r="P41" s="2946"/>
      <c r="Q41" s="2947"/>
      <c r="R41" s="2918">
        <f>ROUND(R40*Q41,0)</f>
        <v>0</v>
      </c>
      <c r="S41" s="2921"/>
      <c r="T41" s="2841"/>
      <c r="U41" s="2955"/>
      <c r="V41" s="2849"/>
    </row>
    <row r="42" spans="1:23" s="2853" customFormat="1" ht="13.15" customHeight="1">
      <c r="G42" s="2999"/>
      <c r="H42" s="2848"/>
      <c r="I42" s="2849"/>
      <c r="J42" s="3719">
        <v>3</v>
      </c>
      <c r="K42" s="2950" t="s">
        <v>2416</v>
      </c>
      <c r="L42" s="2951"/>
      <c r="M42" s="2952"/>
      <c r="N42" s="2953" t="s">
        <v>2417</v>
      </c>
      <c r="O42" s="2953" t="s">
        <v>2418</v>
      </c>
      <c r="P42" s="2954" t="s">
        <v>2419</v>
      </c>
      <c r="Q42" s="2954" t="s">
        <v>2420</v>
      </c>
      <c r="R42" s="2858" t="s">
        <v>2345</v>
      </c>
      <c r="S42" s="2955"/>
      <c r="T42" s="2955"/>
      <c r="U42" s="2841"/>
      <c r="V42" s="2849"/>
    </row>
    <row r="43" spans="1:23" ht="13.15" customHeight="1">
      <c r="A43" s="2853"/>
      <c r="B43" s="2853"/>
      <c r="C43" s="2853"/>
      <c r="D43" s="2853"/>
      <c r="E43" s="2853"/>
      <c r="F43" s="2853"/>
      <c r="I43" s="2836"/>
      <c r="J43" s="3720"/>
      <c r="K43" s="2958"/>
      <c r="L43" s="2959"/>
      <c r="M43" s="2960"/>
      <c r="N43" s="2884"/>
      <c r="O43" s="2884"/>
      <c r="P43" s="2884"/>
      <c r="Q43" s="2947"/>
      <c r="R43" s="2918">
        <f>ROUND(O43*N43*P43*(1-Q43)/10000,0)</f>
        <v>0</v>
      </c>
      <c r="S43" s="2921"/>
      <c r="T43" s="2841"/>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157193</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51282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157193</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4" t="s">
        <v>1667</v>
      </c>
      <c r="D4" s="3755"/>
      <c r="E4" s="3756" t="s">
        <v>1668</v>
      </c>
      <c r="F4" s="3757"/>
      <c r="G4" s="3754" t="s">
        <v>1669</v>
      </c>
      <c r="H4" s="3755"/>
      <c r="I4" s="3754" t="s">
        <v>1670</v>
      </c>
      <c r="J4" s="3755"/>
      <c r="K4" s="1889" t="s">
        <v>1671</v>
      </c>
      <c r="L4" s="2715"/>
      <c r="M4" s="2716"/>
      <c r="N4" s="2716"/>
      <c r="O4" s="2716"/>
      <c r="P4" s="3758" t="s">
        <v>1672</v>
      </c>
      <c r="Q4" s="3759"/>
      <c r="R4" s="3764" t="s">
        <v>1668</v>
      </c>
      <c r="S4" s="3765"/>
      <c r="T4" s="3764" t="s">
        <v>1669</v>
      </c>
      <c r="U4" s="3765"/>
      <c r="V4" s="3770" t="s">
        <v>1670</v>
      </c>
      <c r="W4" s="3770"/>
      <c r="X4" s="1355"/>
      <c r="Y4" s="3764" t="s">
        <v>1672</v>
      </c>
      <c r="Z4" s="3765"/>
      <c r="AA4" s="3751" t="s">
        <v>1668</v>
      </c>
      <c r="AB4" s="3751" t="s">
        <v>1669</v>
      </c>
      <c r="AC4" s="3751" t="s">
        <v>1670</v>
      </c>
    </row>
    <row r="5" spans="1:29" ht="15">
      <c r="A5" s="358"/>
      <c r="B5" s="359"/>
      <c r="C5" s="3773" t="s">
        <v>1673</v>
      </c>
      <c r="D5" s="3774"/>
      <c r="E5" s="3780" t="s">
        <v>1674</v>
      </c>
      <c r="F5" s="3781"/>
      <c r="G5" s="3773" t="s">
        <v>1675</v>
      </c>
      <c r="H5" s="3774"/>
      <c r="I5" s="3773" t="s">
        <v>1676</v>
      </c>
      <c r="J5" s="3774"/>
      <c r="K5" s="1890"/>
      <c r="L5" s="2715"/>
      <c r="M5" s="2716"/>
      <c r="N5" s="2716"/>
      <c r="O5" s="2716"/>
      <c r="P5" s="3760"/>
      <c r="Q5" s="3761"/>
      <c r="R5" s="3766"/>
      <c r="S5" s="3767"/>
      <c r="T5" s="3766"/>
      <c r="U5" s="3767"/>
      <c r="V5" s="3770"/>
      <c r="W5" s="3770"/>
      <c r="X5" s="1355"/>
      <c r="Y5" s="3766"/>
      <c r="Z5" s="3767"/>
      <c r="AA5" s="3752"/>
      <c r="AB5" s="3752"/>
      <c r="AC5" s="3752"/>
    </row>
    <row r="6" spans="1:29" ht="15.75" thickBot="1">
      <c r="A6" s="360"/>
      <c r="B6" s="361"/>
      <c r="C6" s="3771" t="s">
        <v>1677</v>
      </c>
      <c r="D6" s="3772"/>
      <c r="E6" s="3778" t="s">
        <v>1677</v>
      </c>
      <c r="F6" s="3779"/>
      <c r="G6" s="3771" t="s">
        <v>1677</v>
      </c>
      <c r="H6" s="3772"/>
      <c r="I6" s="3771" t="s">
        <v>1677</v>
      </c>
      <c r="J6" s="3772"/>
      <c r="K6" s="1890" t="s">
        <v>1678</v>
      </c>
      <c r="L6" s="2715"/>
      <c r="M6" s="2716"/>
      <c r="N6" s="2716"/>
      <c r="O6" s="2716"/>
      <c r="P6" s="3762"/>
      <c r="Q6" s="3763"/>
      <c r="R6" s="3766"/>
      <c r="S6" s="3767"/>
      <c r="T6" s="3768"/>
      <c r="U6" s="3769"/>
      <c r="V6" s="3770"/>
      <c r="W6" s="3770"/>
      <c r="X6" s="1355"/>
      <c r="Y6" s="3768"/>
      <c r="Z6" s="3769"/>
      <c r="AA6" s="3753"/>
      <c r="AB6" s="3753"/>
      <c r="AC6" s="3753"/>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5" t="s">
        <v>1680</v>
      </c>
      <c r="Q7" s="3777"/>
      <c r="R7" s="701" t="s">
        <v>20</v>
      </c>
      <c r="S7" s="702">
        <f t="shared" ref="S7:S15" si="0">F7</f>
        <v>0</v>
      </c>
      <c r="T7" s="701" t="s">
        <v>20</v>
      </c>
      <c r="U7" s="702">
        <f t="shared" ref="U7:U15" si="1">H7</f>
        <v>0</v>
      </c>
      <c r="V7" s="701" t="s">
        <v>20</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5" t="s">
        <v>1683</v>
      </c>
      <c r="Q8" s="3776"/>
      <c r="R8" s="701" t="s">
        <v>20</v>
      </c>
      <c r="S8" s="702">
        <f t="shared" si="0"/>
        <v>100</v>
      </c>
      <c r="T8" s="701" t="s">
        <v>20</v>
      </c>
      <c r="U8" s="702">
        <f t="shared" si="1"/>
        <v>100</v>
      </c>
      <c r="V8" s="701" t="s">
        <v>20</v>
      </c>
      <c r="W8" s="702">
        <f t="shared" si="2"/>
        <v>100</v>
      </c>
      <c r="X8" s="703"/>
      <c r="Y8" s="3775" t="s">
        <v>1683</v>
      </c>
      <c r="Z8" s="37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0"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50"/>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0"/>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0"/>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0"/>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0"/>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4" t="s">
        <v>1770</v>
      </c>
      <c r="D4" s="3755"/>
      <c r="E4" s="3756" t="s">
        <v>1771</v>
      </c>
      <c r="F4" s="3757"/>
      <c r="G4" s="3754" t="s">
        <v>1772</v>
      </c>
      <c r="H4" s="3755"/>
      <c r="I4" s="3754" t="s">
        <v>1773</v>
      </c>
      <c r="J4" s="3755"/>
      <c r="K4" s="559" t="s">
        <v>1774</v>
      </c>
      <c r="L4" s="2715"/>
      <c r="M4" s="2716"/>
      <c r="N4" s="2716"/>
      <c r="O4" s="2716"/>
      <c r="P4" s="3758" t="s">
        <v>1775</v>
      </c>
      <c r="Q4" s="3759"/>
      <c r="R4" s="3764" t="s">
        <v>1771</v>
      </c>
      <c r="S4" s="3765"/>
      <c r="T4" s="3764" t="s">
        <v>1772</v>
      </c>
      <c r="U4" s="3765"/>
      <c r="V4" s="3770" t="s">
        <v>1773</v>
      </c>
      <c r="W4" s="3770"/>
      <c r="X4" s="1355"/>
      <c r="Y4" s="3764" t="s">
        <v>1775</v>
      </c>
      <c r="Z4" s="3765"/>
      <c r="AA4" s="3751" t="s">
        <v>1771</v>
      </c>
      <c r="AB4" s="3770" t="s">
        <v>1772</v>
      </c>
      <c r="AC4" s="3751" t="s">
        <v>1773</v>
      </c>
    </row>
    <row r="5" spans="1:29" ht="15">
      <c r="A5" s="358"/>
      <c r="B5" s="359"/>
      <c r="C5" s="3773" t="s">
        <v>1673</v>
      </c>
      <c r="D5" s="3774"/>
      <c r="E5" s="3780" t="s">
        <v>1674</v>
      </c>
      <c r="F5" s="3781"/>
      <c r="G5" s="3773" t="s">
        <v>1675</v>
      </c>
      <c r="H5" s="3774"/>
      <c r="I5" s="3773" t="s">
        <v>1676</v>
      </c>
      <c r="J5" s="3774"/>
      <c r="K5" s="559"/>
      <c r="L5" s="2715"/>
      <c r="M5" s="2716"/>
      <c r="N5" s="2716"/>
      <c r="O5" s="2716"/>
      <c r="P5" s="3760"/>
      <c r="Q5" s="3761"/>
      <c r="R5" s="3766"/>
      <c r="S5" s="3767"/>
      <c r="T5" s="3766"/>
      <c r="U5" s="3767"/>
      <c r="V5" s="3770"/>
      <c r="W5" s="3770"/>
      <c r="X5" s="1355"/>
      <c r="Y5" s="3766"/>
      <c r="Z5" s="3767"/>
      <c r="AA5" s="3752"/>
      <c r="AB5" s="3770"/>
      <c r="AC5" s="3752"/>
    </row>
    <row r="6" spans="1:29" ht="15.75" thickBot="1">
      <c r="A6" s="360"/>
      <c r="B6" s="361"/>
      <c r="C6" s="3771" t="s">
        <v>1677</v>
      </c>
      <c r="D6" s="3772"/>
      <c r="E6" s="3778" t="s">
        <v>1677</v>
      </c>
      <c r="F6" s="3779"/>
      <c r="G6" s="3771" t="s">
        <v>1677</v>
      </c>
      <c r="H6" s="3772"/>
      <c r="I6" s="3771" t="s">
        <v>1677</v>
      </c>
      <c r="J6" s="3772"/>
      <c r="K6" s="559" t="s">
        <v>1678</v>
      </c>
      <c r="L6" s="2715"/>
      <c r="M6" s="2716"/>
      <c r="N6" s="2716"/>
      <c r="O6" s="2716"/>
      <c r="P6" s="3762"/>
      <c r="Q6" s="3763"/>
      <c r="R6" s="3766"/>
      <c r="S6" s="3767"/>
      <c r="T6" s="3768"/>
      <c r="U6" s="3769"/>
      <c r="V6" s="3770"/>
      <c r="W6" s="3770"/>
      <c r="X6" s="1355"/>
      <c r="Y6" s="3768"/>
      <c r="Z6" s="3769"/>
      <c r="AA6" s="3753"/>
      <c r="AB6" s="3770"/>
      <c r="AC6" s="3753"/>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5" t="s">
        <v>1680</v>
      </c>
      <c r="Q7" s="3777"/>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5" t="s">
        <v>1683</v>
      </c>
      <c r="Q8" s="3776"/>
      <c r="R8" s="701" t="s">
        <v>14</v>
      </c>
      <c r="S8" s="702">
        <f t="shared" si="0"/>
        <v>100</v>
      </c>
      <c r="T8" s="701" t="s">
        <v>14</v>
      </c>
      <c r="U8" s="702">
        <f t="shared" si="1"/>
        <v>100</v>
      </c>
      <c r="V8" s="701" t="s">
        <v>14</v>
      </c>
      <c r="W8" s="702">
        <f t="shared" si="2"/>
        <v>100</v>
      </c>
      <c r="X8" s="703"/>
      <c r="Y8" s="3775" t="s">
        <v>1683</v>
      </c>
      <c r="Z8" s="37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0"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50"/>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0"/>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0"/>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0"/>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0"/>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70">
        <f>E47</f>
        <v>0</v>
      </c>
      <c r="S47" s="3770"/>
      <c r="T47" s="3770">
        <f>G47</f>
        <v>0</v>
      </c>
      <c r="U47" s="3770"/>
      <c r="V47" s="3770">
        <f>I47</f>
        <v>0</v>
      </c>
      <c r="W47" s="377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4" t="s">
        <v>1770</v>
      </c>
      <c r="D4" s="3755"/>
      <c r="E4" s="3756" t="s">
        <v>1771</v>
      </c>
      <c r="F4" s="3757"/>
      <c r="G4" s="3754" t="s">
        <v>1772</v>
      </c>
      <c r="H4" s="3755"/>
      <c r="I4" s="3754" t="s">
        <v>1773</v>
      </c>
      <c r="J4" s="3755"/>
      <c r="K4" s="559" t="s">
        <v>1774</v>
      </c>
      <c r="L4" s="2715"/>
      <c r="M4" s="2716"/>
      <c r="N4" s="2716"/>
      <c r="O4" s="2716"/>
      <c r="P4" s="3788" t="s">
        <v>1775</v>
      </c>
      <c r="Q4" s="3789"/>
      <c r="R4" s="3792" t="s">
        <v>1771</v>
      </c>
      <c r="S4" s="3793"/>
      <c r="T4" s="3792" t="s">
        <v>1772</v>
      </c>
      <c r="U4" s="3793"/>
      <c r="V4" s="3794" t="s">
        <v>1773</v>
      </c>
      <c r="W4" s="3794"/>
      <c r="X4" s="1958"/>
      <c r="Y4" s="3792" t="s">
        <v>1775</v>
      </c>
      <c r="Z4" s="3793"/>
      <c r="AA4" s="3796" t="s">
        <v>1771</v>
      </c>
      <c r="AB4" s="3796" t="s">
        <v>1772</v>
      </c>
      <c r="AC4" s="3785" t="s">
        <v>1773</v>
      </c>
    </row>
    <row r="5" spans="1:29" ht="15">
      <c r="A5" s="358"/>
      <c r="B5" s="359"/>
      <c r="C5" s="3773" t="s">
        <v>1673</v>
      </c>
      <c r="D5" s="3774"/>
      <c r="E5" s="3780" t="s">
        <v>1674</v>
      </c>
      <c r="F5" s="3781"/>
      <c r="G5" s="3773" t="s">
        <v>1675</v>
      </c>
      <c r="H5" s="3774"/>
      <c r="I5" s="3773" t="s">
        <v>1676</v>
      </c>
      <c r="J5" s="3774"/>
      <c r="K5" s="559"/>
      <c r="L5" s="2715"/>
      <c r="M5" s="2716"/>
      <c r="N5" s="2716"/>
      <c r="O5" s="2716"/>
      <c r="P5" s="3790"/>
      <c r="Q5" s="3761"/>
      <c r="R5" s="3766"/>
      <c r="S5" s="3767"/>
      <c r="T5" s="3766"/>
      <c r="U5" s="3767"/>
      <c r="V5" s="3770"/>
      <c r="W5" s="3770"/>
      <c r="X5" s="1355"/>
      <c r="Y5" s="3766"/>
      <c r="Z5" s="3767"/>
      <c r="AA5" s="3752"/>
      <c r="AB5" s="3752"/>
      <c r="AC5" s="3786"/>
    </row>
    <row r="6" spans="1:29" ht="15.75" thickBot="1">
      <c r="A6" s="360"/>
      <c r="B6" s="361"/>
      <c r="C6" s="3771" t="s">
        <v>1677</v>
      </c>
      <c r="D6" s="3772"/>
      <c r="E6" s="3778" t="s">
        <v>1677</v>
      </c>
      <c r="F6" s="3779"/>
      <c r="G6" s="3771" t="s">
        <v>1677</v>
      </c>
      <c r="H6" s="3772"/>
      <c r="I6" s="3771" t="s">
        <v>1677</v>
      </c>
      <c r="J6" s="3772"/>
      <c r="K6" s="559" t="s">
        <v>1678</v>
      </c>
      <c r="L6" s="2715"/>
      <c r="M6" s="2716"/>
      <c r="N6" s="2716"/>
      <c r="O6" s="2716"/>
      <c r="P6" s="3791"/>
      <c r="Q6" s="3763"/>
      <c r="R6" s="3766"/>
      <c r="S6" s="3767"/>
      <c r="T6" s="3768"/>
      <c r="U6" s="3769"/>
      <c r="V6" s="3770"/>
      <c r="W6" s="3770"/>
      <c r="X6" s="1355"/>
      <c r="Y6" s="3768"/>
      <c r="Z6" s="3769"/>
      <c r="AA6" s="3753"/>
      <c r="AB6" s="3753"/>
      <c r="AC6" s="3787"/>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5" t="s">
        <v>1680</v>
      </c>
      <c r="Q7" s="3777"/>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5" t="s">
        <v>1683</v>
      </c>
      <c r="Q8" s="3776"/>
      <c r="R8" s="701" t="s">
        <v>14</v>
      </c>
      <c r="S8" s="702">
        <f t="shared" si="0"/>
        <v>100</v>
      </c>
      <c r="T8" s="701" t="s">
        <v>14</v>
      </c>
      <c r="U8" s="702">
        <f t="shared" si="1"/>
        <v>100</v>
      </c>
      <c r="V8" s="701" t="s">
        <v>14</v>
      </c>
      <c r="W8" s="702">
        <f t="shared" si="2"/>
        <v>100</v>
      </c>
      <c r="X8" s="703"/>
      <c r="Y8" s="3775" t="s">
        <v>1683</v>
      </c>
      <c r="Z8" s="37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0"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50"/>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0"/>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0"/>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0"/>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0"/>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0" t="str">
        <f>A48</f>
        <v>成交单价（元/平方米）</v>
      </c>
      <c r="Q48" s="3739"/>
      <c r="R48" s="3740">
        <f>E48</f>
        <v>0</v>
      </c>
      <c r="S48" s="3740"/>
      <c r="T48" s="3740">
        <f>G48</f>
        <v>0</v>
      </c>
      <c r="U48" s="3740"/>
      <c r="V48" s="3740">
        <f>I48</f>
        <v>0</v>
      </c>
      <c r="W48" s="374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0"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913"/>
      <c r="M4" s="914"/>
      <c r="N4" s="914"/>
      <c r="O4" s="914"/>
      <c r="P4" s="3758" t="s">
        <v>1775</v>
      </c>
      <c r="Q4" s="3759"/>
      <c r="R4" s="3764" t="s">
        <v>1771</v>
      </c>
      <c r="S4" s="3765"/>
      <c r="T4" s="3764" t="s">
        <v>1772</v>
      </c>
      <c r="U4" s="3765"/>
      <c r="V4" s="3770" t="s">
        <v>1773</v>
      </c>
      <c r="W4" s="3770"/>
      <c r="X4" s="1355"/>
      <c r="Y4" s="3764" t="s">
        <v>1775</v>
      </c>
      <c r="Z4" s="3765"/>
      <c r="AA4" s="3751" t="s">
        <v>1771</v>
      </c>
      <c r="AB4" s="3752" t="s">
        <v>1772</v>
      </c>
      <c r="AC4" s="3751" t="s">
        <v>1773</v>
      </c>
    </row>
    <row r="5" spans="1:29" ht="15">
      <c r="A5" s="358"/>
      <c r="B5" s="359"/>
      <c r="C5" s="3773" t="s">
        <v>1673</v>
      </c>
      <c r="D5" s="3774"/>
      <c r="E5" s="3780" t="s">
        <v>1674</v>
      </c>
      <c r="F5" s="3781"/>
      <c r="G5" s="3773" t="s">
        <v>1675</v>
      </c>
      <c r="H5" s="3774"/>
      <c r="I5" s="3773" t="s">
        <v>1676</v>
      </c>
      <c r="J5" s="3774"/>
      <c r="K5" s="559"/>
      <c r="L5" s="913"/>
      <c r="M5" s="914"/>
      <c r="N5" s="914"/>
      <c r="O5" s="914"/>
      <c r="P5" s="3760"/>
      <c r="Q5" s="3761"/>
      <c r="R5" s="3766"/>
      <c r="S5" s="3767"/>
      <c r="T5" s="3766"/>
      <c r="U5" s="3767"/>
      <c r="V5" s="3770"/>
      <c r="W5" s="3770"/>
      <c r="X5" s="1355"/>
      <c r="Y5" s="3766"/>
      <c r="Z5" s="3767"/>
      <c r="AA5" s="3752"/>
      <c r="AB5" s="3752"/>
      <c r="AC5" s="3752"/>
    </row>
    <row r="6" spans="1:29" ht="15.75" thickBot="1">
      <c r="A6" s="360"/>
      <c r="B6" s="361"/>
      <c r="C6" s="3771" t="s">
        <v>1677</v>
      </c>
      <c r="D6" s="3772"/>
      <c r="E6" s="3778" t="s">
        <v>1677</v>
      </c>
      <c r="F6" s="3779"/>
      <c r="G6" s="3771" t="s">
        <v>1677</v>
      </c>
      <c r="H6" s="3772"/>
      <c r="I6" s="3771" t="s">
        <v>1677</v>
      </c>
      <c r="J6" s="3772"/>
      <c r="K6" s="559" t="s">
        <v>1678</v>
      </c>
      <c r="L6" s="913"/>
      <c r="M6" s="914"/>
      <c r="N6" s="914"/>
      <c r="O6" s="914"/>
      <c r="P6" s="3762"/>
      <c r="Q6" s="3763"/>
      <c r="R6" s="3766"/>
      <c r="S6" s="3767"/>
      <c r="T6" s="3768"/>
      <c r="U6" s="3769"/>
      <c r="V6" s="3770"/>
      <c r="W6" s="3770"/>
      <c r="X6" s="1355"/>
      <c r="Y6" s="3768"/>
      <c r="Z6" s="3769"/>
      <c r="AA6" s="3753"/>
      <c r="AB6" s="3753"/>
      <c r="AC6" s="3753"/>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75" t="s">
        <v>1680</v>
      </c>
      <c r="Q7" s="3777"/>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5" t="s">
        <v>1683</v>
      </c>
      <c r="Q8" s="3776"/>
      <c r="R8" s="701" t="s">
        <v>14</v>
      </c>
      <c r="S8" s="702">
        <f t="shared" si="0"/>
        <v>100</v>
      </c>
      <c r="T8" s="701" t="s">
        <v>14</v>
      </c>
      <c r="U8" s="702">
        <f t="shared" si="1"/>
        <v>100</v>
      </c>
      <c r="V8" s="701" t="s">
        <v>14</v>
      </c>
      <c r="W8" s="702">
        <f t="shared" si="2"/>
        <v>100</v>
      </c>
      <c r="X8" s="703"/>
      <c r="Y8" s="3775" t="s">
        <v>1683</v>
      </c>
      <c r="Z8" s="37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7"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5"/>
      <c r="M4" s="2716"/>
      <c r="N4" s="2716"/>
      <c r="O4" s="2716"/>
      <c r="P4" s="3758" t="s">
        <v>1775</v>
      </c>
      <c r="Q4" s="3759"/>
      <c r="R4" s="3764" t="s">
        <v>1771</v>
      </c>
      <c r="S4" s="3765"/>
      <c r="T4" s="3764" t="s">
        <v>1772</v>
      </c>
      <c r="U4" s="3765"/>
      <c r="V4" s="3770" t="s">
        <v>1773</v>
      </c>
      <c r="W4" s="3770"/>
      <c r="X4" s="1355"/>
      <c r="Y4" s="3764" t="s">
        <v>1775</v>
      </c>
      <c r="Z4" s="3765"/>
      <c r="AA4" s="3751" t="s">
        <v>1771</v>
      </c>
      <c r="AB4" s="3752" t="s">
        <v>1772</v>
      </c>
      <c r="AC4" s="3751" t="s">
        <v>1773</v>
      </c>
    </row>
    <row r="5" spans="1:29" ht="15">
      <c r="A5" s="358"/>
      <c r="B5" s="359"/>
      <c r="C5" s="3773" t="s">
        <v>1673</v>
      </c>
      <c r="D5" s="3774"/>
      <c r="E5" s="3780" t="s">
        <v>1674</v>
      </c>
      <c r="F5" s="3781"/>
      <c r="G5" s="3773" t="s">
        <v>1675</v>
      </c>
      <c r="H5" s="3774"/>
      <c r="I5" s="3773" t="s">
        <v>1676</v>
      </c>
      <c r="J5" s="3774"/>
      <c r="K5" s="559"/>
      <c r="L5" s="2715"/>
      <c r="M5" s="2716"/>
      <c r="N5" s="2716"/>
      <c r="O5" s="2716"/>
      <c r="P5" s="3760"/>
      <c r="Q5" s="3761"/>
      <c r="R5" s="3766"/>
      <c r="S5" s="3767"/>
      <c r="T5" s="3766"/>
      <c r="U5" s="3767"/>
      <c r="V5" s="3770"/>
      <c r="W5" s="3770"/>
      <c r="X5" s="1355"/>
      <c r="Y5" s="3766"/>
      <c r="Z5" s="3767"/>
      <c r="AA5" s="3752"/>
      <c r="AB5" s="3752"/>
      <c r="AC5" s="3752"/>
    </row>
    <row r="6" spans="1:29" ht="15.75" thickBot="1">
      <c r="A6" s="360"/>
      <c r="B6" s="361"/>
      <c r="C6" s="3771" t="s">
        <v>1677</v>
      </c>
      <c r="D6" s="3772"/>
      <c r="E6" s="3778" t="s">
        <v>1677</v>
      </c>
      <c r="F6" s="3779"/>
      <c r="G6" s="3771" t="s">
        <v>1677</v>
      </c>
      <c r="H6" s="3772"/>
      <c r="I6" s="3771" t="s">
        <v>1677</v>
      </c>
      <c r="J6" s="3772"/>
      <c r="K6" s="559" t="s">
        <v>1678</v>
      </c>
      <c r="L6" s="2715"/>
      <c r="M6" s="2716"/>
      <c r="N6" s="2716"/>
      <c r="O6" s="2716"/>
      <c r="P6" s="3762"/>
      <c r="Q6" s="3763"/>
      <c r="R6" s="3766"/>
      <c r="S6" s="3767"/>
      <c r="T6" s="3768"/>
      <c r="U6" s="3769"/>
      <c r="V6" s="3770"/>
      <c r="W6" s="3770"/>
      <c r="X6" s="1355"/>
      <c r="Y6" s="3768"/>
      <c r="Z6" s="3769"/>
      <c r="AA6" s="3753"/>
      <c r="AB6" s="3753"/>
      <c r="AC6" s="3753"/>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5" t="s">
        <v>1680</v>
      </c>
      <c r="Q7" s="3777"/>
      <c r="R7" s="701" t="s">
        <v>14</v>
      </c>
      <c r="S7" s="702">
        <f t="shared" ref="S7:S14" si="0">F7</f>
        <v>0</v>
      </c>
      <c r="T7" s="701" t="s">
        <v>14</v>
      </c>
      <c r="U7" s="702">
        <f t="shared" ref="U7:U14" si="1">H7</f>
        <v>0</v>
      </c>
      <c r="V7" s="701" t="s">
        <v>14</v>
      </c>
      <c r="W7" s="702">
        <f t="shared" ref="W7:W14"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5" t="s">
        <v>1683</v>
      </c>
      <c r="Q8" s="3776"/>
      <c r="R8" s="701" t="s">
        <v>14</v>
      </c>
      <c r="S8" s="702">
        <f t="shared" si="0"/>
        <v>100</v>
      </c>
      <c r="T8" s="701" t="s">
        <v>14</v>
      </c>
      <c r="U8" s="702">
        <f t="shared" si="1"/>
        <v>100</v>
      </c>
      <c r="V8" s="701" t="s">
        <v>14</v>
      </c>
      <c r="W8" s="702">
        <f t="shared" si="2"/>
        <v>100</v>
      </c>
      <c r="X8" s="703"/>
      <c r="Y8" s="3775" t="s">
        <v>1683</v>
      </c>
      <c r="Z8" s="37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98" t="e">
        <f>IF(F1="售价",ROUND(IF(D38="简单平均",AVERAGE(R38:W38),R38*F38+T38*H38+V38*J38),0),ROUND(IF(D38="简单平均",AVERAGE(R38:V38),R38*F38+T38*H38+V38*J38),1))</f>
        <v>#DIV/0!</v>
      </c>
      <c r="S39" s="3798"/>
      <c r="T39" s="3798"/>
      <c r="U39" s="3798"/>
      <c r="V39" s="3798"/>
      <c r="W39" s="379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5"/>
      <c r="M4" s="2716"/>
      <c r="N4" s="2716"/>
      <c r="O4" s="2716"/>
      <c r="P4" s="3758" t="s">
        <v>1775</v>
      </c>
      <c r="Q4" s="3759"/>
      <c r="R4" s="3764" t="s">
        <v>1771</v>
      </c>
      <c r="S4" s="3765"/>
      <c r="T4" s="3764" t="s">
        <v>1772</v>
      </c>
      <c r="U4" s="3765"/>
      <c r="V4" s="3770" t="s">
        <v>1773</v>
      </c>
      <c r="W4" s="3770"/>
      <c r="X4" s="1355"/>
      <c r="Y4" s="3764" t="s">
        <v>1775</v>
      </c>
      <c r="Z4" s="3765"/>
      <c r="AA4" s="3751" t="s">
        <v>1771</v>
      </c>
      <c r="AB4" s="3752" t="s">
        <v>1772</v>
      </c>
      <c r="AC4" s="3751" t="s">
        <v>1773</v>
      </c>
    </row>
    <row r="5" spans="1:29" ht="15">
      <c r="A5" s="358"/>
      <c r="B5" s="359"/>
      <c r="C5" s="3773" t="s">
        <v>1673</v>
      </c>
      <c r="D5" s="3774"/>
      <c r="E5" s="3780" t="s">
        <v>1674</v>
      </c>
      <c r="F5" s="3781"/>
      <c r="G5" s="3773" t="s">
        <v>1675</v>
      </c>
      <c r="H5" s="3774"/>
      <c r="I5" s="3773" t="s">
        <v>1676</v>
      </c>
      <c r="J5" s="3774"/>
      <c r="K5" s="559"/>
      <c r="L5" s="2715"/>
      <c r="M5" s="2716"/>
      <c r="N5" s="2716"/>
      <c r="O5" s="2716"/>
      <c r="P5" s="3760"/>
      <c r="Q5" s="3761"/>
      <c r="R5" s="3766"/>
      <c r="S5" s="3767"/>
      <c r="T5" s="3766"/>
      <c r="U5" s="3767"/>
      <c r="V5" s="3770"/>
      <c r="W5" s="3770"/>
      <c r="X5" s="1355"/>
      <c r="Y5" s="3766"/>
      <c r="Z5" s="3767"/>
      <c r="AA5" s="3752"/>
      <c r="AB5" s="3752"/>
      <c r="AC5" s="3752"/>
    </row>
    <row r="6" spans="1:29" ht="15.75" thickBot="1">
      <c r="A6" s="360"/>
      <c r="B6" s="361"/>
      <c r="C6" s="3771" t="s">
        <v>1677</v>
      </c>
      <c r="D6" s="3772"/>
      <c r="E6" s="3778" t="s">
        <v>1677</v>
      </c>
      <c r="F6" s="3779"/>
      <c r="G6" s="3771" t="s">
        <v>1677</v>
      </c>
      <c r="H6" s="3772"/>
      <c r="I6" s="3771" t="s">
        <v>1677</v>
      </c>
      <c r="J6" s="3772"/>
      <c r="K6" s="559" t="s">
        <v>1678</v>
      </c>
      <c r="L6" s="2715"/>
      <c r="M6" s="2716"/>
      <c r="N6" s="2716"/>
      <c r="O6" s="2716"/>
      <c r="P6" s="3762"/>
      <c r="Q6" s="3763"/>
      <c r="R6" s="3766"/>
      <c r="S6" s="3767"/>
      <c r="T6" s="3768"/>
      <c r="U6" s="3769"/>
      <c r="V6" s="3770"/>
      <c r="W6" s="3770"/>
      <c r="X6" s="1355"/>
      <c r="Y6" s="3768"/>
      <c r="Z6" s="3769"/>
      <c r="AA6" s="3753"/>
      <c r="AB6" s="3753"/>
      <c r="AC6" s="3753"/>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5" t="s">
        <v>1680</v>
      </c>
      <c r="Q7" s="3777"/>
      <c r="R7" s="701" t="s">
        <v>14</v>
      </c>
      <c r="S7" s="702">
        <f t="shared" ref="S7:S14" si="0">F7</f>
        <v>0</v>
      </c>
      <c r="T7" s="701" t="s">
        <v>14</v>
      </c>
      <c r="U7" s="702">
        <f t="shared" ref="U7:U14" si="1">H7</f>
        <v>0</v>
      </c>
      <c r="V7" s="701" t="s">
        <v>14</v>
      </c>
      <c r="W7" s="702">
        <f t="shared" ref="W7:W14"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5" t="s">
        <v>1683</v>
      </c>
      <c r="Q8" s="3776"/>
      <c r="R8" s="701" t="s">
        <v>14</v>
      </c>
      <c r="S8" s="702">
        <f t="shared" si="0"/>
        <v>100</v>
      </c>
      <c r="T8" s="701" t="s">
        <v>14</v>
      </c>
      <c r="U8" s="702">
        <f t="shared" si="1"/>
        <v>100</v>
      </c>
      <c r="V8" s="701" t="s">
        <v>14</v>
      </c>
      <c r="W8" s="702">
        <f t="shared" si="2"/>
        <v>100</v>
      </c>
      <c r="X8" s="703"/>
      <c r="Y8" s="3775" t="s">
        <v>1683</v>
      </c>
      <c r="Z8" s="37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98" t="e">
        <f>IF(F1="售价",ROUND(IF(D36="简单平均",AVERAGE(R36:W36),R36*F36+T36*H36+V36*J36),0),ROUND(IF(D36="简单平均",AVERAGE(R36:V36),R36*F36+T36*H36+V36*J36),1))</f>
        <v>#DIV/0!</v>
      </c>
      <c r="S37" s="3798"/>
      <c r="T37" s="3798"/>
      <c r="U37" s="3798"/>
      <c r="V37" s="3798"/>
      <c r="W37" s="379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4" t="s">
        <v>1770</v>
      </c>
      <c r="D4" s="3755"/>
      <c r="E4" s="3756" t="s">
        <v>1771</v>
      </c>
      <c r="F4" s="3757"/>
      <c r="G4" s="3754" t="s">
        <v>1772</v>
      </c>
      <c r="H4" s="3755"/>
      <c r="I4" s="3754" t="s">
        <v>1773</v>
      </c>
      <c r="J4" s="3755"/>
      <c r="K4" s="559" t="s">
        <v>1774</v>
      </c>
      <c r="L4" s="2715"/>
      <c r="M4" s="2716"/>
      <c r="N4" s="2716"/>
      <c r="O4" s="2716"/>
      <c r="P4" s="3758" t="s">
        <v>1775</v>
      </c>
      <c r="Q4" s="3759"/>
      <c r="R4" s="3764" t="s">
        <v>1771</v>
      </c>
      <c r="S4" s="3765"/>
      <c r="T4" s="3764" t="s">
        <v>1772</v>
      </c>
      <c r="U4" s="3765"/>
      <c r="V4" s="3770" t="s">
        <v>1773</v>
      </c>
      <c r="W4" s="3770"/>
      <c r="X4" s="1355"/>
      <c r="Y4" s="3764" t="s">
        <v>1775</v>
      </c>
      <c r="Z4" s="3765"/>
      <c r="AA4" s="3751" t="s">
        <v>1771</v>
      </c>
      <c r="AB4" s="3752" t="s">
        <v>1772</v>
      </c>
      <c r="AC4" s="3751" t="s">
        <v>1773</v>
      </c>
    </row>
    <row r="5" spans="1:30" ht="15">
      <c r="A5" s="358"/>
      <c r="B5" s="359"/>
      <c r="C5" s="3773" t="s">
        <v>1673</v>
      </c>
      <c r="D5" s="3774"/>
      <c r="E5" s="3780" t="s">
        <v>1674</v>
      </c>
      <c r="F5" s="3781"/>
      <c r="G5" s="3773" t="s">
        <v>1675</v>
      </c>
      <c r="H5" s="3774"/>
      <c r="I5" s="3773" t="s">
        <v>1676</v>
      </c>
      <c r="J5" s="3774"/>
      <c r="K5" s="559"/>
      <c r="L5" s="2715"/>
      <c r="M5" s="2716"/>
      <c r="N5" s="2716"/>
      <c r="O5" s="2716"/>
      <c r="P5" s="3760"/>
      <c r="Q5" s="3761"/>
      <c r="R5" s="3766"/>
      <c r="S5" s="3767"/>
      <c r="T5" s="3766"/>
      <c r="U5" s="3767"/>
      <c r="V5" s="3770"/>
      <c r="W5" s="3770"/>
      <c r="X5" s="1355"/>
      <c r="Y5" s="3766"/>
      <c r="Z5" s="3767"/>
      <c r="AA5" s="3752"/>
      <c r="AB5" s="3752"/>
      <c r="AC5" s="3752"/>
    </row>
    <row r="6" spans="1:30" ht="15.75" thickBot="1">
      <c r="A6" s="360"/>
      <c r="B6" s="361"/>
      <c r="C6" s="3771" t="s">
        <v>1677</v>
      </c>
      <c r="D6" s="3772"/>
      <c r="E6" s="3778" t="s">
        <v>1677</v>
      </c>
      <c r="F6" s="3779"/>
      <c r="G6" s="3771" t="s">
        <v>1677</v>
      </c>
      <c r="H6" s="3772"/>
      <c r="I6" s="3771" t="s">
        <v>1677</v>
      </c>
      <c r="J6" s="3772"/>
      <c r="K6" s="559" t="s">
        <v>1678</v>
      </c>
      <c r="L6" s="2715"/>
      <c r="M6" s="2716"/>
      <c r="N6" s="2716"/>
      <c r="O6" s="2716"/>
      <c r="P6" s="3762"/>
      <c r="Q6" s="3763"/>
      <c r="R6" s="3766"/>
      <c r="S6" s="3767"/>
      <c r="T6" s="3768"/>
      <c r="U6" s="3769"/>
      <c r="V6" s="3770"/>
      <c r="W6" s="3770"/>
      <c r="X6" s="1355"/>
      <c r="Y6" s="3768"/>
      <c r="Z6" s="3769"/>
      <c r="AA6" s="3753"/>
      <c r="AB6" s="3753"/>
      <c r="AC6" s="3753"/>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5" t="s">
        <v>1680</v>
      </c>
      <c r="Q7" s="3777"/>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5" t="s">
        <v>1683</v>
      </c>
      <c r="Q8" s="3776"/>
      <c r="R8" s="701" t="s">
        <v>14</v>
      </c>
      <c r="S8" s="702">
        <f t="shared" si="0"/>
        <v>0</v>
      </c>
      <c r="T8" s="701" t="s">
        <v>14</v>
      </c>
      <c r="U8" s="702">
        <f t="shared" si="1"/>
        <v>0</v>
      </c>
      <c r="V8" s="701" t="s">
        <v>14</v>
      </c>
      <c r="W8" s="702">
        <f t="shared" si="2"/>
        <v>0</v>
      </c>
      <c r="X8" s="703"/>
      <c r="Y8" s="3775" t="s">
        <v>1683</v>
      </c>
      <c r="Z8" s="37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39"/>
      <c r="Q10" s="1343" t="str">
        <f t="shared" si="6"/>
        <v>土地使用年限（年）</v>
      </c>
      <c r="R10" s="701" t="s">
        <v>14</v>
      </c>
      <c r="S10" s="702">
        <f t="shared" si="0"/>
        <v>138</v>
      </c>
      <c r="T10" s="701" t="s">
        <v>14</v>
      </c>
      <c r="U10" s="702">
        <f t="shared" si="1"/>
        <v>138</v>
      </c>
      <c r="V10" s="701" t="s">
        <v>14</v>
      </c>
      <c r="W10" s="702">
        <f t="shared" si="2"/>
        <v>138</v>
      </c>
      <c r="X10" s="703"/>
      <c r="Y10" s="3614"/>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7"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70">
        <f>E46</f>
        <v>0</v>
      </c>
      <c r="S46" s="3770"/>
      <c r="T46" s="3770">
        <f>G46</f>
        <v>0</v>
      </c>
      <c r="U46" s="3770"/>
      <c r="V46" s="3770">
        <f>I46</f>
        <v>0</v>
      </c>
      <c r="W46" s="377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99" t="e">
        <f>ROUND(PRODUCT(R46,AA7:AA45),0)</f>
        <v>#DIV/0!</v>
      </c>
      <c r="S47" s="3799"/>
      <c r="T47" s="3799" t="e">
        <f>ROUND(PRODUCT(T46,AB7:AB45),0)</f>
        <v>#DIV/0!</v>
      </c>
      <c r="U47" s="3799"/>
      <c r="V47" s="3799" t="e">
        <f>ROUND(PRODUCT(V46,AC7:AC45),0)</f>
        <v>#DIV/0!</v>
      </c>
      <c r="W47" s="379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800" t="e">
        <f>ROUND(IF(D47="简单平均",AVERAGE(R47:W47),R47*F47+T47*H47+V47*J47),0)</f>
        <v>#DIV/0!</v>
      </c>
      <c r="S48" s="3800"/>
      <c r="T48" s="3800"/>
      <c r="U48" s="3800"/>
      <c r="V48" s="3800"/>
      <c r="W48" s="380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4" t="s">
        <v>1887</v>
      </c>
      <c r="H55" s="380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50"/>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5"/>
      <c r="M4" s="2716"/>
      <c r="N4" s="2716"/>
      <c r="O4" s="2716"/>
      <c r="P4" s="3758" t="s">
        <v>1775</v>
      </c>
      <c r="Q4" s="3759"/>
      <c r="R4" s="3764" t="s">
        <v>1771</v>
      </c>
      <c r="S4" s="3765"/>
      <c r="T4" s="3764" t="s">
        <v>1772</v>
      </c>
      <c r="U4" s="3765"/>
      <c r="V4" s="3770" t="s">
        <v>1773</v>
      </c>
      <c r="W4" s="3770"/>
      <c r="X4" s="1355"/>
      <c r="Y4" s="3764" t="s">
        <v>1775</v>
      </c>
      <c r="Z4" s="3765"/>
      <c r="AA4" s="3751" t="s">
        <v>1771</v>
      </c>
      <c r="AB4" s="3752" t="s">
        <v>1772</v>
      </c>
      <c r="AC4" s="3751" t="s">
        <v>1773</v>
      </c>
    </row>
    <row r="5" spans="1:29" ht="15">
      <c r="A5" s="358"/>
      <c r="B5" s="359"/>
      <c r="C5" s="3773" t="s">
        <v>1673</v>
      </c>
      <c r="D5" s="3774"/>
      <c r="E5" s="3780" t="s">
        <v>1674</v>
      </c>
      <c r="F5" s="3781"/>
      <c r="G5" s="3773" t="s">
        <v>1675</v>
      </c>
      <c r="H5" s="3774"/>
      <c r="I5" s="3773" t="s">
        <v>1676</v>
      </c>
      <c r="J5" s="3774"/>
      <c r="K5" s="559"/>
      <c r="L5" s="2715"/>
      <c r="M5" s="2716"/>
      <c r="N5" s="2716"/>
      <c r="O5" s="2716"/>
      <c r="P5" s="3760"/>
      <c r="Q5" s="3761"/>
      <c r="R5" s="3766"/>
      <c r="S5" s="3767"/>
      <c r="T5" s="3766"/>
      <c r="U5" s="3767"/>
      <c r="V5" s="3770"/>
      <c r="W5" s="3770"/>
      <c r="X5" s="1355"/>
      <c r="Y5" s="3766"/>
      <c r="Z5" s="3767"/>
      <c r="AA5" s="3752"/>
      <c r="AB5" s="3752"/>
      <c r="AC5" s="3752"/>
    </row>
    <row r="6" spans="1:29" ht="15.75" thickBot="1">
      <c r="A6" s="360"/>
      <c r="B6" s="361"/>
      <c r="C6" s="3802" t="s">
        <v>1919</v>
      </c>
      <c r="D6" s="3803"/>
      <c r="E6" s="3804" t="s">
        <v>1919</v>
      </c>
      <c r="F6" s="3805"/>
      <c r="G6" s="3802" t="s">
        <v>1919</v>
      </c>
      <c r="H6" s="3803"/>
      <c r="I6" s="3802" t="s">
        <v>1919</v>
      </c>
      <c r="J6" s="3803"/>
      <c r="K6" s="559" t="s">
        <v>1678</v>
      </c>
      <c r="L6" s="2715"/>
      <c r="M6" s="2716"/>
      <c r="N6" s="2716"/>
      <c r="O6" s="2716"/>
      <c r="P6" s="3762"/>
      <c r="Q6" s="3763"/>
      <c r="R6" s="3766"/>
      <c r="S6" s="3767"/>
      <c r="T6" s="3768"/>
      <c r="U6" s="3769"/>
      <c r="V6" s="3770"/>
      <c r="W6" s="3770"/>
      <c r="X6" s="1355"/>
      <c r="Y6" s="3768"/>
      <c r="Z6" s="3769"/>
      <c r="AA6" s="3753"/>
      <c r="AB6" s="3753"/>
      <c r="AC6" s="3753"/>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5" t="s">
        <v>1680</v>
      </c>
      <c r="Q7" s="3777"/>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5" t="s">
        <v>1683</v>
      </c>
      <c r="Q8" s="3776"/>
      <c r="R8" s="701" t="s">
        <v>14</v>
      </c>
      <c r="S8" s="702">
        <f t="shared" si="0"/>
        <v>0</v>
      </c>
      <c r="T8" s="701" t="s">
        <v>14</v>
      </c>
      <c r="U8" s="702">
        <f t="shared" si="1"/>
        <v>0</v>
      </c>
      <c r="V8" s="701" t="s">
        <v>14</v>
      </c>
      <c r="W8" s="702">
        <f t="shared" si="2"/>
        <v>0</v>
      </c>
      <c r="X8" s="703"/>
      <c r="Y8" s="3775" t="s">
        <v>1683</v>
      </c>
      <c r="Z8" s="37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39"/>
      <c r="Q10" s="1343" t="str">
        <f t="shared" si="6"/>
        <v>土地使用年限（年）</v>
      </c>
      <c r="R10" s="701" t="s">
        <v>14</v>
      </c>
      <c r="S10" s="702">
        <f t="shared" si="0"/>
        <v>138</v>
      </c>
      <c r="T10" s="701" t="s">
        <v>14</v>
      </c>
      <c r="U10" s="702">
        <f t="shared" si="1"/>
        <v>138</v>
      </c>
      <c r="V10" s="701" t="s">
        <v>14</v>
      </c>
      <c r="W10" s="702">
        <f t="shared" si="2"/>
        <v>138</v>
      </c>
      <c r="X10" s="703"/>
      <c r="Y10" s="3614"/>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7"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70">
        <f>E41</f>
        <v>0</v>
      </c>
      <c r="S41" s="3770"/>
      <c r="T41" s="3770">
        <f>G41</f>
        <v>0</v>
      </c>
      <c r="U41" s="3770"/>
      <c r="V41" s="3770">
        <f>I41</f>
        <v>0</v>
      </c>
      <c r="W41" s="377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99" t="e">
        <f>ROUND(PRODUCT(R41,AA7:AA40),0)</f>
        <v>#DIV/0!</v>
      </c>
      <c r="S42" s="3799"/>
      <c r="T42" s="3799" t="e">
        <f>ROUND(PRODUCT(T41,AB7:AB40),0)</f>
        <v>#DIV/0!</v>
      </c>
      <c r="U42" s="3799"/>
      <c r="V42" s="3799" t="e">
        <f>ROUND(PRODUCT(V41,AC7:AC40),0)</f>
        <v>#DIV/0!</v>
      </c>
      <c r="W42" s="379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800" t="e">
        <f>ROUND(IF(D42="简单平均",AVERAGE(R42:W42),R42*F42+T42*H42+V42*J42),0)</f>
        <v>#DIV/0!</v>
      </c>
      <c r="S43" s="3800"/>
      <c r="T43" s="3800"/>
      <c r="U43" s="3800"/>
      <c r="V43" s="3800"/>
      <c r="W43" s="380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4" t="s">
        <v>1887</v>
      </c>
      <c r="H50" s="380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50"/>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7"/>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9" t="s">
        <v>2084</v>
      </c>
      <c r="D1" s="3810"/>
      <c r="E1" s="3810"/>
      <c r="F1" s="3810"/>
      <c r="G1" s="3810"/>
      <c r="H1" s="3810"/>
      <c r="I1" s="3810"/>
      <c r="J1" s="3810"/>
      <c r="K1" s="3810"/>
      <c r="L1" s="3810"/>
      <c r="M1" s="3810"/>
      <c r="N1" s="3810"/>
      <c r="O1" s="3810"/>
      <c r="P1" s="3810"/>
      <c r="Q1" s="3810"/>
      <c r="R1" s="3810"/>
      <c r="S1" s="381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6" t="s">
        <v>27</v>
      </c>
      <c r="D22" s="3807"/>
      <c r="E22" s="3807"/>
      <c r="F22" s="3807"/>
      <c r="G22" s="3807"/>
      <c r="H22" s="3807"/>
      <c r="I22" s="3807"/>
      <c r="J22" s="3807"/>
      <c r="K22" s="3807"/>
      <c r="L22" s="3807"/>
      <c r="M22" s="3807"/>
      <c r="N22" s="3807"/>
      <c r="O22" s="3807"/>
      <c r="P22" s="3807"/>
      <c r="Q22" s="380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55259</v>
      </c>
      <c r="C2" s="2145" t="s">
        <v>2074</v>
      </c>
      <c r="D2" s="2145" t="s">
        <v>2075</v>
      </c>
      <c r="E2" s="2612">
        <f ca="1">SUMIF(E6:E13,"&lt;&gt;#ref!",E6:E13)</f>
        <v>30652.949999999997</v>
      </c>
      <c r="F2" s="2793"/>
      <c r="G2" s="2793"/>
      <c r="H2" s="2793"/>
      <c r="I2" s="2793"/>
      <c r="J2" s="2793"/>
      <c r="K2" s="2793"/>
      <c r="L2" s="2793"/>
      <c r="M2" s="2793"/>
      <c r="N2" s="2793"/>
      <c r="O2" s="2793"/>
      <c r="P2" s="2793"/>
    </row>
    <row r="3" spans="1:16" ht="15.75">
      <c r="A3" s="2145" t="s">
        <v>2076</v>
      </c>
      <c r="B3" s="2602">
        <f ca="1">ROUND(B2*10000/E2,0)</f>
        <v>18027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55259</v>
      </c>
      <c r="C6" s="2145" t="s">
        <v>2074</v>
      </c>
      <c r="D6" s="2793"/>
      <c r="E6" s="2612">
        <f ca="1">SUMIF(INDIRECT("'"&amp;A6&amp;"'"&amp;"!C:C"),"建筑面积",INDIRECT("'"&amp;A6&amp;"'"&amp;"!D:D"))</f>
        <v>30652.949999999997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39" sqref="J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30652.949999999997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997"/>
      <c r="X1" s="1997"/>
      <c r="Y1" s="1997"/>
      <c r="Z1" s="2141"/>
      <c r="AA1" s="1120"/>
      <c r="AB1" s="1120"/>
      <c r="AC1" s="1217"/>
      <c r="AD1" s="1218"/>
      <c r="AE1" s="1218"/>
      <c r="AF1" s="1218"/>
      <c r="AG1" s="1218"/>
      <c r="AH1" s="1218"/>
      <c r="AI1" s="1218"/>
      <c r="AJ1" s="1219"/>
    </row>
    <row r="2" spans="1:36" ht="15.75">
      <c r="A2" s="201" t="s">
        <v>1934</v>
      </c>
      <c r="B2" s="204">
        <f>C30</f>
        <v>55259</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34128</v>
      </c>
      <c r="U2" s="1213">
        <f>'面积清单-分房号'!K22</f>
        <v>1267.92</v>
      </c>
      <c r="V2" s="3360">
        <f>ROUND(T2*U2/10000,0)</f>
        <v>4327</v>
      </c>
      <c r="W2" s="1997"/>
      <c r="X2" s="1997"/>
      <c r="Y2" s="1997"/>
      <c r="Z2" s="2141"/>
      <c r="AA2" s="1120"/>
      <c r="AB2" s="1120"/>
      <c r="AC2" s="1217"/>
      <c r="AD2" s="1218"/>
      <c r="AE2" s="1218"/>
      <c r="AF2" s="1218"/>
      <c r="AG2" s="1218"/>
      <c r="AH2" s="1218"/>
      <c r="AI2" s="1218"/>
      <c r="AJ2" s="1219"/>
    </row>
    <row r="3" spans="1:36" ht="15.75">
      <c r="A3" s="203" t="s">
        <v>1940</v>
      </c>
      <c r="B3" s="204">
        <f>ROUND(B2*10000/D1,0)</f>
        <v>18027</v>
      </c>
      <c r="C3" s="1999" t="s">
        <v>1941</v>
      </c>
      <c r="D3" s="2000" t="s">
        <v>1942</v>
      </c>
      <c r="E3" s="3419"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0">
        <f>ROUND(SUMPRODUCT((B106:B110=R3)*(C105:N105=G2)*(C106:N110)),4)</f>
        <v>1.1838</v>
      </c>
      <c r="T3" s="3360">
        <f t="shared" si="0"/>
        <v>26899</v>
      </c>
      <c r="U3" s="1213">
        <f>'面积清单-分房号'!K23</f>
        <v>4813.49</v>
      </c>
      <c r="V3" s="3360">
        <f t="shared" ref="V3:V16" si="1">ROUND(T3*U3/10000,0)</f>
        <v>12948</v>
      </c>
      <c r="W3" s="1997"/>
      <c r="X3" s="1997"/>
      <c r="Y3" s="1997"/>
      <c r="Z3" s="2141"/>
      <c r="AA3" s="1120"/>
      <c r="AB3" s="1120"/>
      <c r="AC3" s="1217"/>
      <c r="AD3" s="1218"/>
      <c r="AE3" s="1218"/>
      <c r="AF3" s="1218"/>
      <c r="AG3" s="1218"/>
      <c r="AH3" s="1218"/>
      <c r="AI3" s="1218"/>
      <c r="AJ3" s="1219"/>
    </row>
    <row r="4" spans="1:36" ht="15.75">
      <c r="A4" s="3819"/>
      <c r="B4" s="3820"/>
      <c r="C4" s="3820"/>
      <c r="D4" s="3821"/>
      <c r="E4" s="3821"/>
      <c r="F4" s="3821"/>
      <c r="G4" s="3821"/>
      <c r="H4" s="3821"/>
      <c r="I4" s="3821"/>
      <c r="J4" s="382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22734</v>
      </c>
      <c r="U4" s="1213">
        <f>'面积清单-分房号'!K24</f>
        <v>4568.0200000000004</v>
      </c>
      <c r="V4" s="3360">
        <f t="shared" si="1"/>
        <v>10385</v>
      </c>
      <c r="W4" s="1997"/>
      <c r="X4" s="1997"/>
      <c r="Y4" s="1997"/>
      <c r="Z4" s="2141"/>
      <c r="AA4" s="1120"/>
      <c r="AB4" s="1120"/>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27469</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20051</v>
      </c>
      <c r="U5" s="1213">
        <f>'面积清单-分房号'!K25</f>
        <v>5243.8399999999983</v>
      </c>
      <c r="V5" s="3360">
        <f t="shared" si="1"/>
        <v>10514</v>
      </c>
      <c r="W5" s="2788"/>
      <c r="X5" s="2788"/>
      <c r="Y5" s="2788"/>
      <c r="Z5" s="2788"/>
      <c r="AA5" s="2788"/>
      <c r="AB5" s="2788"/>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19269</v>
      </c>
      <c r="U6" s="1213">
        <f>'面积清单-分房号'!K26</f>
        <v>3389.19</v>
      </c>
      <c r="V6" s="3360">
        <f t="shared" si="1"/>
        <v>6531</v>
      </c>
      <c r="W6" s="1997"/>
      <c r="X6" s="1997"/>
      <c r="Y6" s="1997"/>
      <c r="Z6" s="2141"/>
      <c r="AA6" s="1120"/>
      <c r="AB6" s="1120"/>
      <c r="AC6" s="2011"/>
      <c r="AD6" s="2012"/>
      <c r="AE6" s="2012"/>
      <c r="AF6" s="2012"/>
      <c r="AG6" s="2012"/>
      <c r="AH6" s="2012"/>
      <c r="AI6" s="2012"/>
      <c r="AJ6" s="2013"/>
    </row>
    <row r="7" spans="1:36" ht="24.75" thickBot="1">
      <c r="A7" s="3303" t="s">
        <v>3243</v>
      </c>
      <c r="B7" s="2021" t="s">
        <v>1952</v>
      </c>
      <c r="C7" s="755">
        <f>IF(C8="不临65条商业街",1,ROUND(1+(1.6*E8+1.2*E9+0.8*E10+0.4*E11)*C9,4))</f>
        <v>1.0075000000000001</v>
      </c>
      <c r="D7" s="2022" t="s">
        <v>1953</v>
      </c>
      <c r="E7" s="776">
        <v>200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8"/>
      <c r="B8" s="170" t="s">
        <v>1957</v>
      </c>
      <c r="C8" s="2026" t="s">
        <v>3396</v>
      </c>
      <c r="D8" s="756" t="s">
        <v>112</v>
      </c>
      <c r="E8" s="757">
        <f>ROUND(C11/E7,4)</f>
        <v>1.8800000000000001E-2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816" t="s">
        <v>1960</v>
      </c>
      <c r="X8" s="381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0.1</v>
      </c>
      <c r="D9" s="171" t="s">
        <v>113</v>
      </c>
      <c r="E9" s="171">
        <f>ROUND(C11/E7,4)</f>
        <v>1.8800000000000001E-2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81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15</v>
      </c>
      <c r="D10" s="171" t="s">
        <v>114</v>
      </c>
      <c r="E10" s="171">
        <f>ROUND(C11/E7,4)</f>
        <v>1.8800000000000001E-2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81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3.75</v>
      </c>
      <c r="D11" s="759" t="s">
        <v>115</v>
      </c>
      <c r="E11" s="759">
        <f>ROUND(C11/E7,4)</f>
        <v>1.8800000000000001E-2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9"/>
      <c r="AE11" s="2789"/>
      <c r="AF11" s="2789"/>
      <c r="AG11" s="2789"/>
      <c r="AH11" s="2789"/>
      <c r="AI11" s="2789"/>
      <c r="AJ11" s="2790"/>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9"/>
      <c r="AE12" s="2789"/>
      <c r="AF12" s="2789"/>
      <c r="AG12" s="2789"/>
      <c r="AH12" s="2789"/>
      <c r="AI12" s="2789"/>
      <c r="AJ12" s="2790"/>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9"/>
      <c r="AE13" s="2789"/>
      <c r="AF13" s="2789"/>
      <c r="AG13" s="2789"/>
      <c r="AH13" s="2789"/>
      <c r="AI13" s="2789"/>
      <c r="AJ13" s="2790"/>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9"/>
      <c r="AE14" s="2789"/>
      <c r="AF14" s="2789"/>
      <c r="AG14" s="2789"/>
      <c r="AH14" s="2789"/>
      <c r="AI14" s="2789"/>
      <c r="AJ14" s="2790"/>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9"/>
      <c r="AE15" s="2789"/>
      <c r="AF15" s="2789"/>
      <c r="AG15" s="2789"/>
      <c r="AH15" s="2789"/>
      <c r="AI15" s="2789"/>
      <c r="AJ15" s="2790"/>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9"/>
      <c r="AE16" s="2789"/>
      <c r="AF16" s="2789"/>
      <c r="AG16" s="2789"/>
      <c r="AH16" s="2789"/>
      <c r="AI16" s="2789"/>
      <c r="AJ16" s="2790"/>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20">
        <f>SUM(V2:V6)</f>
        <v>44705</v>
      </c>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7"/>
      <c r="M18" s="1997"/>
      <c r="N18" s="1997"/>
      <c r="O18" s="1997"/>
      <c r="P18" s="1997"/>
      <c r="Q18" s="1119"/>
      <c r="R18" s="1124"/>
      <c r="S18" s="1124"/>
      <c r="T18" s="1120"/>
      <c r="U18" s="1120"/>
      <c r="V18" s="1120">
        <f>V17*10000/D33</f>
        <v>23184.282503373532</v>
      </c>
      <c r="W18" s="1119"/>
      <c r="X18" s="1119"/>
      <c r="Y18" s="1119"/>
      <c r="Z18" s="1125"/>
      <c r="AA18" s="1125"/>
      <c r="AB18" s="1125"/>
      <c r="AC18" s="1125"/>
      <c r="AD18" s="1125"/>
      <c r="AE18" s="1120"/>
      <c r="AF18" s="1120"/>
      <c r="AG18" s="2141"/>
      <c r="AH18" s="2141"/>
      <c r="AI18" s="2141"/>
      <c r="AJ18" s="2788"/>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3516" t="s">
        <v>4088</v>
      </c>
      <c r="U19" s="3512" t="s">
        <v>4089</v>
      </c>
      <c r="V19" s="3517" t="s">
        <v>4090</v>
      </c>
      <c r="W19" s="3517" t="s">
        <v>4091</v>
      </c>
      <c r="X19" s="3516" t="s">
        <v>4087</v>
      </c>
      <c r="Y19" s="3516" t="s">
        <v>4084</v>
      </c>
      <c r="Z19" s="3518" t="s">
        <v>4085</v>
      </c>
      <c r="AA19" s="3518" t="s">
        <v>4086</v>
      </c>
      <c r="AB19" s="1125"/>
      <c r="AC19" s="1125"/>
      <c r="AD19" s="1125"/>
      <c r="AE19" s="1125"/>
      <c r="AF19" s="1124"/>
      <c r="AG19" s="2791"/>
      <c r="AH19" s="2141"/>
      <c r="AI19" s="2792"/>
      <c r="AJ19" s="2792"/>
      <c r="AK19" s="2057"/>
    </row>
    <row r="20" spans="1:37" s="2014" customFormat="1" ht="14.25">
      <c r="A20" s="3823" t="s">
        <v>3260</v>
      </c>
      <c r="B20" s="167" t="s">
        <v>1994</v>
      </c>
      <c r="C20" s="3324">
        <f>ROUND(IF(F21="与级别开发程度一致",0,(G21-E21)/C21),0)</f>
        <v>-36</v>
      </c>
      <c r="D20" s="3340" t="s">
        <v>1998</v>
      </c>
      <c r="E20" s="3341"/>
      <c r="F20" s="3829" t="s">
        <v>1995</v>
      </c>
      <c r="G20" s="3830"/>
      <c r="H20" s="3325" t="s">
        <v>3398</v>
      </c>
      <c r="I20" s="3325" t="s">
        <v>3399</v>
      </c>
      <c r="J20" s="3326" t="s">
        <v>3400</v>
      </c>
      <c r="K20" s="2047" t="s">
        <v>3401</v>
      </c>
      <c r="L20" s="2047" t="s">
        <v>3402</v>
      </c>
      <c r="M20" s="2047" t="s">
        <v>3403</v>
      </c>
      <c r="N20" s="2047"/>
      <c r="O20" s="2048"/>
      <c r="P20" s="1997"/>
      <c r="Q20" s="1124"/>
      <c r="R20" s="1124"/>
      <c r="S20" s="1124"/>
      <c r="T20" s="3512"/>
      <c r="U20" s="3512"/>
      <c r="V20" s="3513"/>
      <c r="W20" s="3513"/>
      <c r="X20" s="3513"/>
      <c r="Y20" s="3514">
        <f>SUM(Y21:Y27)</f>
        <v>75183.878767999995</v>
      </c>
      <c r="Z20" s="3513">
        <f ca="1">系统读取表!D14</f>
        <v>112289</v>
      </c>
      <c r="AA20" s="3513"/>
      <c r="AB20" s="1125"/>
      <c r="AC20" s="1125"/>
      <c r="AD20" s="1125"/>
      <c r="AE20" s="1125"/>
      <c r="AF20" s="1125"/>
      <c r="AG20" s="2788"/>
      <c r="AH20" s="2788"/>
      <c r="AI20" s="2788"/>
      <c r="AJ20" s="2788"/>
    </row>
    <row r="21" spans="1:37" s="2014" customFormat="1" ht="26.25" thickBot="1">
      <c r="A21" s="382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3512">
        <v>34128</v>
      </c>
      <c r="U21" s="3512">
        <v>1267.92</v>
      </c>
      <c r="V21" s="3513">
        <f>'数据-取费表'!L6</f>
        <v>6500</v>
      </c>
      <c r="W21" s="3513">
        <f>T21+V21</f>
        <v>40628</v>
      </c>
      <c r="X21" s="3515">
        <f>W21/$W$21</f>
        <v>1</v>
      </c>
      <c r="Y21" s="3514">
        <f>W21*U21/10000</f>
        <v>5151.3053760000003</v>
      </c>
      <c r="Z21" s="3514">
        <f ca="1">$Z$20*Y21/$Y$20</f>
        <v>7693.6031878666436</v>
      </c>
      <c r="AA21" s="3513">
        <f ca="1">Z21*10000/U21</f>
        <v>60678.932329063682</v>
      </c>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3512">
        <v>26899</v>
      </c>
      <c r="U22" s="3512">
        <v>4813.49</v>
      </c>
      <c r="V22" s="3513">
        <f>V21</f>
        <v>6500</v>
      </c>
      <c r="W22" s="3513">
        <f t="shared" ref="W22:W27" si="3">T22+V22</f>
        <v>33399</v>
      </c>
      <c r="X22" s="3515">
        <f t="shared" ref="X22:X27" si="4">W22/$W$21</f>
        <v>0.82206852417052279</v>
      </c>
      <c r="Y22" s="3514">
        <f t="shared" ref="Y22:Y27" si="5">W22*U22/10000</f>
        <v>16076.575250999998</v>
      </c>
      <c r="Z22" s="3514">
        <f t="shared" ref="Z22:Z27" ca="1" si="6">$Z$20*Y22/$Y$20</f>
        <v>24010.76650926772</v>
      </c>
      <c r="AA22" s="3513">
        <f t="shared" ref="AA22:AA27" ca="1" si="7">Z22*10000/U22</f>
        <v>49882.240347996405</v>
      </c>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2" t="s">
        <v>3262</v>
      </c>
      <c r="I23" s="3343" t="str">
        <f>IF(H23="季度增幅（自定义）",SUMIF(N25:N28,E2,O25:O28),"")</f>
        <v/>
      </c>
      <c r="J23" s="3445" t="s">
        <v>3261</v>
      </c>
      <c r="K23" s="1125"/>
      <c r="L23" s="2055" t="s">
        <v>2004</v>
      </c>
      <c r="M23" s="1328">
        <f>ROUND(SUMIF(地价!B2:G2,E2,地价!B16:G16),0)</f>
        <v>350</v>
      </c>
      <c r="N23" s="2056" t="s">
        <v>2005</v>
      </c>
      <c r="O23" s="763">
        <f>ROUNDDOWN(DATEDIF(E23,G23,"M")/3,0)</f>
        <v>10</v>
      </c>
      <c r="P23" s="1122"/>
      <c r="Q23" s="2788"/>
      <c r="R23" s="1124"/>
      <c r="S23" s="1124"/>
      <c r="T23" s="3512">
        <v>22734</v>
      </c>
      <c r="U23" s="3512">
        <v>4568.0200000000004</v>
      </c>
      <c r="V23" s="3513">
        <f>V21</f>
        <v>6500</v>
      </c>
      <c r="W23" s="3513">
        <f t="shared" si="3"/>
        <v>29234</v>
      </c>
      <c r="X23" s="3515">
        <f t="shared" si="4"/>
        <v>0.71955301762331392</v>
      </c>
      <c r="Y23" s="3514">
        <f t="shared" si="5"/>
        <v>13354.149668</v>
      </c>
      <c r="Z23" s="3514">
        <f t="shared" ca="1" si="6"/>
        <v>19944.755932282176</v>
      </c>
      <c r="AA23" s="3513">
        <f t="shared" ca="1" si="7"/>
        <v>43661.708863538632</v>
      </c>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3512">
        <v>20051</v>
      </c>
      <c r="U24" s="3512">
        <v>5243.8399999999983</v>
      </c>
      <c r="V24" s="3513">
        <f>V21</f>
        <v>6500</v>
      </c>
      <c r="W24" s="3513">
        <f t="shared" si="3"/>
        <v>26551</v>
      </c>
      <c r="X24" s="3515">
        <f t="shared" si="4"/>
        <v>0.65351481736733286</v>
      </c>
      <c r="Y24" s="3514">
        <f t="shared" si="5"/>
        <v>13922.919583999994</v>
      </c>
      <c r="Z24" s="3514">
        <f t="shared" ca="1" si="6"/>
        <v>20794.228001883708</v>
      </c>
      <c r="AA24" s="3513">
        <f t="shared" ca="1" si="7"/>
        <v>39654.581379072806</v>
      </c>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3512">
        <v>19269</v>
      </c>
      <c r="U25" s="3512">
        <v>3389.19</v>
      </c>
      <c r="V25" s="3513">
        <f>V21</f>
        <v>6500</v>
      </c>
      <c r="W25" s="3513">
        <f t="shared" si="3"/>
        <v>25769</v>
      </c>
      <c r="X25" s="3515">
        <f t="shared" si="4"/>
        <v>0.63426700797479574</v>
      </c>
      <c r="Y25" s="3514">
        <f t="shared" si="5"/>
        <v>8733.6037109999997</v>
      </c>
      <c r="Z25" s="3514">
        <f t="shared" ca="1" si="6"/>
        <v>13043.855187767758</v>
      </c>
      <c r="AA25" s="3513">
        <f t="shared" ca="1" si="7"/>
        <v>38486.644855460327</v>
      </c>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4" t="s">
        <v>3264</v>
      </c>
      <c r="J26" s="772" t="str">
        <f>IF(G3&gt;=10,D115,"——")</f>
        <v>——</v>
      </c>
      <c r="K26" s="1125"/>
      <c r="L26" s="2788"/>
      <c r="M26" s="2788"/>
      <c r="N26" s="2069" t="s">
        <v>2016</v>
      </c>
      <c r="O26" s="1173"/>
      <c r="P26" s="1174">
        <f>SUMPRODUCT((地价!A3:A40=YEAR(G23)&amp;"-"&amp;ROUNDUP(MONTH(G23)/3,0))*(地价!AD2:AH2=N26)*(地价!AD3:AH40))</f>
        <v>0</v>
      </c>
      <c r="Q26" s="1997"/>
      <c r="R26" s="1124"/>
      <c r="S26" s="1124"/>
      <c r="T26" s="3512">
        <v>13532</v>
      </c>
      <c r="U26" s="3512">
        <v>4228.84</v>
      </c>
      <c r="V26" s="3512">
        <f>V21</f>
        <v>6500</v>
      </c>
      <c r="W26" s="3513">
        <f t="shared" si="3"/>
        <v>20032</v>
      </c>
      <c r="X26" s="3515">
        <f t="shared" si="4"/>
        <v>0.49305897410652749</v>
      </c>
      <c r="Y26" s="3514">
        <f t="shared" si="5"/>
        <v>8471.2122880000006</v>
      </c>
      <c r="Z26" s="3514">
        <f t="shared" ca="1" si="6"/>
        <v>12651.967046585725</v>
      </c>
      <c r="AA26" s="3513">
        <f t="shared" ca="1" si="7"/>
        <v>29918.292124047552</v>
      </c>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3512">
        <v>6766</v>
      </c>
      <c r="U27" s="3512">
        <v>7141.65</v>
      </c>
      <c r="V27" s="3512">
        <f>V21</f>
        <v>6500</v>
      </c>
      <c r="W27" s="3513">
        <f t="shared" si="3"/>
        <v>13266</v>
      </c>
      <c r="X27" s="3515">
        <f t="shared" si="4"/>
        <v>0.32652357979718422</v>
      </c>
      <c r="Y27" s="3514">
        <f t="shared" si="5"/>
        <v>9474.1128899999985</v>
      </c>
      <c r="Z27" s="3514">
        <f t="shared" ca="1" si="6"/>
        <v>14149.824134346263</v>
      </c>
      <c r="AA27" s="3513">
        <f t="shared" ca="1" si="7"/>
        <v>19813.102202356971</v>
      </c>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55259</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'数据-汇总表'!F31</f>
        <v>19282.46</v>
      </c>
      <c r="E33" s="773">
        <f>ROUND(C33*D33/10000,0)</f>
        <v>0</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7"/>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1"/>
      <c r="K37" s="3358" t="s">
        <v>3272</v>
      </c>
      <c r="L37" s="3356">
        <f ca="1">L36+K38</f>
        <v>4.0499999999999994E-2</v>
      </c>
      <c r="M37" s="3357">
        <f ca="1">ROUND($L$37*(1+M31),3)</f>
        <v>5.0999999999999997E-2</v>
      </c>
      <c r="N37" s="3357">
        <f t="shared" ref="N37:Q37" ca="1" si="8">ROUND($L$37*(1+N31),3)</f>
        <v>4.9000000000000002E-2</v>
      </c>
      <c r="O37" s="3357">
        <f t="shared" ca="1" si="8"/>
        <v>4.7E-2</v>
      </c>
      <c r="P37" s="3357">
        <f t="shared" ca="1" si="8"/>
        <v>4.4999999999999998E-2</v>
      </c>
      <c r="Q37" s="3357">
        <f t="shared" ca="1" si="8"/>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8"/>
      <c r="B38" s="2041" t="s">
        <v>2037</v>
      </c>
      <c r="C38" s="175">
        <f>ROUND(D5*C22*C23*C24*C28*F38,0)</f>
        <v>6766</v>
      </c>
      <c r="D38" s="2098">
        <f>'面积清单-分房号'!K28</f>
        <v>7141.65</v>
      </c>
      <c r="E38" s="171">
        <f t="shared" ref="E38:E42" si="9">ROUND(C38*D38/10000,0)</f>
        <v>4832</v>
      </c>
      <c r="F38" s="171">
        <f>SUMIF(修正!A57:A68,G2,修正!C57:C68)</f>
        <v>0.3</v>
      </c>
      <c r="G38" s="171">
        <f>ROUND(IF(E2="工业",C38*$M$42,C38*$M$41),0)</f>
        <v>1692</v>
      </c>
      <c r="H38" s="171">
        <f t="shared" ref="H38:H42" si="10">D38</f>
        <v>7141.65</v>
      </c>
      <c r="I38" s="171">
        <f t="shared" ref="I38:I42" si="11">ROUND(G38*H38/10000,0)</f>
        <v>1208</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28"/>
      <c r="B39" s="2041" t="s">
        <v>3265</v>
      </c>
      <c r="C39" s="175">
        <f>ROUND(D5*C22*C23*C24*C28*F39,0)</f>
        <v>5638</v>
      </c>
      <c r="D39" s="2098"/>
      <c r="E39" s="171">
        <f t="shared" si="9"/>
        <v>0</v>
      </c>
      <c r="F39" s="171">
        <f>SUMIF(修正!A57:A68,G2,修正!D57:D68)</f>
        <v>0.25</v>
      </c>
      <c r="G39" s="171">
        <f>ROUND(IF(E2="工业",C39*$M$42,C39*$M$41),0)</f>
        <v>1410</v>
      </c>
      <c r="H39" s="171">
        <f t="shared" si="10"/>
        <v>0</v>
      </c>
      <c r="I39" s="171">
        <f t="shared" si="11"/>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9"/>
        <v>0</v>
      </c>
      <c r="F40" s="175">
        <f>SUMIF(修正!A57:A68,G2,修正!E57:E68)</f>
        <v>0.25</v>
      </c>
      <c r="G40" s="171">
        <f>ROUND(IF(E2="工业",C40*$M$42,C40*$M$41),0)</f>
        <v>1410</v>
      </c>
      <c r="H40" s="171">
        <f t="shared" si="10"/>
        <v>0</v>
      </c>
      <c r="I40" s="171">
        <f t="shared" si="11"/>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9"/>
        <v>0</v>
      </c>
      <c r="F41" s="175">
        <f>SUMIF(修正!A57:A68,G2,修正!F57:F68)</f>
        <v>0.25</v>
      </c>
      <c r="G41" s="171">
        <f>ROUND(IF(E2="工业",C41*$M$42,C41*$M$41),0)</f>
        <v>1624</v>
      </c>
      <c r="H41" s="171">
        <f t="shared" si="10"/>
        <v>0</v>
      </c>
      <c r="I41" s="171">
        <f t="shared" si="11"/>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9"/>
        <v>0</v>
      </c>
      <c r="F42" s="767">
        <f>SUMIF(修正!A57:A68,G2,修正!G57:G68)</f>
        <v>0.15</v>
      </c>
      <c r="G42" s="187">
        <f>ROUND(IF(E2="工业",C42*$M$42,C42*$M$41),0)</f>
        <v>974</v>
      </c>
      <c r="H42" s="187">
        <f t="shared" si="10"/>
        <v>0</v>
      </c>
      <c r="I42" s="187">
        <f t="shared" si="11"/>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12">SUMIF($J$49:$N$49,C50,J50:N50)</f>
        <v>2.9600000000000001E-2</v>
      </c>
      <c r="E50" s="744">
        <f>ROUND(SUM(D50:D58),4)</f>
        <v>6.7599999999999993E-2</v>
      </c>
      <c r="F50" s="1814">
        <f>IF(E2="商业",SUMIF(L1:L12,G2,N1:N12),"——")</f>
        <v>9.9000000000000005E-2</v>
      </c>
      <c r="G50" s="1063">
        <f>H50</f>
        <v>1.4800000000000001E-2</v>
      </c>
      <c r="H50" s="1066">
        <f t="shared" ref="H50:H58" si="13">IFERROR(ROUNDDOWN($F$50*I50/2,4),"——")</f>
        <v>1.4800000000000001E-2</v>
      </c>
      <c r="I50" s="3366">
        <v>0.3</v>
      </c>
      <c r="J50" s="1064">
        <f t="shared" ref="J50:J58" si="14">K50+$G50</f>
        <v>2.9600000000000001E-2</v>
      </c>
      <c r="K50" s="1064">
        <f t="shared" ref="K50:K58" si="15">$L50+$G50</f>
        <v>1.4800000000000001E-2</v>
      </c>
      <c r="L50" s="1064">
        <v>0</v>
      </c>
      <c r="M50" s="1064">
        <f t="shared" ref="M50:N58" si="16">L50-$G50</f>
        <v>-1.4800000000000001E-2</v>
      </c>
      <c r="N50" s="1064">
        <f t="shared" si="16"/>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12"/>
        <v>1.0800000000000001E-2</v>
      </c>
      <c r="E51" s="745"/>
      <c r="F51" s="1814"/>
      <c r="G51" s="1063">
        <f t="shared" ref="G51:G58" si="17">H51</f>
        <v>1.0800000000000001E-2</v>
      </c>
      <c r="H51" s="1066">
        <f t="shared" si="13"/>
        <v>1.0800000000000001E-2</v>
      </c>
      <c r="I51" s="3366">
        <v>0.22</v>
      </c>
      <c r="J51" s="1064">
        <f t="shared" si="14"/>
        <v>2.1600000000000001E-2</v>
      </c>
      <c r="K51" s="1064">
        <f t="shared" si="15"/>
        <v>1.0800000000000001E-2</v>
      </c>
      <c r="L51" s="1064">
        <v>0</v>
      </c>
      <c r="M51" s="1064">
        <f t="shared" si="16"/>
        <v>-1.0800000000000001E-2</v>
      </c>
      <c r="N51" s="1064">
        <f t="shared" si="16"/>
        <v>-2.1600000000000001E-2</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t="s">
        <v>3405</v>
      </c>
      <c r="D52" s="1065">
        <f t="shared" si="12"/>
        <v>5.8999999999999999E-3</v>
      </c>
      <c r="E52" s="745"/>
      <c r="F52" s="1814"/>
      <c r="G52" s="1063">
        <f t="shared" si="17"/>
        <v>5.8999999999999999E-3</v>
      </c>
      <c r="H52" s="1066">
        <f t="shared" si="13"/>
        <v>5.8999999999999999E-3</v>
      </c>
      <c r="I52" s="3366">
        <v>0.12</v>
      </c>
      <c r="J52" s="1064">
        <f t="shared" si="14"/>
        <v>1.18E-2</v>
      </c>
      <c r="K52" s="1064">
        <f t="shared" si="15"/>
        <v>5.8999999999999999E-3</v>
      </c>
      <c r="L52" s="1064">
        <v>0</v>
      </c>
      <c r="M52" s="1064">
        <f t="shared" si="16"/>
        <v>-5.8999999999999999E-3</v>
      </c>
      <c r="N52" s="1064">
        <f t="shared" si="16"/>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12"/>
        <v>2.3999999999999998E-3</v>
      </c>
      <c r="E53" s="745"/>
      <c r="F53" s="1814"/>
      <c r="G53" s="1063">
        <f t="shared" si="17"/>
        <v>2.3999999999999998E-3</v>
      </c>
      <c r="H53" s="1066">
        <f t="shared" si="13"/>
        <v>2.3999999999999998E-3</v>
      </c>
      <c r="I53" s="3366">
        <v>0.05</v>
      </c>
      <c r="J53" s="1064">
        <f t="shared" si="14"/>
        <v>4.7999999999999996E-3</v>
      </c>
      <c r="K53" s="1064">
        <f t="shared" si="15"/>
        <v>2.3999999999999998E-3</v>
      </c>
      <c r="L53" s="1064">
        <v>0</v>
      </c>
      <c r="M53" s="1064">
        <f t="shared" si="16"/>
        <v>-2.3999999999999998E-3</v>
      </c>
      <c r="N53" s="1064">
        <f t="shared" si="16"/>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12"/>
        <v>3.8999999999999998E-3</v>
      </c>
      <c r="E54" s="745"/>
      <c r="F54" s="1814"/>
      <c r="G54" s="1063">
        <f t="shared" si="17"/>
        <v>3.8999999999999998E-3</v>
      </c>
      <c r="H54" s="1066">
        <f t="shared" si="13"/>
        <v>3.8999999999999998E-3</v>
      </c>
      <c r="I54" s="3366">
        <v>0.08</v>
      </c>
      <c r="J54" s="1064">
        <f t="shared" si="14"/>
        <v>7.7999999999999996E-3</v>
      </c>
      <c r="K54" s="1064">
        <f t="shared" si="15"/>
        <v>3.8999999999999998E-3</v>
      </c>
      <c r="L54" s="1064">
        <v>0</v>
      </c>
      <c r="M54" s="1064">
        <f t="shared" si="16"/>
        <v>-3.8999999999999998E-3</v>
      </c>
      <c r="N54" s="1064">
        <f t="shared" si="16"/>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12"/>
        <v>2.3999999999999998E-3</v>
      </c>
      <c r="E55" s="745"/>
      <c r="F55" s="1814"/>
      <c r="G55" s="1063">
        <f t="shared" si="17"/>
        <v>2.3999999999999998E-3</v>
      </c>
      <c r="H55" s="1066">
        <f t="shared" si="13"/>
        <v>2.3999999999999998E-3</v>
      </c>
      <c r="I55" s="3366">
        <v>0.05</v>
      </c>
      <c r="J55" s="1064">
        <f t="shared" si="14"/>
        <v>4.7999999999999996E-3</v>
      </c>
      <c r="K55" s="1064">
        <f t="shared" si="15"/>
        <v>2.3999999999999998E-3</v>
      </c>
      <c r="L55" s="1064">
        <v>0</v>
      </c>
      <c r="M55" s="1064">
        <f t="shared" si="16"/>
        <v>-2.3999999999999998E-3</v>
      </c>
      <c r="N55" s="1064">
        <f t="shared" si="16"/>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12"/>
        <v>2.3999999999999998E-3</v>
      </c>
      <c r="E56" s="745"/>
      <c r="F56" s="1814"/>
      <c r="G56" s="1063">
        <f t="shared" si="17"/>
        <v>2.3999999999999998E-3</v>
      </c>
      <c r="H56" s="1066">
        <f t="shared" si="13"/>
        <v>2.3999999999999998E-3</v>
      </c>
      <c r="I56" s="3366">
        <v>0.05</v>
      </c>
      <c r="J56" s="1064">
        <f t="shared" si="14"/>
        <v>4.7999999999999996E-3</v>
      </c>
      <c r="K56" s="1064">
        <f t="shared" si="15"/>
        <v>2.3999999999999998E-3</v>
      </c>
      <c r="L56" s="1064">
        <v>0</v>
      </c>
      <c r="M56" s="1064">
        <f t="shared" si="16"/>
        <v>-2.3999999999999998E-3</v>
      </c>
      <c r="N56" s="1064">
        <f t="shared" si="16"/>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12"/>
        <v>7.7999999999999996E-3</v>
      </c>
      <c r="E57" s="745"/>
      <c r="F57" s="1814"/>
      <c r="G57" s="1063">
        <f t="shared" si="17"/>
        <v>3.8999999999999998E-3</v>
      </c>
      <c r="H57" s="1066">
        <f t="shared" si="13"/>
        <v>3.8999999999999998E-3</v>
      </c>
      <c r="I57" s="3366">
        <v>0.08</v>
      </c>
      <c r="J57" s="1064">
        <f t="shared" si="14"/>
        <v>7.7999999999999996E-3</v>
      </c>
      <c r="K57" s="1064">
        <f t="shared" si="15"/>
        <v>3.8999999999999998E-3</v>
      </c>
      <c r="L57" s="1064">
        <v>0</v>
      </c>
      <c r="M57" s="1064">
        <f t="shared" si="16"/>
        <v>-3.8999999999999998E-3</v>
      </c>
      <c r="N57" s="1064">
        <f t="shared" si="16"/>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12"/>
        <v>2.3999999999999998E-3</v>
      </c>
      <c r="E58" s="746"/>
      <c r="F58" s="1814"/>
      <c r="G58" s="1063">
        <f t="shared" si="17"/>
        <v>2.3999999999999998E-3</v>
      </c>
      <c r="H58" s="1066">
        <f t="shared" si="13"/>
        <v>2.3999999999999998E-3</v>
      </c>
      <c r="I58" s="3367">
        <v>0.05</v>
      </c>
      <c r="J58" s="1064">
        <f t="shared" si="14"/>
        <v>4.7999999999999996E-3</v>
      </c>
      <c r="K58" s="1064">
        <f t="shared" si="15"/>
        <v>2.3999999999999998E-3</v>
      </c>
      <c r="L58" s="1064">
        <v>0</v>
      </c>
      <c r="M58" s="1064">
        <f t="shared" si="16"/>
        <v>-2.3999999999999998E-3</v>
      </c>
      <c r="N58" s="1064">
        <f t="shared" si="16"/>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8">SUMIF($J$60:$N$60,C61,J61:N61)</f>
        <v>0</v>
      </c>
      <c r="E61" s="744">
        <f>ROUND(SUM(D61:D69),4)</f>
        <v>0</v>
      </c>
      <c r="F61" s="1814" t="str">
        <f>IF(E2="办公",SUMIF(L1:L12,G2,N1:N12),"——")</f>
        <v>——</v>
      </c>
      <c r="G61" s="1063"/>
      <c r="H61" s="1066" t="str">
        <f t="shared" ref="H61:H69" si="19">IFERROR(ROUNDDOWN($F$61*I61/2,4),"——")</f>
        <v>——</v>
      </c>
      <c r="I61" s="3366">
        <v>0.25</v>
      </c>
      <c r="J61" s="1064">
        <f t="shared" ref="J61:J69" si="20">K61+$G61</f>
        <v>0</v>
      </c>
      <c r="K61" s="1064">
        <f t="shared" ref="K61:K69" si="21">$L61+$G61</f>
        <v>0</v>
      </c>
      <c r="L61" s="1064">
        <v>0</v>
      </c>
      <c r="M61" s="1064">
        <f t="shared" ref="M61:N69" si="22">L61-$G61</f>
        <v>0</v>
      </c>
      <c r="N61" s="1064">
        <f t="shared" si="22"/>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8"/>
        <v>0</v>
      </c>
      <c r="E62" s="745"/>
      <c r="F62" s="1814"/>
      <c r="G62" s="1063"/>
      <c r="H62" s="1066" t="str">
        <f t="shared" si="19"/>
        <v>——</v>
      </c>
      <c r="I62" s="3366">
        <v>0.26</v>
      </c>
      <c r="J62" s="1064">
        <f t="shared" si="20"/>
        <v>0</v>
      </c>
      <c r="K62" s="1064">
        <f t="shared" si="21"/>
        <v>0</v>
      </c>
      <c r="L62" s="1064">
        <v>0</v>
      </c>
      <c r="M62" s="1064">
        <f t="shared" si="22"/>
        <v>0</v>
      </c>
      <c r="N62" s="1064">
        <f t="shared" si="22"/>
        <v>0</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c r="D63" s="1065">
        <f t="shared" si="18"/>
        <v>0</v>
      </c>
      <c r="E63" s="745"/>
      <c r="F63" s="1814"/>
      <c r="G63" s="1063"/>
      <c r="H63" s="1066" t="str">
        <f t="shared" si="19"/>
        <v>——</v>
      </c>
      <c r="I63" s="3366">
        <v>0.11</v>
      </c>
      <c r="J63" s="1064">
        <f t="shared" si="20"/>
        <v>0</v>
      </c>
      <c r="K63" s="1064">
        <f t="shared" si="21"/>
        <v>0</v>
      </c>
      <c r="L63" s="1064">
        <v>0</v>
      </c>
      <c r="M63" s="1064">
        <f t="shared" si="22"/>
        <v>0</v>
      </c>
      <c r="N63" s="1064">
        <f t="shared" si="22"/>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8"/>
        <v>0</v>
      </c>
      <c r="E64" s="745"/>
      <c r="F64" s="1814"/>
      <c r="G64" s="1063"/>
      <c r="H64" s="1066" t="str">
        <f t="shared" si="19"/>
        <v>——</v>
      </c>
      <c r="I64" s="3366">
        <v>0.05</v>
      </c>
      <c r="J64" s="1064">
        <f t="shared" si="20"/>
        <v>0</v>
      </c>
      <c r="K64" s="1064">
        <f t="shared" si="21"/>
        <v>0</v>
      </c>
      <c r="L64" s="1064">
        <v>0</v>
      </c>
      <c r="M64" s="1064">
        <f t="shared" si="22"/>
        <v>0</v>
      </c>
      <c r="N64" s="1064">
        <f t="shared" si="22"/>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8"/>
        <v>0</v>
      </c>
      <c r="E65" s="745"/>
      <c r="F65" s="1814"/>
      <c r="G65" s="1063"/>
      <c r="H65" s="1066" t="str">
        <f t="shared" si="19"/>
        <v>——</v>
      </c>
      <c r="I65" s="3366">
        <v>0.05</v>
      </c>
      <c r="J65" s="1064">
        <f t="shared" si="20"/>
        <v>0</v>
      </c>
      <c r="K65" s="1064">
        <f t="shared" si="21"/>
        <v>0</v>
      </c>
      <c r="L65" s="1064">
        <v>0</v>
      </c>
      <c r="M65" s="1064">
        <f t="shared" si="22"/>
        <v>0</v>
      </c>
      <c r="N65" s="1064">
        <f t="shared" si="22"/>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8"/>
        <v>0</v>
      </c>
      <c r="E66" s="745"/>
      <c r="F66" s="1814"/>
      <c r="G66" s="1063"/>
      <c r="H66" s="1066" t="str">
        <f t="shared" si="19"/>
        <v>——</v>
      </c>
      <c r="I66" s="3366">
        <v>0.06</v>
      </c>
      <c r="J66" s="1064">
        <f t="shared" si="20"/>
        <v>0</v>
      </c>
      <c r="K66" s="1064">
        <f t="shared" si="21"/>
        <v>0</v>
      </c>
      <c r="L66" s="1064">
        <v>0</v>
      </c>
      <c r="M66" s="1064">
        <f t="shared" si="22"/>
        <v>0</v>
      </c>
      <c r="N66" s="1064">
        <f t="shared" si="22"/>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8"/>
        <v>0</v>
      </c>
      <c r="E67" s="745"/>
      <c r="F67" s="1814"/>
      <c r="G67" s="1063"/>
      <c r="H67" s="1066" t="str">
        <f t="shared" si="19"/>
        <v>——</v>
      </c>
      <c r="I67" s="3366">
        <v>0.06</v>
      </c>
      <c r="J67" s="1064">
        <f t="shared" si="20"/>
        <v>0</v>
      </c>
      <c r="K67" s="1064">
        <f t="shared" si="21"/>
        <v>0</v>
      </c>
      <c r="L67" s="1064">
        <v>0</v>
      </c>
      <c r="M67" s="1064">
        <f t="shared" si="22"/>
        <v>0</v>
      </c>
      <c r="N67" s="1064">
        <f t="shared" si="22"/>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8"/>
        <v>0</v>
      </c>
      <c r="E68" s="745"/>
      <c r="F68" s="1814"/>
      <c r="G68" s="1063"/>
      <c r="H68" s="1066" t="str">
        <f t="shared" si="19"/>
        <v>——</v>
      </c>
      <c r="I68" s="3366">
        <v>0.09</v>
      </c>
      <c r="J68" s="1064">
        <f t="shared" si="20"/>
        <v>0</v>
      </c>
      <c r="K68" s="1064">
        <f t="shared" si="21"/>
        <v>0</v>
      </c>
      <c r="L68" s="1064">
        <v>0</v>
      </c>
      <c r="M68" s="1064">
        <f t="shared" si="22"/>
        <v>0</v>
      </c>
      <c r="N68" s="1064">
        <f t="shared" si="22"/>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8"/>
        <v>0</v>
      </c>
      <c r="E69" s="746"/>
      <c r="F69" s="1814"/>
      <c r="G69" s="1063"/>
      <c r="H69" s="1066" t="str">
        <f t="shared" si="19"/>
        <v>——</v>
      </c>
      <c r="I69" s="3367">
        <v>7.0000000000000007E-2</v>
      </c>
      <c r="J69" s="1064">
        <f t="shared" si="20"/>
        <v>0</v>
      </c>
      <c r="K69" s="1064">
        <f t="shared" si="21"/>
        <v>0</v>
      </c>
      <c r="L69" s="1064">
        <v>0</v>
      </c>
      <c r="M69" s="1064">
        <f t="shared" si="22"/>
        <v>0</v>
      </c>
      <c r="N69" s="1064">
        <f t="shared" si="22"/>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23">SUMIF($J$71:$N$71,C72,J72:N72)</f>
        <v>0</v>
      </c>
      <c r="E72" s="744">
        <f>ROUND(SUM(D72:D80),4)</f>
        <v>0</v>
      </c>
      <c r="F72" s="1814" t="str">
        <f>IF(E2="住宅",SUMIF(L1:L12,G2,N1:N12),"——")</f>
        <v>——</v>
      </c>
      <c r="G72" s="1063"/>
      <c r="H72" s="1066" t="str">
        <f t="shared" ref="H72:H80" si="24">IFERROR(ROUNDDOWN($F$72*I72/2,4),"——")</f>
        <v>——</v>
      </c>
      <c r="I72" s="3366">
        <v>0.2</v>
      </c>
      <c r="J72" s="1064">
        <f t="shared" ref="J72:J80" si="25">K72+$G72</f>
        <v>0</v>
      </c>
      <c r="K72" s="1064">
        <f t="shared" ref="K72:K80" si="26">$L72+$G72</f>
        <v>0</v>
      </c>
      <c r="L72" s="1064">
        <v>0</v>
      </c>
      <c r="M72" s="1064">
        <f t="shared" ref="M72:N80" si="27">L72-$G72</f>
        <v>0</v>
      </c>
      <c r="N72" s="1064">
        <f t="shared" si="27"/>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23"/>
        <v>0</v>
      </c>
      <c r="E73" s="747"/>
      <c r="F73" s="1814"/>
      <c r="G73" s="1063"/>
      <c r="H73" s="1066" t="str">
        <f t="shared" si="24"/>
        <v>——</v>
      </c>
      <c r="I73" s="3366">
        <v>0.26</v>
      </c>
      <c r="J73" s="1064">
        <f t="shared" si="25"/>
        <v>0</v>
      </c>
      <c r="K73" s="1064">
        <f t="shared" si="26"/>
        <v>0</v>
      </c>
      <c r="L73" s="1064">
        <v>0</v>
      </c>
      <c r="M73" s="1064">
        <f t="shared" si="27"/>
        <v>0</v>
      </c>
      <c r="N73" s="1064">
        <f t="shared" si="27"/>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23"/>
        <v>0</v>
      </c>
      <c r="E74" s="747"/>
      <c r="F74" s="1814"/>
      <c r="G74" s="1063"/>
      <c r="H74" s="1066" t="str">
        <f t="shared" si="24"/>
        <v>——</v>
      </c>
      <c r="I74" s="3366">
        <v>0.1</v>
      </c>
      <c r="J74" s="1064">
        <f t="shared" si="25"/>
        <v>0</v>
      </c>
      <c r="K74" s="1064">
        <f t="shared" si="26"/>
        <v>0</v>
      </c>
      <c r="L74" s="1064">
        <v>0</v>
      </c>
      <c r="M74" s="1064">
        <f t="shared" si="27"/>
        <v>0</v>
      </c>
      <c r="N74" s="1064">
        <f t="shared" si="27"/>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23"/>
        <v>0</v>
      </c>
      <c r="E75" s="747"/>
      <c r="F75" s="1814"/>
      <c r="G75" s="1063"/>
      <c r="H75" s="1066" t="str">
        <f t="shared" si="24"/>
        <v>——</v>
      </c>
      <c r="I75" s="3366">
        <v>0.05</v>
      </c>
      <c r="J75" s="1064">
        <f t="shared" si="25"/>
        <v>0</v>
      </c>
      <c r="K75" s="1064">
        <f t="shared" si="26"/>
        <v>0</v>
      </c>
      <c r="L75" s="1064">
        <v>0</v>
      </c>
      <c r="M75" s="1064">
        <f t="shared" si="27"/>
        <v>0</v>
      </c>
      <c r="N75" s="1064">
        <f t="shared" si="27"/>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23"/>
        <v>0</v>
      </c>
      <c r="E76" s="747"/>
      <c r="F76" s="1814"/>
      <c r="G76" s="1063"/>
      <c r="H76" s="1066" t="str">
        <f t="shared" si="24"/>
        <v>——</v>
      </c>
      <c r="I76" s="3366">
        <v>0.08</v>
      </c>
      <c r="J76" s="1064">
        <f t="shared" si="25"/>
        <v>0</v>
      </c>
      <c r="K76" s="1064">
        <f t="shared" si="26"/>
        <v>0</v>
      </c>
      <c r="L76" s="1064">
        <v>0</v>
      </c>
      <c r="M76" s="1064">
        <f t="shared" si="27"/>
        <v>0</v>
      </c>
      <c r="N76" s="1064">
        <f t="shared" si="27"/>
        <v>0</v>
      </c>
      <c r="O76" s="1119"/>
      <c r="P76" s="1119"/>
      <c r="Z76" s="1998"/>
      <c r="AA76" s="2053"/>
      <c r="AG76" s="1121"/>
      <c r="AK76" s="2053"/>
    </row>
    <row r="77" spans="1:37" ht="25.5">
      <c r="A77" s="2130" t="s">
        <v>2060</v>
      </c>
      <c r="B77" s="1326" t="str">
        <f>估价对象房地状况!C22</f>
        <v>估价对象所在区域基础设施水平</v>
      </c>
      <c r="C77" s="2044"/>
      <c r="D77" s="1065">
        <f t="shared" si="23"/>
        <v>0</v>
      </c>
      <c r="E77" s="747"/>
      <c r="F77" s="1814"/>
      <c r="G77" s="1063"/>
      <c r="H77" s="1066" t="str">
        <f t="shared" si="24"/>
        <v>——</v>
      </c>
      <c r="I77" s="3366">
        <v>0.09</v>
      </c>
      <c r="J77" s="1064">
        <f t="shared" si="25"/>
        <v>0</v>
      </c>
      <c r="K77" s="1064">
        <f t="shared" si="26"/>
        <v>0</v>
      </c>
      <c r="L77" s="1064">
        <v>0</v>
      </c>
      <c r="M77" s="1064">
        <f t="shared" si="27"/>
        <v>0</v>
      </c>
      <c r="N77" s="1064">
        <f t="shared" si="27"/>
        <v>0</v>
      </c>
      <c r="O77" s="1119"/>
      <c r="P77" s="1119"/>
      <c r="Z77" s="1998"/>
      <c r="AA77" s="2053"/>
      <c r="AG77" s="1121"/>
      <c r="AK77" s="2053"/>
    </row>
    <row r="78" spans="1:37" ht="24">
      <c r="A78" s="2130" t="s">
        <v>2057</v>
      </c>
      <c r="B78" s="2136" t="s">
        <v>2058</v>
      </c>
      <c r="C78" s="2044"/>
      <c r="D78" s="1065">
        <f t="shared" si="23"/>
        <v>0</v>
      </c>
      <c r="E78" s="747"/>
      <c r="F78" s="1814"/>
      <c r="G78" s="1063"/>
      <c r="H78" s="1066" t="str">
        <f t="shared" si="24"/>
        <v>——</v>
      </c>
      <c r="I78" s="3366">
        <v>0.05</v>
      </c>
      <c r="J78" s="1064">
        <f t="shared" si="25"/>
        <v>0</v>
      </c>
      <c r="K78" s="1064">
        <f t="shared" si="26"/>
        <v>0</v>
      </c>
      <c r="L78" s="1064">
        <v>0</v>
      </c>
      <c r="M78" s="1064">
        <f t="shared" si="27"/>
        <v>0</v>
      </c>
      <c r="N78" s="1064">
        <f t="shared" si="27"/>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23"/>
        <v>0</v>
      </c>
      <c r="E79" s="747"/>
      <c r="F79" s="1814"/>
      <c r="G79" s="1063"/>
      <c r="H79" s="1066" t="str">
        <f t="shared" si="24"/>
        <v>——</v>
      </c>
      <c r="I79" s="3366">
        <v>0.12</v>
      </c>
      <c r="J79" s="1064">
        <f t="shared" si="25"/>
        <v>0</v>
      </c>
      <c r="K79" s="1064">
        <f t="shared" si="26"/>
        <v>0</v>
      </c>
      <c r="L79" s="1064">
        <v>0</v>
      </c>
      <c r="M79" s="1064">
        <f t="shared" si="27"/>
        <v>0</v>
      </c>
      <c r="N79" s="1064">
        <f t="shared" si="27"/>
        <v>0</v>
      </c>
      <c r="Z79" s="1998"/>
      <c r="AA79" s="2053"/>
      <c r="AG79" s="1121"/>
      <c r="AK79" s="2053"/>
    </row>
    <row r="80" spans="1:37" ht="24.75" thickBot="1">
      <c r="A80" s="2138" t="s">
        <v>2068</v>
      </c>
      <c r="B80" s="2142"/>
      <c r="C80" s="2044"/>
      <c r="D80" s="1065">
        <f t="shared" si="23"/>
        <v>0</v>
      </c>
      <c r="E80" s="748"/>
      <c r="F80" s="1814"/>
      <c r="G80" s="1063"/>
      <c r="H80" s="1066" t="str">
        <f t="shared" si="24"/>
        <v>——</v>
      </c>
      <c r="I80" s="3367">
        <v>0.05</v>
      </c>
      <c r="J80" s="1064">
        <f t="shared" si="25"/>
        <v>0</v>
      </c>
      <c r="K80" s="1064">
        <f t="shared" si="26"/>
        <v>0</v>
      </c>
      <c r="L80" s="1064">
        <v>0</v>
      </c>
      <c r="M80" s="1064">
        <f t="shared" si="27"/>
        <v>0</v>
      </c>
      <c r="N80" s="1064">
        <f t="shared" si="27"/>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8">SUMIF($J$82:$N$82,C83,J83:N83)</f>
        <v>0</v>
      </c>
      <c r="E83" s="744">
        <f>ROUND(SUM(D83:D90),4)</f>
        <v>0</v>
      </c>
      <c r="F83" s="1814" t="str">
        <f>IF(E2="工业",SUMIF(L1:L12,G2,N1:N12),"——")</f>
        <v>——</v>
      </c>
      <c r="G83" s="1063"/>
      <c r="H83" s="1066" t="str">
        <f t="shared" ref="H83:H90" si="29">IFERROR(ROUNDDOWN($F$83*I83/2,4),"——")</f>
        <v>——</v>
      </c>
      <c r="I83" s="3366">
        <v>0.26</v>
      </c>
      <c r="J83" s="1064">
        <f t="shared" ref="J83:J90" si="30">K83+$G83</f>
        <v>0</v>
      </c>
      <c r="K83" s="1064">
        <f t="shared" ref="K83:K90" si="31">$L83+$G83</f>
        <v>0</v>
      </c>
      <c r="L83" s="1064">
        <v>0</v>
      </c>
      <c r="M83" s="1064">
        <f t="shared" ref="M83:N90" si="32">L83-$G83</f>
        <v>0</v>
      </c>
      <c r="N83" s="1064">
        <f t="shared" si="32"/>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8"/>
        <v>0</v>
      </c>
      <c r="E84" s="747"/>
      <c r="F84" s="1814"/>
      <c r="G84" s="1063"/>
      <c r="H84" s="1066" t="str">
        <f t="shared" si="29"/>
        <v>——</v>
      </c>
      <c r="I84" s="3366">
        <v>0.3</v>
      </c>
      <c r="J84" s="1064">
        <f t="shared" si="30"/>
        <v>0</v>
      </c>
      <c r="K84" s="1064">
        <f t="shared" si="31"/>
        <v>0</v>
      </c>
      <c r="L84" s="1064">
        <v>0</v>
      </c>
      <c r="M84" s="1064">
        <f t="shared" si="32"/>
        <v>0</v>
      </c>
      <c r="N84" s="1064">
        <f t="shared" si="32"/>
        <v>0</v>
      </c>
      <c r="Z84" s="1998"/>
      <c r="AA84" s="2053"/>
      <c r="AG84" s="1121"/>
      <c r="AK84" s="2053"/>
    </row>
    <row r="85" spans="1:37" ht="36">
      <c r="A85" s="3368" t="s">
        <v>3276</v>
      </c>
      <c r="B85" s="2134">
        <f>估价对象房地状况!G17</f>
        <v>0</v>
      </c>
      <c r="C85" s="2044"/>
      <c r="D85" s="1065">
        <f t="shared" si="28"/>
        <v>0</v>
      </c>
      <c r="E85" s="747"/>
      <c r="F85" s="1814"/>
      <c r="G85" s="1063"/>
      <c r="H85" s="1066" t="str">
        <f t="shared" si="29"/>
        <v>——</v>
      </c>
      <c r="I85" s="3366">
        <v>0.1</v>
      </c>
      <c r="J85" s="1064">
        <f t="shared" si="30"/>
        <v>0</v>
      </c>
      <c r="K85" s="1064">
        <f t="shared" si="31"/>
        <v>0</v>
      </c>
      <c r="L85" s="1064">
        <v>0</v>
      </c>
      <c r="M85" s="1064">
        <f t="shared" si="32"/>
        <v>0</v>
      </c>
      <c r="N85" s="1064">
        <f t="shared" si="32"/>
        <v>0</v>
      </c>
      <c r="Z85" s="1998"/>
      <c r="AA85" s="2053"/>
      <c r="AG85" s="1121"/>
      <c r="AK85" s="2053"/>
    </row>
    <row r="86" spans="1:37" ht="14.25">
      <c r="A86" s="2130" t="s">
        <v>2067</v>
      </c>
      <c r="B86" s="2134">
        <f>估价对象房地状况!G22</f>
        <v>0</v>
      </c>
      <c r="C86" s="2044"/>
      <c r="D86" s="1065">
        <f t="shared" si="28"/>
        <v>0</v>
      </c>
      <c r="E86" s="747"/>
      <c r="F86" s="1814"/>
      <c r="G86" s="1063"/>
      <c r="H86" s="1066" t="str">
        <f t="shared" si="29"/>
        <v>——</v>
      </c>
      <c r="I86" s="3366">
        <v>0.05</v>
      </c>
      <c r="J86" s="1064">
        <f t="shared" si="30"/>
        <v>0</v>
      </c>
      <c r="K86" s="1064">
        <f t="shared" si="31"/>
        <v>0</v>
      </c>
      <c r="L86" s="1064">
        <v>0</v>
      </c>
      <c r="M86" s="1064">
        <f t="shared" si="32"/>
        <v>0</v>
      </c>
      <c r="N86" s="1064">
        <f t="shared" si="32"/>
        <v>0</v>
      </c>
      <c r="Z86" s="1998"/>
      <c r="AA86" s="2053"/>
      <c r="AG86" s="1121"/>
      <c r="AK86" s="2053"/>
    </row>
    <row r="87" spans="1:37" ht="25.5">
      <c r="A87" s="2130" t="s">
        <v>2059</v>
      </c>
      <c r="B87" s="1326" t="str">
        <f>估价对象房地状况!G19</f>
        <v>估价对象所在区域公共配套设施齐备情况</v>
      </c>
      <c r="C87" s="2044"/>
      <c r="D87" s="1065">
        <f t="shared" si="28"/>
        <v>0</v>
      </c>
      <c r="E87" s="747"/>
      <c r="F87" s="1814"/>
      <c r="G87" s="1063"/>
      <c r="H87" s="1066" t="str">
        <f t="shared" si="29"/>
        <v>——</v>
      </c>
      <c r="I87" s="3366">
        <v>0.06</v>
      </c>
      <c r="J87" s="1064">
        <f t="shared" si="30"/>
        <v>0</v>
      </c>
      <c r="K87" s="1064">
        <f t="shared" si="31"/>
        <v>0</v>
      </c>
      <c r="L87" s="1064">
        <v>0</v>
      </c>
      <c r="M87" s="1064">
        <f t="shared" si="32"/>
        <v>0</v>
      </c>
      <c r="N87" s="1064">
        <f t="shared" si="32"/>
        <v>0</v>
      </c>
    </row>
    <row r="88" spans="1:37" ht="25.5">
      <c r="A88" s="2130" t="s">
        <v>2060</v>
      </c>
      <c r="B88" s="1326" t="str">
        <f>估价对象房地状况!G20</f>
        <v>估价对象所在区域基础设施水平</v>
      </c>
      <c r="C88" s="2044"/>
      <c r="D88" s="1065">
        <f t="shared" si="28"/>
        <v>0</v>
      </c>
      <c r="E88" s="747"/>
      <c r="F88" s="1814"/>
      <c r="G88" s="1063"/>
      <c r="H88" s="1066" t="str">
        <f t="shared" si="29"/>
        <v>——</v>
      </c>
      <c r="I88" s="3366">
        <v>0.12</v>
      </c>
      <c r="J88" s="1064">
        <f t="shared" si="30"/>
        <v>0</v>
      </c>
      <c r="K88" s="1064">
        <f t="shared" si="31"/>
        <v>0</v>
      </c>
      <c r="L88" s="1064">
        <v>0</v>
      </c>
      <c r="M88" s="1064">
        <f t="shared" si="32"/>
        <v>0</v>
      </c>
      <c r="N88" s="1064">
        <f t="shared" si="32"/>
        <v>0</v>
      </c>
    </row>
    <row r="89" spans="1:37" ht="24">
      <c r="A89" s="2130" t="s">
        <v>2057</v>
      </c>
      <c r="B89" s="2136" t="s">
        <v>2071</v>
      </c>
      <c r="C89" s="2044"/>
      <c r="D89" s="1065">
        <f t="shared" si="28"/>
        <v>0</v>
      </c>
      <c r="E89" s="747"/>
      <c r="F89" s="1814"/>
      <c r="G89" s="1063"/>
      <c r="H89" s="1066" t="str">
        <f t="shared" si="29"/>
        <v>——</v>
      </c>
      <c r="I89" s="3366">
        <v>0.06</v>
      </c>
      <c r="J89" s="1064">
        <f t="shared" si="30"/>
        <v>0</v>
      </c>
      <c r="K89" s="1064">
        <f t="shared" si="31"/>
        <v>0</v>
      </c>
      <c r="L89" s="1064">
        <v>0</v>
      </c>
      <c r="M89" s="1064">
        <f t="shared" si="32"/>
        <v>0</v>
      </c>
      <c r="N89" s="1064">
        <f t="shared" si="32"/>
        <v>0</v>
      </c>
    </row>
    <row r="90" spans="1:37" ht="39" thickBot="1">
      <c r="A90" s="2138" t="s">
        <v>2072</v>
      </c>
      <c r="B90" s="2143" t="str">
        <f>估价对象房地状况!G18</f>
        <v>该园区内是否有污染型企业，绿化情况，卫生条件，整体环境状况判断</v>
      </c>
      <c r="C90" s="2044"/>
      <c r="D90" s="1065">
        <f t="shared" si="28"/>
        <v>0</v>
      </c>
      <c r="E90" s="748"/>
      <c r="F90" s="1814"/>
      <c r="G90" s="1063"/>
      <c r="H90" s="1066" t="str">
        <f t="shared" si="29"/>
        <v>——</v>
      </c>
      <c r="I90" s="3367">
        <v>0.05</v>
      </c>
      <c r="J90" s="1064">
        <f t="shared" si="30"/>
        <v>0</v>
      </c>
      <c r="K90" s="1064">
        <f t="shared" si="31"/>
        <v>0</v>
      </c>
      <c r="L90" s="1064">
        <v>0</v>
      </c>
      <c r="M90" s="1064">
        <f t="shared" si="32"/>
        <v>0</v>
      </c>
      <c r="N90" s="1064">
        <f t="shared" si="32"/>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33">K93+$G93</f>
        <v>0</v>
      </c>
      <c r="K93" s="3344">
        <f t="shared" ref="K93:K101" si="34">$L93+$G93</f>
        <v>0</v>
      </c>
      <c r="L93" s="3344">
        <v>0</v>
      </c>
      <c r="M93" s="3344">
        <f t="shared" ref="M93:N101" si="35">L93-$G93</f>
        <v>0</v>
      </c>
      <c r="N93" s="3344">
        <f t="shared" si="35"/>
        <v>0</v>
      </c>
    </row>
    <row r="94" spans="1:37" ht="38.25">
      <c r="A94" s="3378" t="s">
        <v>3279</v>
      </c>
      <c r="B94" s="3369" t="str">
        <f>估价对象房地状况!C18</f>
        <v>估价对象周边道路状况、公共交通通达情况、停车便捷程度，综合评价交通便捷度较好</v>
      </c>
      <c r="C94" s="2044"/>
      <c r="D94" s="3365">
        <f t="shared" ref="D94:D101" si="36">SUMIF($J$60:$N$60,C94,J94:N94)</f>
        <v>0</v>
      </c>
      <c r="E94" s="3382"/>
      <c r="F94" s="1814"/>
      <c r="G94" s="3372"/>
      <c r="H94" s="3420" t="str">
        <f>IFERROR(ROUNDDOWN($F$93*I94/2,4),"——")</f>
        <v>——</v>
      </c>
      <c r="I94" s="3366">
        <v>0.26</v>
      </c>
      <c r="J94" s="3344">
        <f t="shared" si="33"/>
        <v>0</v>
      </c>
      <c r="K94" s="3344">
        <f t="shared" si="34"/>
        <v>0</v>
      </c>
      <c r="L94" s="3344">
        <v>0</v>
      </c>
      <c r="M94" s="3344">
        <f t="shared" si="35"/>
        <v>0</v>
      </c>
      <c r="N94" s="3344">
        <f t="shared" si="35"/>
        <v>0</v>
      </c>
    </row>
    <row r="95" spans="1:37" ht="36">
      <c r="A95" s="3368" t="s">
        <v>3275</v>
      </c>
      <c r="B95" s="3369">
        <f>估价对象房地状况!C19</f>
        <v>0</v>
      </c>
      <c r="C95" s="2044"/>
      <c r="D95" s="3365">
        <f t="shared" si="36"/>
        <v>0</v>
      </c>
      <c r="E95" s="3382"/>
      <c r="F95" s="1814"/>
      <c r="G95" s="3372"/>
      <c r="H95" s="3420" t="str">
        <f t="shared" ref="H95:H101" si="37">IFERROR(ROUNDDOWN($F$93*I95/2,4),"——")</f>
        <v>——</v>
      </c>
      <c r="I95" s="3366">
        <v>0.11</v>
      </c>
      <c r="J95" s="3344">
        <f t="shared" si="33"/>
        <v>0</v>
      </c>
      <c r="K95" s="3344">
        <f t="shared" si="34"/>
        <v>0</v>
      </c>
      <c r="L95" s="3344">
        <v>0</v>
      </c>
      <c r="M95" s="3344">
        <f t="shared" si="35"/>
        <v>0</v>
      </c>
      <c r="N95" s="3344">
        <f t="shared" si="35"/>
        <v>0</v>
      </c>
    </row>
    <row r="96" spans="1:37" ht="36.75">
      <c r="A96" s="3378" t="s">
        <v>3280</v>
      </c>
      <c r="B96" s="3384" t="s">
        <v>3291</v>
      </c>
      <c r="C96" s="2044"/>
      <c r="D96" s="3365">
        <f t="shared" si="36"/>
        <v>0</v>
      </c>
      <c r="E96" s="3382"/>
      <c r="F96" s="1814"/>
      <c r="G96" s="3372"/>
      <c r="H96" s="3420" t="str">
        <f t="shared" si="37"/>
        <v>——</v>
      </c>
      <c r="I96" s="3366">
        <v>0.05</v>
      </c>
      <c r="J96" s="3344">
        <f t="shared" si="33"/>
        <v>0</v>
      </c>
      <c r="K96" s="3344">
        <f t="shared" si="34"/>
        <v>0</v>
      </c>
      <c r="L96" s="3344">
        <v>0</v>
      </c>
      <c r="M96" s="3344">
        <f t="shared" si="35"/>
        <v>0</v>
      </c>
      <c r="N96" s="3344">
        <f t="shared" si="35"/>
        <v>0</v>
      </c>
    </row>
    <row r="97" spans="1:14" ht="24">
      <c r="A97" s="3378" t="s">
        <v>3281</v>
      </c>
      <c r="B97" s="3369">
        <f>估价对象房地状况!C24</f>
        <v>0</v>
      </c>
      <c r="C97" s="2044"/>
      <c r="D97" s="3365">
        <f t="shared" si="36"/>
        <v>0</v>
      </c>
      <c r="E97" s="3382"/>
      <c r="F97" s="1814"/>
      <c r="G97" s="3372"/>
      <c r="H97" s="3420" t="str">
        <f t="shared" si="37"/>
        <v>——</v>
      </c>
      <c r="I97" s="3366">
        <v>0.05</v>
      </c>
      <c r="J97" s="3344">
        <f t="shared" si="33"/>
        <v>0</v>
      </c>
      <c r="K97" s="3344">
        <f t="shared" si="34"/>
        <v>0</v>
      </c>
      <c r="L97" s="3344">
        <v>0</v>
      </c>
      <c r="M97" s="3344">
        <f t="shared" si="35"/>
        <v>0</v>
      </c>
      <c r="N97" s="3344">
        <f t="shared" si="35"/>
        <v>0</v>
      </c>
    </row>
    <row r="98" spans="1:14" ht="24">
      <c r="A98" s="3378" t="s">
        <v>3282</v>
      </c>
      <c r="B98" s="3385" t="s">
        <v>3292</v>
      </c>
      <c r="C98" s="2044"/>
      <c r="D98" s="3365">
        <f t="shared" si="36"/>
        <v>0</v>
      </c>
      <c r="E98" s="3382"/>
      <c r="F98" s="1814"/>
      <c r="G98" s="3372"/>
      <c r="H98" s="3420" t="str">
        <f t="shared" si="37"/>
        <v>——</v>
      </c>
      <c r="I98" s="3366">
        <v>0.06</v>
      </c>
      <c r="J98" s="3344">
        <f t="shared" si="33"/>
        <v>0</v>
      </c>
      <c r="K98" s="3344">
        <f t="shared" si="34"/>
        <v>0</v>
      </c>
      <c r="L98" s="3344">
        <v>0</v>
      </c>
      <c r="M98" s="3344">
        <f t="shared" si="35"/>
        <v>0</v>
      </c>
      <c r="N98" s="3344">
        <f t="shared" si="35"/>
        <v>0</v>
      </c>
    </row>
    <row r="99" spans="1:14" ht="25.5">
      <c r="A99" s="3378" t="s">
        <v>3283</v>
      </c>
      <c r="B99" s="3369" t="str">
        <f>估价对象房地状况!C21</f>
        <v>估价对象所在区域公共配套设施齐备情况</v>
      </c>
      <c r="C99" s="2044"/>
      <c r="D99" s="3365">
        <f t="shared" si="36"/>
        <v>0</v>
      </c>
      <c r="E99" s="3382"/>
      <c r="F99" s="1814"/>
      <c r="G99" s="3372"/>
      <c r="H99" s="3420" t="str">
        <f t="shared" si="37"/>
        <v>——</v>
      </c>
      <c r="I99" s="3366">
        <v>0.06</v>
      </c>
      <c r="J99" s="3344">
        <f t="shared" si="33"/>
        <v>0</v>
      </c>
      <c r="K99" s="3344">
        <f t="shared" si="34"/>
        <v>0</v>
      </c>
      <c r="L99" s="3344">
        <v>0</v>
      </c>
      <c r="M99" s="3344">
        <f t="shared" si="35"/>
        <v>0</v>
      </c>
      <c r="N99" s="3344">
        <f t="shared" si="35"/>
        <v>0</v>
      </c>
    </row>
    <row r="100" spans="1:14" ht="25.5">
      <c r="A100" s="3378" t="s">
        <v>3284</v>
      </c>
      <c r="B100" s="3369" t="str">
        <f>估价对象房地状况!C22</f>
        <v>估价对象所在区域基础设施水平</v>
      </c>
      <c r="C100" s="2044"/>
      <c r="D100" s="3365">
        <f t="shared" si="36"/>
        <v>0</v>
      </c>
      <c r="E100" s="3382"/>
      <c r="F100" s="1814"/>
      <c r="G100" s="3372"/>
      <c r="H100" s="3420" t="str">
        <f t="shared" si="37"/>
        <v>——</v>
      </c>
      <c r="I100" s="3366">
        <v>0.09</v>
      </c>
      <c r="J100" s="3344">
        <f t="shared" si="33"/>
        <v>0</v>
      </c>
      <c r="K100" s="3344">
        <f t="shared" si="34"/>
        <v>0</v>
      </c>
      <c r="L100" s="3344">
        <v>0</v>
      </c>
      <c r="M100" s="3344">
        <f t="shared" si="35"/>
        <v>0</v>
      </c>
      <c r="N100" s="3344">
        <f t="shared" si="35"/>
        <v>0</v>
      </c>
    </row>
    <row r="101" spans="1:14" ht="26.25" thickBot="1">
      <c r="A101" s="3379" t="s">
        <v>3285</v>
      </c>
      <c r="B101" s="3386" t="str">
        <f>估价对象房地状况!C20</f>
        <v>区域自然环境：；人文环境；综合评价环境状况一般</v>
      </c>
      <c r="C101" s="2044"/>
      <c r="D101" s="3365">
        <f t="shared" si="36"/>
        <v>0</v>
      </c>
      <c r="E101" s="3383"/>
      <c r="F101" s="1814"/>
      <c r="G101" s="3372"/>
      <c r="H101" s="3420" t="str">
        <f t="shared" si="37"/>
        <v>——</v>
      </c>
      <c r="I101" s="3367">
        <v>7.0000000000000007E-2</v>
      </c>
      <c r="J101" s="3344">
        <f t="shared" si="33"/>
        <v>0</v>
      </c>
      <c r="K101" s="3344">
        <f t="shared" si="34"/>
        <v>0</v>
      </c>
      <c r="L101" s="3344">
        <v>0</v>
      </c>
      <c r="M101" s="3344">
        <f t="shared" si="35"/>
        <v>0</v>
      </c>
      <c r="N101" s="3344">
        <f t="shared" si="35"/>
        <v>0</v>
      </c>
    </row>
    <row r="103" spans="1:14">
      <c r="A103" s="3825" t="s">
        <v>3300</v>
      </c>
      <c r="B103" s="3825"/>
      <c r="C103" s="3825"/>
      <c r="D103" s="3825"/>
      <c r="E103" s="3825"/>
      <c r="F103" s="3825"/>
      <c r="G103" s="3825"/>
      <c r="H103" s="3825"/>
      <c r="I103" s="3825"/>
      <c r="J103" s="3825"/>
      <c r="K103" s="3389"/>
      <c r="L103" s="3389"/>
      <c r="M103" s="3389"/>
      <c r="N103" s="3389"/>
    </row>
    <row r="104" spans="1:14">
      <c r="A104" s="3826" t="s">
        <v>3301</v>
      </c>
      <c r="B104" s="3826" t="s">
        <v>3302</v>
      </c>
      <c r="C104" s="3390" t="s">
        <v>3303</v>
      </c>
      <c r="D104" s="3391"/>
      <c r="E104" s="3391"/>
      <c r="F104" s="3391"/>
      <c r="G104" s="3391"/>
      <c r="H104" s="3391"/>
      <c r="I104" s="3391"/>
      <c r="J104" s="3392"/>
      <c r="K104" s="3393"/>
      <c r="L104" s="3393"/>
      <c r="M104" s="3393"/>
      <c r="N104" s="3393"/>
    </row>
    <row r="105" spans="1:14">
      <c r="A105" s="3826"/>
      <c r="B105" s="382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81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1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1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1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1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13"/>
      <c r="B111" s="3394" t="s">
        <v>3274</v>
      </c>
      <c r="C111" s="3395">
        <f>$I$3</f>
        <v>0</v>
      </c>
      <c r="D111" s="3395">
        <f t="shared" ref="D111:M111" si="38">$I$3</f>
        <v>0</v>
      </c>
      <c r="E111" s="3395">
        <f t="shared" si="38"/>
        <v>0</v>
      </c>
      <c r="F111" s="3395">
        <f t="shared" si="38"/>
        <v>0</v>
      </c>
      <c r="G111" s="3395">
        <f t="shared" si="38"/>
        <v>0</v>
      </c>
      <c r="H111" s="3395">
        <f t="shared" si="38"/>
        <v>0</v>
      </c>
      <c r="I111" s="3395">
        <f t="shared" si="38"/>
        <v>0</v>
      </c>
      <c r="J111" s="3395">
        <f t="shared" si="38"/>
        <v>0</v>
      </c>
      <c r="K111" s="3395">
        <f t="shared" si="38"/>
        <v>0</v>
      </c>
      <c r="L111" s="3395">
        <f t="shared" si="38"/>
        <v>0</v>
      </c>
      <c r="M111" s="3395">
        <f t="shared" si="38"/>
        <v>0</v>
      </c>
      <c r="N111" s="3395">
        <f>$I$3</f>
        <v>0</v>
      </c>
    </row>
    <row r="112" spans="1:14">
      <c r="A112" s="3814"/>
      <c r="B112" s="3394">
        <v>6</v>
      </c>
      <c r="C112" s="3387">
        <f>(-0.5556*(C111^2)-0.2719*C111+8944)*(10^(-4))</f>
        <v>0.89440000000000008</v>
      </c>
      <c r="D112" s="3387">
        <f>(-0.5556*(D111^2)-0.2719*D111+8944)*(10^(-4))</f>
        <v>0.89440000000000008</v>
      </c>
      <c r="E112" s="3387">
        <f>(-0.7912*(E111^2)-11.3794*E111+8482)*(10^(-4))</f>
        <v>0.84820000000000007</v>
      </c>
      <c r="F112" s="3387">
        <f t="shared" ref="F112:I112" si="39">(-0.7912*(F111^2)-11.3794*F111+8482)*(10^(-4))</f>
        <v>0.84820000000000007</v>
      </c>
      <c r="G112" s="3387">
        <f t="shared" si="39"/>
        <v>0.84820000000000007</v>
      </c>
      <c r="H112" s="3387">
        <f t="shared" si="39"/>
        <v>0.84820000000000007</v>
      </c>
      <c r="I112" s="3387">
        <f t="shared" si="39"/>
        <v>0.84820000000000007</v>
      </c>
      <c r="J112" s="3387">
        <f>(-0.989*(J111^2)-63.78*J111+7771)*(10^(-4))</f>
        <v>0.77710000000000001</v>
      </c>
      <c r="K112" s="3387">
        <f t="shared" ref="K112:N112" si="40">(-0.989*(K111^2)-63.78*K111+7771)*(10^(-4))</f>
        <v>0.77710000000000001</v>
      </c>
      <c r="L112" s="3387">
        <f t="shared" si="40"/>
        <v>0.77710000000000001</v>
      </c>
      <c r="M112" s="3387">
        <f t="shared" si="40"/>
        <v>0.77710000000000001</v>
      </c>
      <c r="N112" s="3387">
        <f t="shared" si="40"/>
        <v>0.77710000000000001</v>
      </c>
    </row>
    <row r="113" spans="1:14">
      <c r="A113" s="3815" t="s">
        <v>3317</v>
      </c>
      <c r="B113" s="3815"/>
      <c r="C113" s="3815"/>
      <c r="D113" s="3815"/>
      <c r="E113" s="3815"/>
      <c r="F113" s="3815"/>
      <c r="G113" s="3815"/>
      <c r="H113" s="3815"/>
      <c r="I113" s="3815"/>
      <c r="J113" s="381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5.96</v>
      </c>
      <c r="C116" s="3399" t="s">
        <v>3319</v>
      </c>
      <c r="D116" s="3400">
        <f>SUMPRODUCT((A118:A122=F116)*(B117:M117=H116)*B118:M122)</f>
        <v>0.86560000000000004</v>
      </c>
      <c r="E116" s="2000" t="s">
        <v>3320</v>
      </c>
      <c r="F116" s="3401" t="str">
        <f>E2</f>
        <v>商业</v>
      </c>
      <c r="G116" s="2000" t="s">
        <v>3321</v>
      </c>
      <c r="H116" s="3401" t="str">
        <f>G2</f>
        <v>三级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0.93120000000000003</v>
      </c>
      <c r="C118" s="3387">
        <f>B118</f>
        <v>0.93120000000000003</v>
      </c>
      <c r="D118" s="3387">
        <f>ROUND(0.949-0.014*B116,4)</f>
        <v>0.86560000000000004</v>
      </c>
      <c r="E118" s="3387">
        <f>D118</f>
        <v>0.86560000000000004</v>
      </c>
      <c r="F118" s="3387">
        <f>E118</f>
        <v>0.86560000000000004</v>
      </c>
      <c r="G118" s="3387">
        <f>F118</f>
        <v>0.86560000000000004</v>
      </c>
      <c r="H118" s="3387">
        <f>G118</f>
        <v>0.86560000000000004</v>
      </c>
      <c r="I118" s="3387">
        <f>ROUND(0.8486-0.018*B116,4)</f>
        <v>0.74129999999999996</v>
      </c>
      <c r="J118" s="3387">
        <f t="shared" ref="J118:M122" si="41">I118</f>
        <v>0.74129999999999996</v>
      </c>
      <c r="K118" s="3387">
        <f t="shared" si="41"/>
        <v>0.74129999999999996</v>
      </c>
      <c r="L118" s="3387">
        <f t="shared" si="41"/>
        <v>0.74129999999999996</v>
      </c>
      <c r="M118" s="3410">
        <f t="shared" si="41"/>
        <v>0.74129999999999996</v>
      </c>
      <c r="N118" s="3397"/>
    </row>
    <row r="119" spans="1:14">
      <c r="A119" s="3409" t="s">
        <v>3335</v>
      </c>
      <c r="B119" s="3387">
        <f>ROUND(0.993-0.0112*B116,4)</f>
        <v>0.92620000000000002</v>
      </c>
      <c r="C119" s="3387">
        <f>B119</f>
        <v>0.92620000000000002</v>
      </c>
      <c r="D119" s="3387">
        <f>ROUND(0.9415-0.0142*B116,4)</f>
        <v>0.8569</v>
      </c>
      <c r="E119" s="3387">
        <f t="shared" ref="E119:H120" si="42">D119</f>
        <v>0.8569</v>
      </c>
      <c r="F119" s="3387">
        <f t="shared" si="42"/>
        <v>0.8569</v>
      </c>
      <c r="G119" s="3387">
        <f t="shared" si="42"/>
        <v>0.8569</v>
      </c>
      <c r="H119" s="3387">
        <f t="shared" si="42"/>
        <v>0.8569</v>
      </c>
      <c r="I119" s="3387">
        <f>ROUND(0.838-0.0182*B116,4)</f>
        <v>0.72950000000000004</v>
      </c>
      <c r="J119" s="3387">
        <f t="shared" si="41"/>
        <v>0.72950000000000004</v>
      </c>
      <c r="K119" s="3387">
        <f t="shared" si="41"/>
        <v>0.72950000000000004</v>
      </c>
      <c r="L119" s="3387">
        <f t="shared" si="41"/>
        <v>0.72950000000000004</v>
      </c>
      <c r="M119" s="3410">
        <f t="shared" si="41"/>
        <v>0.72950000000000004</v>
      </c>
      <c r="N119" s="3397"/>
    </row>
    <row r="120" spans="1:14">
      <c r="A120" s="3409" t="s">
        <v>3336</v>
      </c>
      <c r="B120" s="3387">
        <f>ROUND(0.9448-0.0115*B116,4)</f>
        <v>0.87629999999999997</v>
      </c>
      <c r="C120" s="3387">
        <f>B120</f>
        <v>0.87629999999999997</v>
      </c>
      <c r="D120" s="3387">
        <f>ROUND(0.937-0.0145*B116,4)</f>
        <v>0.85060000000000002</v>
      </c>
      <c r="E120" s="3387">
        <f t="shared" si="42"/>
        <v>0.85060000000000002</v>
      </c>
      <c r="F120" s="3387">
        <f t="shared" si="42"/>
        <v>0.85060000000000002</v>
      </c>
      <c r="G120" s="3387">
        <f t="shared" si="42"/>
        <v>0.85060000000000002</v>
      </c>
      <c r="H120" s="3387">
        <f t="shared" si="42"/>
        <v>0.85060000000000002</v>
      </c>
      <c r="I120" s="3387">
        <f>ROUND(0.7965-0.0185*B116,4)</f>
        <v>0.68620000000000003</v>
      </c>
      <c r="J120" s="3387">
        <f t="shared" si="41"/>
        <v>0.68620000000000003</v>
      </c>
      <c r="K120" s="3387">
        <f t="shared" si="41"/>
        <v>0.68620000000000003</v>
      </c>
      <c r="L120" s="3387">
        <f t="shared" si="41"/>
        <v>0.68620000000000003</v>
      </c>
      <c r="M120" s="3410">
        <f t="shared" si="41"/>
        <v>0.68620000000000003</v>
      </c>
      <c r="N120" s="3397"/>
    </row>
    <row r="121" spans="1:14" ht="13.5" thickBot="1">
      <c r="A121" s="3411" t="s">
        <v>3337</v>
      </c>
      <c r="B121" s="3412">
        <f>ROUND(0.7836-0.012*B116,4)</f>
        <v>0.71209999999999996</v>
      </c>
      <c r="C121" s="3412">
        <f>B121</f>
        <v>0.71209999999999996</v>
      </c>
      <c r="D121" s="3412">
        <f>ROUND(0.753-0.015*B116,4)</f>
        <v>0.66359999999999997</v>
      </c>
      <c r="E121" s="3412">
        <f>D121</f>
        <v>0.66359999999999997</v>
      </c>
      <c r="F121" s="3412">
        <f>E121</f>
        <v>0.66359999999999997</v>
      </c>
      <c r="G121" s="3412">
        <f>ROUND(0.6612-0.018*B116,4)</f>
        <v>0.55389999999999995</v>
      </c>
      <c r="H121" s="3412">
        <f>G121</f>
        <v>0.55389999999999995</v>
      </c>
      <c r="I121" s="3412">
        <f>ROUND(0.5905-0.019*B116,4)</f>
        <v>0.4773</v>
      </c>
      <c r="J121" s="3412">
        <f t="shared" si="41"/>
        <v>0.4773</v>
      </c>
      <c r="K121" s="3412">
        <f t="shared" si="41"/>
        <v>0.4773</v>
      </c>
      <c r="L121" s="3412">
        <f t="shared" si="41"/>
        <v>0.4773</v>
      </c>
      <c r="M121" s="3413">
        <f t="shared" si="41"/>
        <v>0.4773</v>
      </c>
      <c r="N121" s="3397"/>
    </row>
    <row r="122" spans="1:14">
      <c r="A122" s="3414" t="s">
        <v>2616</v>
      </c>
      <c r="B122" s="3387">
        <f>ROUND(0.9404-0.0106*B116,4)</f>
        <v>0.87719999999999998</v>
      </c>
      <c r="C122" s="3387">
        <f>B122</f>
        <v>0.87719999999999998</v>
      </c>
      <c r="D122" s="3387">
        <f>ROUND(0.8955-0.0135*B116,4)</f>
        <v>0.81499999999999995</v>
      </c>
      <c r="E122" s="3387">
        <f t="shared" ref="E122:H122" si="43">D122</f>
        <v>0.81499999999999995</v>
      </c>
      <c r="F122" s="3387">
        <f t="shared" si="43"/>
        <v>0.81499999999999995</v>
      </c>
      <c r="G122" s="3387">
        <f t="shared" si="43"/>
        <v>0.81499999999999995</v>
      </c>
      <c r="H122" s="3387">
        <f t="shared" si="43"/>
        <v>0.81499999999999995</v>
      </c>
      <c r="I122" s="3387">
        <f>ROUND(0.7632-0.0166*B116,4)</f>
        <v>0.6643</v>
      </c>
      <c r="J122" s="3387">
        <f t="shared" si="41"/>
        <v>0.6643</v>
      </c>
      <c r="K122" s="3387">
        <f t="shared" si="41"/>
        <v>0.6643</v>
      </c>
      <c r="L122" s="3387">
        <f t="shared" si="41"/>
        <v>0.6643</v>
      </c>
      <c r="M122" s="3410">
        <f t="shared" si="41"/>
        <v>0.6643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40" t="s">
        <v>2611</v>
      </c>
      <c r="B20" s="3835" t="s">
        <v>2632</v>
      </c>
      <c r="C20" s="3102" t="s">
        <v>2443</v>
      </c>
      <c r="D20" s="3103"/>
      <c r="E20" s="3104">
        <v>1</v>
      </c>
      <c r="F20" s="3105" t="s">
        <v>2444</v>
      </c>
      <c r="G20" s="3105"/>
    </row>
    <row r="21" spans="1:13" ht="19.5" customHeight="1">
      <c r="A21" s="3841"/>
      <c r="B21" s="3834"/>
      <c r="C21" s="3106" t="s">
        <v>2445</v>
      </c>
      <c r="D21" s="3107"/>
      <c r="E21" s="3108">
        <v>1</v>
      </c>
      <c r="F21" s="3105" t="s">
        <v>2446</v>
      </c>
      <c r="G21" s="3105"/>
    </row>
    <row r="22" spans="1:13" ht="19.5" customHeight="1">
      <c r="A22" s="3841"/>
      <c r="B22" s="3834"/>
      <c r="C22" s="3106" t="s">
        <v>2447</v>
      </c>
      <c r="D22" s="3107"/>
      <c r="E22" s="3108">
        <v>0.9</v>
      </c>
      <c r="F22" s="3105" t="s">
        <v>2448</v>
      </c>
      <c r="G22" s="3105"/>
    </row>
    <row r="23" spans="1:13" ht="19.5" customHeight="1">
      <c r="A23" s="3841"/>
      <c r="B23" s="3834"/>
      <c r="C23" s="3106" t="s">
        <v>2449</v>
      </c>
      <c r="D23" s="3107"/>
      <c r="E23" s="3108">
        <v>0.9</v>
      </c>
      <c r="F23" s="3105" t="s">
        <v>2450</v>
      </c>
      <c r="G23" s="3105"/>
    </row>
    <row r="24" spans="1:13" ht="19.5" customHeight="1">
      <c r="A24" s="3841"/>
      <c r="B24" s="3834"/>
      <c r="C24" s="3106" t="s">
        <v>2451</v>
      </c>
      <c r="D24" s="3107"/>
      <c r="E24" s="3108">
        <v>0.8</v>
      </c>
      <c r="F24" s="3105" t="s">
        <v>2452</v>
      </c>
      <c r="G24" s="3105"/>
    </row>
    <row r="25" spans="1:13" ht="19.5" customHeight="1" thickBot="1">
      <c r="A25" s="3842"/>
      <c r="B25" s="383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37" t="s">
        <v>2635</v>
      </c>
      <c r="B27" s="3835" t="s">
        <v>2616</v>
      </c>
      <c r="C27" s="3102" t="s">
        <v>2456</v>
      </c>
      <c r="D27" s="3103"/>
      <c r="E27" s="3104">
        <v>1</v>
      </c>
      <c r="F27" s="3105" t="s">
        <v>2457</v>
      </c>
      <c r="G27" s="3105"/>
    </row>
    <row r="28" spans="1:13" ht="19.5" customHeight="1">
      <c r="A28" s="3838"/>
      <c r="B28" s="3834"/>
      <c r="C28" s="3106" t="s">
        <v>2458</v>
      </c>
      <c r="D28" s="3107"/>
      <c r="E28" s="3108">
        <v>1</v>
      </c>
      <c r="F28" s="3105" t="s">
        <v>2459</v>
      </c>
      <c r="G28" s="3105"/>
    </row>
    <row r="29" spans="1:13" ht="19.5" customHeight="1">
      <c r="A29" s="3838"/>
      <c r="B29" s="3834"/>
      <c r="C29" s="3106" t="s">
        <v>2460</v>
      </c>
      <c r="D29" s="3107"/>
      <c r="E29" s="3108">
        <v>0.8</v>
      </c>
      <c r="F29" s="3105" t="s">
        <v>2461</v>
      </c>
      <c r="G29" s="3105"/>
    </row>
    <row r="30" spans="1:13" ht="19.5" customHeight="1">
      <c r="A30" s="3838"/>
      <c r="B30" s="3834"/>
      <c r="C30" s="3106" t="s">
        <v>2462</v>
      </c>
      <c r="D30" s="3107"/>
      <c r="E30" s="3108">
        <v>0.8</v>
      </c>
      <c r="F30" s="3105" t="s">
        <v>2463</v>
      </c>
      <c r="G30" s="3105"/>
    </row>
    <row r="31" spans="1:13" ht="19.5" customHeight="1">
      <c r="A31" s="3838"/>
      <c r="B31" s="3834"/>
      <c r="C31" s="3106" t="s">
        <v>2464</v>
      </c>
      <c r="D31" s="3107"/>
      <c r="E31" s="3108">
        <v>0.8</v>
      </c>
      <c r="F31" s="3105" t="s">
        <v>2465</v>
      </c>
      <c r="G31" s="3105"/>
    </row>
    <row r="32" spans="1:13" ht="19.5" customHeight="1">
      <c r="A32" s="3838"/>
      <c r="B32" s="3834"/>
      <c r="C32" s="3106" t="s">
        <v>2466</v>
      </c>
      <c r="D32" s="3107"/>
      <c r="E32" s="3108">
        <v>0.7</v>
      </c>
      <c r="F32" s="3105" t="s">
        <v>2467</v>
      </c>
      <c r="G32" s="3105"/>
    </row>
    <row r="33" spans="1:7" ht="19.5" customHeight="1">
      <c r="A33" s="3838"/>
      <c r="B33" s="3834"/>
      <c r="C33" s="3106" t="s">
        <v>2468</v>
      </c>
      <c r="D33" s="3107"/>
      <c r="E33" s="3108">
        <v>0.8</v>
      </c>
      <c r="F33" s="3105" t="s">
        <v>2469</v>
      </c>
      <c r="G33" s="3105"/>
    </row>
    <row r="34" spans="1:7" ht="19.5" customHeight="1">
      <c r="A34" s="3838"/>
      <c r="B34" s="3834"/>
      <c r="C34" s="3106" t="s">
        <v>2470</v>
      </c>
      <c r="D34" s="3107"/>
      <c r="E34" s="3108">
        <v>0.6</v>
      </c>
      <c r="F34" s="3105" t="s">
        <v>2471</v>
      </c>
      <c r="G34" s="3105"/>
    </row>
    <row r="35" spans="1:7" ht="19.5" customHeight="1">
      <c r="A35" s="3838"/>
      <c r="B35" s="3834"/>
      <c r="C35" s="3106" t="s">
        <v>2472</v>
      </c>
      <c r="D35" s="3107"/>
      <c r="E35" s="3108">
        <v>0.2</v>
      </c>
      <c r="F35" s="3105" t="s">
        <v>2473</v>
      </c>
      <c r="G35" s="3105"/>
    </row>
    <row r="36" spans="1:7" ht="19.5" customHeight="1">
      <c r="A36" s="3838"/>
      <c r="B36" s="3834"/>
      <c r="C36" s="3106" t="s">
        <v>2474</v>
      </c>
      <c r="D36" s="3107"/>
      <c r="E36" s="3108">
        <v>0.2</v>
      </c>
      <c r="F36" s="3105" t="s">
        <v>2475</v>
      </c>
      <c r="G36" s="3105"/>
    </row>
    <row r="37" spans="1:7" ht="19.5" customHeight="1">
      <c r="A37" s="3838"/>
      <c r="B37" s="3832" t="s">
        <v>2636</v>
      </c>
      <c r="C37" s="3106" t="s">
        <v>2476</v>
      </c>
      <c r="D37" s="3107"/>
      <c r="E37" s="3108">
        <v>0.6</v>
      </c>
      <c r="F37" s="3105" t="s">
        <v>2477</v>
      </c>
      <c r="G37" s="3105"/>
    </row>
    <row r="38" spans="1:7" ht="19.5" customHeight="1">
      <c r="A38" s="3838"/>
      <c r="B38" s="3834"/>
      <c r="C38" s="3106" t="s">
        <v>2478</v>
      </c>
      <c r="D38" s="3107"/>
      <c r="E38" s="3108">
        <v>0.6</v>
      </c>
      <c r="F38" s="3105" t="s">
        <v>2479</v>
      </c>
      <c r="G38" s="3105"/>
    </row>
    <row r="39" spans="1:7" ht="19.5" customHeight="1" thickBot="1">
      <c r="A39" s="3839"/>
      <c r="B39" s="383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40" t="s">
        <v>2614</v>
      </c>
      <c r="B41" s="3835" t="s">
        <v>2638</v>
      </c>
      <c r="C41" s="3102" t="s">
        <v>2483</v>
      </c>
      <c r="D41" s="3103"/>
      <c r="E41" s="3104">
        <v>1</v>
      </c>
      <c r="F41" s="3105" t="s">
        <v>2484</v>
      </c>
      <c r="G41" s="3105"/>
    </row>
    <row r="42" spans="1:7" ht="19.5" customHeight="1">
      <c r="A42" s="3841"/>
      <c r="B42" s="3834"/>
      <c r="C42" s="3106" t="s">
        <v>2485</v>
      </c>
      <c r="D42" s="3107"/>
      <c r="E42" s="3108">
        <v>1</v>
      </c>
      <c r="F42" s="3105" t="s">
        <v>2486</v>
      </c>
      <c r="G42" s="3105"/>
    </row>
    <row r="43" spans="1:7" ht="19.5" customHeight="1">
      <c r="A43" s="3841"/>
      <c r="B43" s="3833"/>
      <c r="C43" s="3106" t="s">
        <v>2487</v>
      </c>
      <c r="D43" s="3107"/>
      <c r="E43" s="3108">
        <v>1.5</v>
      </c>
      <c r="F43" s="3105" t="s">
        <v>2488</v>
      </c>
      <c r="G43" s="3105"/>
    </row>
    <row r="44" spans="1:7" ht="19.5" customHeight="1">
      <c r="A44" s="3841"/>
      <c r="B44" s="3117" t="s">
        <v>2639</v>
      </c>
      <c r="C44" s="3106" t="s">
        <v>2640</v>
      </c>
      <c r="D44" s="3107"/>
      <c r="E44" s="3108">
        <v>2</v>
      </c>
      <c r="F44" s="3105" t="s">
        <v>2489</v>
      </c>
      <c r="G44" s="3105"/>
    </row>
    <row r="45" spans="1:7" ht="19.5" customHeight="1">
      <c r="A45" s="3841"/>
      <c r="B45" s="3832" t="s">
        <v>2641</v>
      </c>
      <c r="C45" s="3106" t="s">
        <v>2490</v>
      </c>
      <c r="D45" s="3107"/>
      <c r="E45" s="3108">
        <v>1</v>
      </c>
      <c r="F45" s="3105" t="s">
        <v>2491</v>
      </c>
      <c r="G45" s="3105"/>
    </row>
    <row r="46" spans="1:7" ht="19.5" customHeight="1">
      <c r="A46" s="3841"/>
      <c r="B46" s="3834"/>
      <c r="C46" s="3106" t="s">
        <v>2492</v>
      </c>
      <c r="D46" s="3107"/>
      <c r="E46" s="3108">
        <v>1</v>
      </c>
      <c r="F46" s="3105" t="s">
        <v>2493</v>
      </c>
      <c r="G46" s="3105"/>
    </row>
    <row r="47" spans="1:7" ht="19.5" customHeight="1">
      <c r="A47" s="3841"/>
      <c r="B47" s="3834"/>
      <c r="C47" s="3106" t="s">
        <v>2494</v>
      </c>
      <c r="D47" s="3107"/>
      <c r="E47" s="3108">
        <v>1</v>
      </c>
      <c r="F47" s="3105" t="s">
        <v>2495</v>
      </c>
      <c r="G47" s="3105"/>
    </row>
    <row r="48" spans="1:7" ht="19.5" customHeight="1">
      <c r="A48" s="3841"/>
      <c r="B48" s="3834"/>
      <c r="C48" s="3106" t="s">
        <v>2496</v>
      </c>
      <c r="D48" s="3107"/>
      <c r="E48" s="3108">
        <v>1</v>
      </c>
      <c r="F48" s="3105" t="s">
        <v>2497</v>
      </c>
      <c r="G48" s="3105"/>
    </row>
    <row r="49" spans="1:7" ht="19.5" customHeight="1">
      <c r="A49" s="3841"/>
      <c r="B49" s="3834"/>
      <c r="C49" s="3106" t="s">
        <v>2498</v>
      </c>
      <c r="D49" s="3107"/>
      <c r="E49" s="3108">
        <v>1</v>
      </c>
      <c r="F49" s="3105" t="s">
        <v>2499</v>
      </c>
      <c r="G49" s="3105"/>
    </row>
    <row r="50" spans="1:7" ht="19.5" customHeight="1">
      <c r="A50" s="3841"/>
      <c r="B50" s="3834"/>
      <c r="C50" s="3106" t="s">
        <v>2500</v>
      </c>
      <c r="D50" s="3107"/>
      <c r="E50" s="3108">
        <v>1</v>
      </c>
      <c r="F50" s="3105" t="s">
        <v>2501</v>
      </c>
      <c r="G50" s="3105"/>
    </row>
    <row r="51" spans="1:7" ht="19.5" customHeight="1" thickBot="1">
      <c r="A51" s="3842"/>
      <c r="B51" s="383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32" t="s">
        <v>2655</v>
      </c>
      <c r="C73" s="3091" t="s">
        <v>2656</v>
      </c>
      <c r="D73" s="3091" t="s">
        <v>2657</v>
      </c>
      <c r="E73" s="3117">
        <v>0.2</v>
      </c>
      <c r="F73" s="3117">
        <v>25</v>
      </c>
    </row>
    <row r="74" spans="1:7" ht="24">
      <c r="A74" s="3117">
        <v>2</v>
      </c>
      <c r="B74" s="3834"/>
      <c r="C74" s="3091" t="s">
        <v>2658</v>
      </c>
      <c r="D74" s="3091" t="s">
        <v>2659</v>
      </c>
      <c r="E74" s="3117">
        <v>0.2</v>
      </c>
      <c r="F74" s="3117">
        <v>25</v>
      </c>
    </row>
    <row r="75" spans="1:7" ht="24">
      <c r="A75" s="3117">
        <v>3</v>
      </c>
      <c r="B75" s="3834"/>
      <c r="C75" s="3091" t="s">
        <v>2660</v>
      </c>
      <c r="D75" s="3091" t="s">
        <v>2661</v>
      </c>
      <c r="E75" s="3117">
        <v>0.2</v>
      </c>
      <c r="F75" s="3117">
        <v>25</v>
      </c>
    </row>
    <row r="76" spans="1:7" ht="13.5">
      <c r="A76" s="3117">
        <v>4</v>
      </c>
      <c r="B76" s="3834"/>
      <c r="C76" s="3091" t="s">
        <v>2662</v>
      </c>
      <c r="D76" s="3091" t="s">
        <v>2663</v>
      </c>
      <c r="E76" s="3117">
        <v>0.15</v>
      </c>
      <c r="F76" s="3117">
        <v>20</v>
      </c>
    </row>
    <row r="77" spans="1:7" ht="24">
      <c r="A77" s="3117">
        <v>5</v>
      </c>
      <c r="B77" s="3834"/>
      <c r="C77" s="3091" t="s">
        <v>2664</v>
      </c>
      <c r="D77" s="3091" t="s">
        <v>2665</v>
      </c>
      <c r="E77" s="3117">
        <v>0.15</v>
      </c>
      <c r="F77" s="3117">
        <v>20</v>
      </c>
    </row>
    <row r="78" spans="1:7" ht="24">
      <c r="A78" s="3117">
        <v>6</v>
      </c>
      <c r="B78" s="3834"/>
      <c r="C78" s="3091" t="s">
        <v>2666</v>
      </c>
      <c r="D78" s="3091" t="s">
        <v>2667</v>
      </c>
      <c r="E78" s="3117">
        <v>0.15</v>
      </c>
      <c r="F78" s="3117">
        <v>20</v>
      </c>
    </row>
    <row r="79" spans="1:7" ht="24">
      <c r="A79" s="3117">
        <v>7</v>
      </c>
      <c r="B79" s="3834"/>
      <c r="C79" s="3091" t="s">
        <v>2668</v>
      </c>
      <c r="D79" s="3091" t="s">
        <v>2669</v>
      </c>
      <c r="E79" s="3117">
        <v>0.15</v>
      </c>
      <c r="F79" s="3117">
        <v>20</v>
      </c>
    </row>
    <row r="80" spans="1:7" ht="24">
      <c r="A80" s="3117">
        <v>8</v>
      </c>
      <c r="B80" s="3834"/>
      <c r="C80" s="3091" t="s">
        <v>2670</v>
      </c>
      <c r="D80" s="3091" t="s">
        <v>2671</v>
      </c>
      <c r="E80" s="3117">
        <v>0.1</v>
      </c>
      <c r="F80" s="3117">
        <v>15</v>
      </c>
    </row>
    <row r="81" spans="1:6" ht="24">
      <c r="A81" s="3117">
        <v>9</v>
      </c>
      <c r="B81" s="3834"/>
      <c r="C81" s="3091" t="s">
        <v>2672</v>
      </c>
      <c r="D81" s="3091" t="s">
        <v>2673</v>
      </c>
      <c r="E81" s="3117">
        <v>0.1</v>
      </c>
      <c r="F81" s="3117">
        <v>15</v>
      </c>
    </row>
    <row r="82" spans="1:6" ht="24">
      <c r="A82" s="3117">
        <v>10</v>
      </c>
      <c r="B82" s="3834"/>
      <c r="C82" s="3091" t="s">
        <v>2674</v>
      </c>
      <c r="D82" s="3091" t="s">
        <v>2675</v>
      </c>
      <c r="E82" s="3117">
        <v>0.1</v>
      </c>
      <c r="F82" s="3117">
        <v>15</v>
      </c>
    </row>
    <row r="83" spans="1:6" ht="24">
      <c r="A83" s="3117">
        <v>11</v>
      </c>
      <c r="B83" s="3834"/>
      <c r="C83" s="3091" t="s">
        <v>2676</v>
      </c>
      <c r="D83" s="3091" t="s">
        <v>2677</v>
      </c>
      <c r="E83" s="3117">
        <v>0.1</v>
      </c>
      <c r="F83" s="3117">
        <v>15</v>
      </c>
    </row>
    <row r="84" spans="1:6" ht="24">
      <c r="A84" s="3117">
        <v>12</v>
      </c>
      <c r="B84" s="3834"/>
      <c r="C84" s="3091" t="s">
        <v>2678</v>
      </c>
      <c r="D84" s="3091" t="s">
        <v>2679</v>
      </c>
      <c r="E84" s="3117">
        <v>0.1</v>
      </c>
      <c r="F84" s="3117">
        <v>15</v>
      </c>
    </row>
    <row r="85" spans="1:6" ht="13.5">
      <c r="A85" s="3117">
        <v>13</v>
      </c>
      <c r="B85" s="3834"/>
      <c r="C85" s="3091" t="s">
        <v>2680</v>
      </c>
      <c r="D85" s="3091" t="s">
        <v>2681</v>
      </c>
      <c r="E85" s="3117">
        <v>0.1</v>
      </c>
      <c r="F85" s="3117">
        <v>15</v>
      </c>
    </row>
    <row r="86" spans="1:6" ht="13.5">
      <c r="A86" s="3117">
        <v>14</v>
      </c>
      <c r="B86" s="3834"/>
      <c r="C86" s="3091" t="s">
        <v>2682</v>
      </c>
      <c r="D86" s="3091" t="s">
        <v>2683</v>
      </c>
      <c r="E86" s="3117">
        <v>0.1</v>
      </c>
      <c r="F86" s="3117">
        <v>15</v>
      </c>
    </row>
    <row r="87" spans="1:6" ht="13.5">
      <c r="A87" s="3117">
        <v>15</v>
      </c>
      <c r="B87" s="3834"/>
      <c r="C87" s="3091" t="s">
        <v>2684</v>
      </c>
      <c r="D87" s="3091" t="s">
        <v>2685</v>
      </c>
      <c r="E87" s="3117">
        <v>0.1</v>
      </c>
      <c r="F87" s="3117">
        <v>15</v>
      </c>
    </row>
    <row r="88" spans="1:6" ht="24">
      <c r="A88" s="3117">
        <v>16</v>
      </c>
      <c r="B88" s="3834"/>
      <c r="C88" s="3091" t="s">
        <v>2686</v>
      </c>
      <c r="D88" s="3091" t="s">
        <v>2687</v>
      </c>
      <c r="E88" s="3117">
        <v>0.1</v>
      </c>
      <c r="F88" s="3117">
        <v>15</v>
      </c>
    </row>
    <row r="89" spans="1:6" ht="24">
      <c r="A89" s="3117">
        <v>17</v>
      </c>
      <c r="B89" s="3833"/>
      <c r="C89" s="3091" t="s">
        <v>2688</v>
      </c>
      <c r="D89" s="3091" t="s">
        <v>2689</v>
      </c>
      <c r="E89" s="3117">
        <v>0.1</v>
      </c>
      <c r="F89" s="3117">
        <v>15</v>
      </c>
    </row>
    <row r="90" spans="1:6" ht="13.5">
      <c r="A90" s="3117">
        <v>18</v>
      </c>
      <c r="B90" s="3832" t="s">
        <v>2690</v>
      </c>
      <c r="C90" s="3091" t="s">
        <v>2691</v>
      </c>
      <c r="D90" s="3091" t="s">
        <v>2692</v>
      </c>
      <c r="E90" s="3117">
        <v>0.2</v>
      </c>
      <c r="F90" s="3117">
        <v>25</v>
      </c>
    </row>
    <row r="91" spans="1:6" ht="24">
      <c r="A91" s="3117">
        <v>19</v>
      </c>
      <c r="B91" s="3834"/>
      <c r="C91" s="3091" t="s">
        <v>2693</v>
      </c>
      <c r="D91" s="3091" t="s">
        <v>2694</v>
      </c>
      <c r="E91" s="3117">
        <v>0.2</v>
      </c>
      <c r="F91" s="3117">
        <v>25</v>
      </c>
    </row>
    <row r="92" spans="1:6" ht="13.5">
      <c r="A92" s="3117">
        <v>20</v>
      </c>
      <c r="B92" s="3834"/>
      <c r="C92" s="3091" t="s">
        <v>2695</v>
      </c>
      <c r="D92" s="3091" t="s">
        <v>2696</v>
      </c>
      <c r="E92" s="3117">
        <v>0.15</v>
      </c>
      <c r="F92" s="3117">
        <v>20</v>
      </c>
    </row>
    <row r="93" spans="1:6" ht="13.5">
      <c r="A93" s="3117">
        <v>21</v>
      </c>
      <c r="B93" s="3834"/>
      <c r="C93" s="3091" t="s">
        <v>2697</v>
      </c>
      <c r="D93" s="3091" t="s">
        <v>2698</v>
      </c>
      <c r="E93" s="3117">
        <v>0.15</v>
      </c>
      <c r="F93" s="3117">
        <v>20</v>
      </c>
    </row>
    <row r="94" spans="1:6" ht="13.5">
      <c r="A94" s="3117">
        <v>22</v>
      </c>
      <c r="B94" s="3834"/>
      <c r="C94" s="3091" t="s">
        <v>2699</v>
      </c>
      <c r="D94" s="3091" t="s">
        <v>2700</v>
      </c>
      <c r="E94" s="3117">
        <v>0.15</v>
      </c>
      <c r="F94" s="3117">
        <v>20</v>
      </c>
    </row>
    <row r="95" spans="1:6" ht="36">
      <c r="A95" s="3117">
        <v>23</v>
      </c>
      <c r="B95" s="3834"/>
      <c r="C95" s="3091" t="s">
        <v>2701</v>
      </c>
      <c r="D95" s="3091" t="s">
        <v>2702</v>
      </c>
      <c r="E95" s="3117">
        <v>0.15</v>
      </c>
      <c r="F95" s="3117">
        <v>20</v>
      </c>
    </row>
    <row r="96" spans="1:6" ht="13.5">
      <c r="A96" s="3117">
        <v>24</v>
      </c>
      <c r="B96" s="3834"/>
      <c r="C96" s="3091" t="s">
        <v>2703</v>
      </c>
      <c r="D96" s="3091" t="s">
        <v>2704</v>
      </c>
      <c r="E96" s="3117">
        <v>0.1</v>
      </c>
      <c r="F96" s="3117">
        <v>15</v>
      </c>
    </row>
    <row r="97" spans="1:6" ht="13.5">
      <c r="A97" s="3117">
        <v>25</v>
      </c>
      <c r="B97" s="3834"/>
      <c r="C97" s="3091" t="s">
        <v>2705</v>
      </c>
      <c r="D97" s="3091" t="s">
        <v>2706</v>
      </c>
      <c r="E97" s="3117">
        <v>0.1</v>
      </c>
      <c r="F97" s="3117">
        <v>15</v>
      </c>
    </row>
    <row r="98" spans="1:6" ht="24">
      <c r="A98" s="3117">
        <v>26</v>
      </c>
      <c r="B98" s="3834"/>
      <c r="C98" s="3091" t="s">
        <v>2707</v>
      </c>
      <c r="D98" s="3091" t="s">
        <v>2708</v>
      </c>
      <c r="E98" s="3117">
        <v>0.1</v>
      </c>
      <c r="F98" s="3117">
        <v>15</v>
      </c>
    </row>
    <row r="99" spans="1:6" ht="24">
      <c r="A99" s="3117">
        <v>27</v>
      </c>
      <c r="B99" s="3834"/>
      <c r="C99" s="3091" t="s">
        <v>2709</v>
      </c>
      <c r="D99" s="3091" t="s">
        <v>2710</v>
      </c>
      <c r="E99" s="3117">
        <v>0.1</v>
      </c>
      <c r="F99" s="3117">
        <v>15</v>
      </c>
    </row>
    <row r="100" spans="1:6" ht="13.5">
      <c r="A100" s="3117">
        <v>28</v>
      </c>
      <c r="B100" s="3834"/>
      <c r="C100" s="3091" t="s">
        <v>2711</v>
      </c>
      <c r="D100" s="3091" t="s">
        <v>2712</v>
      </c>
      <c r="E100" s="3117">
        <v>0.1</v>
      </c>
      <c r="F100" s="3117">
        <v>15</v>
      </c>
    </row>
    <row r="101" spans="1:6" ht="13.5">
      <c r="A101" s="3117">
        <v>29</v>
      </c>
      <c r="B101" s="3834"/>
      <c r="C101" s="3091" t="s">
        <v>2713</v>
      </c>
      <c r="D101" s="3091" t="s">
        <v>2714</v>
      </c>
      <c r="E101" s="3117">
        <v>0.1</v>
      </c>
      <c r="F101" s="3117">
        <v>15</v>
      </c>
    </row>
    <row r="102" spans="1:6" ht="13.5">
      <c r="A102" s="3117">
        <v>30</v>
      </c>
      <c r="B102" s="3834"/>
      <c r="C102" s="3091" t="s">
        <v>2715</v>
      </c>
      <c r="D102" s="3091" t="s">
        <v>2716</v>
      </c>
      <c r="E102" s="3117">
        <v>0.1</v>
      </c>
      <c r="F102" s="3117">
        <v>15</v>
      </c>
    </row>
    <row r="103" spans="1:6" ht="24">
      <c r="A103" s="3117">
        <v>31</v>
      </c>
      <c r="B103" s="3834"/>
      <c r="C103" s="3091" t="s">
        <v>2717</v>
      </c>
      <c r="D103" s="3091" t="s">
        <v>2718</v>
      </c>
      <c r="E103" s="3117">
        <v>0.1</v>
      </c>
      <c r="F103" s="3117">
        <v>15</v>
      </c>
    </row>
    <row r="104" spans="1:6" ht="24">
      <c r="A104" s="3117">
        <v>32</v>
      </c>
      <c r="B104" s="3834"/>
      <c r="C104" s="3091" t="s">
        <v>2719</v>
      </c>
      <c r="D104" s="3091" t="s">
        <v>2720</v>
      </c>
      <c r="E104" s="3117">
        <v>0.1</v>
      </c>
      <c r="F104" s="3117">
        <v>15</v>
      </c>
    </row>
    <row r="105" spans="1:6" ht="24">
      <c r="A105" s="3117">
        <v>33</v>
      </c>
      <c r="B105" s="3834"/>
      <c r="C105" s="3091" t="s">
        <v>2721</v>
      </c>
      <c r="D105" s="3091" t="s">
        <v>2722</v>
      </c>
      <c r="E105" s="3117">
        <v>0.1</v>
      </c>
      <c r="F105" s="3117">
        <v>15</v>
      </c>
    </row>
    <row r="106" spans="1:6" ht="24">
      <c r="A106" s="3117">
        <v>34</v>
      </c>
      <c r="B106" s="3833"/>
      <c r="C106" s="3091" t="s">
        <v>2723</v>
      </c>
      <c r="D106" s="3091" t="s">
        <v>2724</v>
      </c>
      <c r="E106" s="3117">
        <v>0.1</v>
      </c>
      <c r="F106" s="3117">
        <v>15</v>
      </c>
    </row>
    <row r="107" spans="1:6" ht="24">
      <c r="A107" s="3117">
        <v>35</v>
      </c>
      <c r="B107" s="3832" t="s">
        <v>2725</v>
      </c>
      <c r="C107" s="3117" t="s">
        <v>2726</v>
      </c>
      <c r="D107" s="3091" t="s">
        <v>2727</v>
      </c>
      <c r="E107" s="3117">
        <v>0.15</v>
      </c>
      <c r="F107" s="3117">
        <v>20</v>
      </c>
    </row>
    <row r="108" spans="1:6" ht="13.5">
      <c r="A108" s="3117">
        <v>36</v>
      </c>
      <c r="B108" s="3834"/>
      <c r="C108" s="3117" t="s">
        <v>2728</v>
      </c>
      <c r="D108" s="3091" t="s">
        <v>2729</v>
      </c>
      <c r="E108" s="3117">
        <v>0.15</v>
      </c>
      <c r="F108" s="3117">
        <v>20</v>
      </c>
    </row>
    <row r="109" spans="1:6" ht="13.5">
      <c r="A109" s="3117">
        <v>37</v>
      </c>
      <c r="B109" s="3834"/>
      <c r="C109" s="3117" t="s">
        <v>2730</v>
      </c>
      <c r="D109" s="3091" t="s">
        <v>2731</v>
      </c>
      <c r="E109" s="3117">
        <v>0.15</v>
      </c>
      <c r="F109" s="3117">
        <v>20</v>
      </c>
    </row>
    <row r="110" spans="1:6" ht="13.5">
      <c r="A110" s="3117">
        <v>38</v>
      </c>
      <c r="B110" s="3834"/>
      <c r="C110" s="3117" t="s">
        <v>2732</v>
      </c>
      <c r="D110" s="3091" t="s">
        <v>2733</v>
      </c>
      <c r="E110" s="3117">
        <v>0.1</v>
      </c>
      <c r="F110" s="3117">
        <v>15</v>
      </c>
    </row>
    <row r="111" spans="1:6" ht="24">
      <c r="A111" s="3117">
        <v>39</v>
      </c>
      <c r="B111" s="3834"/>
      <c r="C111" s="3117" t="s">
        <v>2734</v>
      </c>
      <c r="D111" s="3091" t="s">
        <v>2735</v>
      </c>
      <c r="E111" s="3117">
        <v>0.1</v>
      </c>
      <c r="F111" s="3117">
        <v>15</v>
      </c>
    </row>
    <row r="112" spans="1:6" ht="24">
      <c r="A112" s="3117">
        <v>40</v>
      </c>
      <c r="B112" s="3833"/>
      <c r="C112" s="3117" t="s">
        <v>2736</v>
      </c>
      <c r="D112" s="3091" t="s">
        <v>2737</v>
      </c>
      <c r="E112" s="3117">
        <v>0.1</v>
      </c>
      <c r="F112" s="3117">
        <v>15</v>
      </c>
    </row>
    <row r="113" spans="1:6" ht="13.5">
      <c r="A113" s="3117">
        <v>41</v>
      </c>
      <c r="B113" s="3831" t="s">
        <v>2738</v>
      </c>
      <c r="C113" s="3117" t="s">
        <v>2739</v>
      </c>
      <c r="D113" s="3091" t="s">
        <v>2740</v>
      </c>
      <c r="E113" s="3117">
        <v>0.1</v>
      </c>
      <c r="F113" s="3117">
        <v>15</v>
      </c>
    </row>
    <row r="114" spans="1:6" ht="13.5">
      <c r="A114" s="3117">
        <v>42</v>
      </c>
      <c r="B114" s="3831"/>
      <c r="C114" s="3117" t="s">
        <v>2741</v>
      </c>
      <c r="D114" s="3091" t="s">
        <v>2742</v>
      </c>
      <c r="E114" s="3117">
        <v>0.1</v>
      </c>
      <c r="F114" s="3117">
        <v>15</v>
      </c>
    </row>
    <row r="115" spans="1:6" ht="24">
      <c r="A115" s="3117">
        <v>43</v>
      </c>
      <c r="B115" s="3831"/>
      <c r="C115" s="3117" t="s">
        <v>2743</v>
      </c>
      <c r="D115" s="3091" t="s">
        <v>2744</v>
      </c>
      <c r="E115" s="3117">
        <v>0.1</v>
      </c>
      <c r="F115" s="3117">
        <v>15</v>
      </c>
    </row>
    <row r="116" spans="1:6" ht="13.5">
      <c r="A116" s="3117">
        <v>44</v>
      </c>
      <c r="B116" s="3832" t="s">
        <v>2745</v>
      </c>
      <c r="C116" s="3117" t="s">
        <v>2746</v>
      </c>
      <c r="D116" s="3091" t="s">
        <v>2747</v>
      </c>
      <c r="E116" s="3117">
        <v>0.1</v>
      </c>
      <c r="F116" s="3117">
        <v>15</v>
      </c>
    </row>
    <row r="117" spans="1:6" ht="24">
      <c r="A117" s="3117">
        <v>45</v>
      </c>
      <c r="B117" s="3833"/>
      <c r="C117" s="3091" t="s">
        <v>2748</v>
      </c>
      <c r="D117" s="3091" t="s">
        <v>2749</v>
      </c>
      <c r="E117" s="3117">
        <v>0.1</v>
      </c>
      <c r="F117" s="3117">
        <v>15</v>
      </c>
    </row>
    <row r="118" spans="1:6" ht="24">
      <c r="A118" s="3117">
        <v>46</v>
      </c>
      <c r="B118" s="3832" t="s">
        <v>2750</v>
      </c>
      <c r="C118" s="3117" t="s">
        <v>2751</v>
      </c>
      <c r="D118" s="3091" t="s">
        <v>2752</v>
      </c>
      <c r="E118" s="3117">
        <v>0.1</v>
      </c>
      <c r="F118" s="3117">
        <v>15</v>
      </c>
    </row>
    <row r="119" spans="1:6" ht="24">
      <c r="A119" s="3117">
        <v>47</v>
      </c>
      <c r="B119" s="3833"/>
      <c r="C119" s="3117" t="s">
        <v>2753</v>
      </c>
      <c r="D119" s="3091" t="s">
        <v>2754</v>
      </c>
      <c r="E119" s="3117">
        <v>0.1</v>
      </c>
      <c r="F119" s="3117">
        <v>15</v>
      </c>
    </row>
    <row r="120" spans="1:6" ht="13.5">
      <c r="A120" s="3117">
        <v>48</v>
      </c>
      <c r="B120" s="3832" t="s">
        <v>2755</v>
      </c>
      <c r="C120" s="3117" t="s">
        <v>2756</v>
      </c>
      <c r="D120" s="3091" t="s">
        <v>2757</v>
      </c>
      <c r="E120" s="3117">
        <v>0.1</v>
      </c>
      <c r="F120" s="3117">
        <v>15</v>
      </c>
    </row>
    <row r="121" spans="1:6" ht="13.5">
      <c r="A121" s="3117">
        <v>49</v>
      </c>
      <c r="B121" s="3833"/>
      <c r="C121" s="3117" t="s">
        <v>2758</v>
      </c>
      <c r="D121" s="3091" t="s">
        <v>2759</v>
      </c>
      <c r="E121" s="3117">
        <v>0.1</v>
      </c>
      <c r="F121" s="3117">
        <v>15</v>
      </c>
    </row>
    <row r="122" spans="1:6" ht="24">
      <c r="A122" s="3117">
        <v>50</v>
      </c>
      <c r="B122" s="3831" t="s">
        <v>2760</v>
      </c>
      <c r="C122" s="3117" t="s">
        <v>2761</v>
      </c>
      <c r="D122" s="3091" t="s">
        <v>2762</v>
      </c>
      <c r="E122" s="3117">
        <v>0.1</v>
      </c>
      <c r="F122" s="3117">
        <v>15</v>
      </c>
    </row>
    <row r="123" spans="1:6" ht="24">
      <c r="A123" s="3117">
        <v>51</v>
      </c>
      <c r="B123" s="3831"/>
      <c r="C123" s="3117" t="s">
        <v>2763</v>
      </c>
      <c r="D123" s="3091" t="s">
        <v>2764</v>
      </c>
      <c r="E123" s="3117">
        <v>0.1</v>
      </c>
      <c r="F123" s="3117">
        <v>15</v>
      </c>
    </row>
    <row r="124" spans="1:6" ht="24">
      <c r="A124" s="3117">
        <v>52</v>
      </c>
      <c r="B124" s="3831" t="s">
        <v>2765</v>
      </c>
      <c r="C124" s="3117" t="s">
        <v>2766</v>
      </c>
      <c r="D124" s="3091" t="s">
        <v>2767</v>
      </c>
      <c r="E124" s="3117">
        <v>0.1</v>
      </c>
      <c r="F124" s="3117">
        <v>15</v>
      </c>
    </row>
    <row r="125" spans="1:6" ht="24">
      <c r="A125" s="3117">
        <v>53</v>
      </c>
      <c r="B125" s="383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31" t="s">
        <v>2773</v>
      </c>
      <c r="C127" s="3117" t="s">
        <v>2774</v>
      </c>
      <c r="D127" s="3091" t="s">
        <v>2775</v>
      </c>
      <c r="E127" s="3117">
        <v>0.1</v>
      </c>
      <c r="F127" s="3117">
        <v>15</v>
      </c>
    </row>
    <row r="128" spans="1:6" ht="13.5">
      <c r="A128" s="3117">
        <v>56</v>
      </c>
      <c r="B128" s="3831"/>
      <c r="C128" s="3117" t="s">
        <v>2776</v>
      </c>
      <c r="D128" s="3091" t="s">
        <v>2777</v>
      </c>
      <c r="E128" s="3117">
        <v>0.1</v>
      </c>
      <c r="F128" s="3117">
        <v>15</v>
      </c>
    </row>
    <row r="129" spans="1:6" ht="24">
      <c r="A129" s="3117">
        <v>57</v>
      </c>
      <c r="B129" s="3831"/>
      <c r="C129" s="3117" t="s">
        <v>2778</v>
      </c>
      <c r="D129" s="3091" t="s">
        <v>2779</v>
      </c>
      <c r="E129" s="3117">
        <v>0.1</v>
      </c>
      <c r="F129" s="3117">
        <v>15</v>
      </c>
    </row>
    <row r="130" spans="1:6" ht="24">
      <c r="A130" s="3117">
        <v>58</v>
      </c>
      <c r="B130" s="3831" t="s">
        <v>2780</v>
      </c>
      <c r="C130" s="3117" t="s">
        <v>2781</v>
      </c>
      <c r="D130" s="3091" t="s">
        <v>2782</v>
      </c>
      <c r="E130" s="3117">
        <v>0.1</v>
      </c>
      <c r="F130" s="3117">
        <v>15</v>
      </c>
    </row>
    <row r="131" spans="1:6" ht="13.5">
      <c r="A131" s="3117">
        <v>59</v>
      </c>
      <c r="B131" s="3831"/>
      <c r="C131" s="3117" t="s">
        <v>2783</v>
      </c>
      <c r="D131" s="3091" t="s">
        <v>2784</v>
      </c>
      <c r="E131" s="3117">
        <v>0.1</v>
      </c>
      <c r="F131" s="3117">
        <v>15</v>
      </c>
    </row>
    <row r="132" spans="1:6" ht="13.5">
      <c r="A132" s="3117">
        <v>60</v>
      </c>
      <c r="B132" s="3832" t="s">
        <v>2785</v>
      </c>
      <c r="C132" s="3117" t="s">
        <v>2786</v>
      </c>
      <c r="D132" s="3091" t="s">
        <v>2787</v>
      </c>
      <c r="E132" s="3117">
        <v>0.1</v>
      </c>
      <c r="F132" s="3117">
        <v>15</v>
      </c>
    </row>
    <row r="133" spans="1:6" ht="13.5">
      <c r="A133" s="3117">
        <v>61</v>
      </c>
      <c r="B133" s="383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31" t="s">
        <v>2793</v>
      </c>
      <c r="C135" s="3117" t="s">
        <v>2794</v>
      </c>
      <c r="D135" s="3091" t="s">
        <v>2795</v>
      </c>
      <c r="E135" s="3117">
        <v>0.1</v>
      </c>
      <c r="F135" s="3117">
        <v>15</v>
      </c>
    </row>
    <row r="136" spans="1:6" ht="13.5">
      <c r="A136" s="3117">
        <v>64</v>
      </c>
      <c r="B136" s="383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93"/>
      <c r="B4" s="3523" t="s">
        <v>917</v>
      </c>
      <c r="C4" s="3523"/>
      <c r="D4" s="3523"/>
      <c r="E4" s="1493"/>
    </row>
    <row r="5" spans="1:5" ht="16.5" thickTop="1">
      <c r="A5" s="1491"/>
      <c r="B5" s="3521" t="s">
        <v>909</v>
      </c>
      <c r="C5" s="1494" t="s">
        <v>910</v>
      </c>
      <c r="D5" s="850">
        <f ca="1">结果表!H101</f>
        <v>112289</v>
      </c>
      <c r="E5" s="1491"/>
    </row>
    <row r="6" spans="1:5" ht="15.75">
      <c r="A6" s="1491"/>
      <c r="B6" s="3521"/>
      <c r="C6" s="1494" t="s">
        <v>911</v>
      </c>
      <c r="D6" s="850" t="str">
        <f ca="1">NUMBERSTRING(INT(D5*10000),2)&amp;"元整"</f>
        <v>壹拾壹亿贰仟贰佰捌拾玖万元整</v>
      </c>
      <c r="E6" s="1491"/>
    </row>
    <row r="7" spans="1:5" ht="15.75">
      <c r="A7" s="1491"/>
      <c r="B7" s="3526"/>
      <c r="C7" s="1495" t="s">
        <v>912</v>
      </c>
      <c r="D7" s="851">
        <f ca="1">结果表!H102</f>
        <v>36632</v>
      </c>
      <c r="E7" s="1491"/>
    </row>
    <row r="8" spans="1:5" ht="15.75">
      <c r="A8" s="1491"/>
      <c r="B8" s="3527" t="str">
        <f>结果表!E103</f>
        <v>2.估价师知悉的法定优先受偿款</v>
      </c>
      <c r="C8" s="1496" t="s">
        <v>913</v>
      </c>
      <c r="D8" s="851">
        <f>结果表!H103</f>
        <v>0</v>
      </c>
      <c r="E8" s="1491"/>
    </row>
    <row r="9" spans="1:5" ht="15.75">
      <c r="A9" s="1491"/>
      <c r="B9" s="352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0" t="str">
        <f>结果表!E107</f>
        <v>3.房地产抵押价值</v>
      </c>
      <c r="C13" s="1499" t="s">
        <v>910</v>
      </c>
      <c r="D13" s="853">
        <f ca="1">结果表!H107</f>
        <v>112289</v>
      </c>
      <c r="E13" s="1491"/>
    </row>
    <row r="14" spans="1:5" ht="15.75">
      <c r="A14" s="1491"/>
      <c r="B14" s="3521"/>
      <c r="C14" s="1494" t="s">
        <v>911</v>
      </c>
      <c r="D14" s="850" t="str">
        <f ca="1">NUMBERSTRING(INT(D13*10000),2)&amp;"元整"</f>
        <v>壹拾壹亿贰仟贰佰捌拾玖万元整</v>
      </c>
      <c r="E14" s="1491"/>
    </row>
    <row r="15" spans="1:5" ht="15">
      <c r="A15" s="1491"/>
      <c r="B15" s="3526"/>
      <c r="C15" s="1495" t="s">
        <v>921</v>
      </c>
      <c r="D15" s="859">
        <f ca="1">结果表!H108</f>
        <v>36632</v>
      </c>
      <c r="E15" s="1491"/>
    </row>
    <row r="16" spans="1:5" ht="15">
      <c r="A16" s="1491"/>
      <c r="B16" s="3527" t="str">
        <f>结果表!E109</f>
        <v>——</v>
      </c>
      <c r="C16" s="1499" t="s">
        <v>922</v>
      </c>
      <c r="D16" s="1500" t="str">
        <f>结果表!H109</f>
        <v>——</v>
      </c>
      <c r="E16" s="1491"/>
    </row>
    <row r="17" spans="1:5" ht="15.75">
      <c r="A17" s="1491"/>
      <c r="B17" s="3528"/>
      <c r="C17" s="1494" t="s">
        <v>923</v>
      </c>
      <c r="D17" s="850" t="e">
        <f>NUMBERSTRING(INT(D16*10000),2)&amp;"元整"</f>
        <v>#VALUE!</v>
      </c>
      <c r="E17" s="1491"/>
    </row>
    <row r="18" spans="1:5" ht="15">
      <c r="A18" s="1491"/>
      <c r="B18" s="3529"/>
      <c r="C18" s="1495" t="s">
        <v>912</v>
      </c>
      <c r="D18" s="859" t="str">
        <f>结果表!H110</f>
        <v>——</v>
      </c>
      <c r="E18" s="1491"/>
    </row>
    <row r="19" spans="1:5" ht="15.75">
      <c r="A19" s="1491"/>
      <c r="B19" s="3520" t="str">
        <f>结果表!E111</f>
        <v>——</v>
      </c>
      <c r="C19" s="1499" t="s">
        <v>910</v>
      </c>
      <c r="D19" s="851" t="str">
        <f>结果表!H111</f>
        <v>——</v>
      </c>
      <c r="E19" s="1491"/>
    </row>
    <row r="20" spans="1:5" ht="15.75">
      <c r="A20" s="1491"/>
      <c r="B20" s="3521"/>
      <c r="C20" s="1494" t="s">
        <v>923</v>
      </c>
      <c r="D20" s="850" t="e">
        <f>NUMBERSTRING(INT(D19*10000),2)&amp;"元整"</f>
        <v>#VALUE!</v>
      </c>
      <c r="E20" s="1491"/>
    </row>
    <row r="21" spans="1:5" ht="15.75" thickBot="1">
      <c r="A21" s="1491"/>
      <c r="B21" s="352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0.87250000000000005</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0.82989999999999997</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54027</v>
      </c>
      <c r="C2" s="2" t="s">
        <v>106</v>
      </c>
      <c r="D2" s="199"/>
      <c r="E2" s="199"/>
      <c r="F2" s="199"/>
      <c r="G2" s="199"/>
    </row>
    <row r="3" spans="1:7" s="200" customFormat="1" ht="18" customHeight="1" thickBot="1">
      <c r="A3" s="203" t="s">
        <v>58</v>
      </c>
      <c r="B3" s="204">
        <f ca="1">ROUND(B2*10000/'数据-汇总表'!E3,0)</f>
        <v>17625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21832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19924</v>
      </c>
      <c r="D34" s="217"/>
      <c r="E34" s="220"/>
      <c r="F34" s="257">
        <f>IF('数据-取费表'!B24=0,1,'数据-取费表'!N16)</f>
        <v>1</v>
      </c>
      <c r="G34" s="219" t="s">
        <v>89</v>
      </c>
    </row>
    <row r="35" spans="1:7" ht="13.5" customHeight="1">
      <c r="A35" s="780" t="s">
        <v>351</v>
      </c>
      <c r="B35" s="215" t="s">
        <v>33</v>
      </c>
      <c r="C35" s="220">
        <f>ROUND(C34*F35,0)</f>
        <v>996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299</v>
      </c>
      <c r="D38" s="220"/>
      <c r="E38" s="220"/>
      <c r="F38" s="259">
        <f>'数据-取费表'!B36</f>
        <v>1.4999999999999999E-2</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775</v>
      </c>
      <c r="D42" s="238"/>
      <c r="E42" s="238"/>
      <c r="F42" s="239"/>
      <c r="G42" s="3707" t="s">
        <v>94</v>
      </c>
    </row>
    <row r="43" spans="1:7" ht="13.5" customHeight="1">
      <c r="A43" s="780" t="s">
        <v>347</v>
      </c>
      <c r="B43" s="215" t="s">
        <v>426</v>
      </c>
      <c r="C43" s="238">
        <f ca="1">ROUND(IF('数据-取费表'!B22&lt;=1,C39*F22*'数据-取费表'!B21/2,C39*(POWER((1+F22),'数据-取费表'!B21/2)-1)),0)</f>
        <v>16</v>
      </c>
      <c r="D43" s="238"/>
      <c r="E43" s="238"/>
      <c r="F43" s="239"/>
      <c r="G43" s="3708"/>
    </row>
    <row r="44" spans="1:7" ht="13.5" customHeight="1">
      <c r="A44" s="780" t="s">
        <v>348</v>
      </c>
      <c r="B44" s="215" t="s">
        <v>428</v>
      </c>
      <c r="C44" s="238">
        <f ca="1">ROUND(IF('数据-取费表'!B22&lt;=1,C40*F22*'数据-取费表'!B21/2,C40*(POWER((1+F22),'数据-取费表'!B21/2)-1)),4)</f>
        <v>6.9999999999999999E-4</v>
      </c>
      <c r="D44" s="238"/>
      <c r="E44" s="238"/>
      <c r="F44" s="239"/>
      <c r="G44" s="3709"/>
    </row>
    <row r="45" spans="1:7" s="214" customFormat="1" ht="13.5" customHeight="1">
      <c r="A45" s="777" t="s">
        <v>341</v>
      </c>
      <c r="B45" s="244" t="s">
        <v>85</v>
      </c>
      <c r="C45" s="245">
        <f>C46</f>
        <v>4454</v>
      </c>
      <c r="D45" s="235">
        <f>C47</f>
        <v>4.0000000000000001E-3</v>
      </c>
      <c r="E45" s="236" t="s">
        <v>102</v>
      </c>
      <c r="F45" s="246"/>
      <c r="G45" s="247" t="s">
        <v>434</v>
      </c>
    </row>
    <row r="46" spans="1:7" s="214" customFormat="1" ht="13.5" customHeight="1">
      <c r="A46" s="780" t="s">
        <v>349</v>
      </c>
      <c r="B46" s="248" t="s">
        <v>427</v>
      </c>
      <c r="C46" s="249">
        <f>ROUND((C33+C39)*F27,0)</f>
        <v>4454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29843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24173</v>
      </c>
      <c r="D51" s="232"/>
      <c r="E51" s="232"/>
      <c r="F51" s="264"/>
      <c r="G51" s="234" t="s">
        <v>37</v>
      </c>
    </row>
    <row r="52" spans="1:7" s="208" customFormat="1" ht="16.5" thickBot="1">
      <c r="A52" s="265" t="s">
        <v>38</v>
      </c>
      <c r="B52" s="266"/>
      <c r="C52" s="267">
        <f ca="1">C31+C51</f>
        <v>54027</v>
      </c>
      <c r="D52" s="266"/>
      <c r="E52" s="266"/>
      <c r="F52" s="266"/>
      <c r="G52" s="268"/>
    </row>
    <row r="55" spans="1:7" ht="15">
      <c r="B55" s="270" t="s">
        <v>39</v>
      </c>
      <c r="C55" s="271"/>
    </row>
    <row r="56" spans="1:7">
      <c r="B56" s="273" t="s">
        <v>40</v>
      </c>
      <c r="C56" s="274">
        <f ca="1">ROUND(C51/C52,3)</f>
        <v>0.44700000000000001</v>
      </c>
    </row>
    <row r="57" spans="1:7">
      <c r="B57" s="273" t="s">
        <v>41</v>
      </c>
      <c r="C57" s="275">
        <f ca="1">1-C56</f>
        <v>0.55299999999999994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45" t="s">
        <v>2845</v>
      </c>
      <c r="B1" s="3845"/>
      <c r="C1" s="3845"/>
      <c r="D1" s="3845"/>
      <c r="E1" s="3845"/>
      <c r="F1" s="3845"/>
      <c r="G1" s="384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43"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4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2" workbookViewId="0">
      <selection activeCell="H56" sqref="H5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47" t="s">
        <v>3187</v>
      </c>
      <c r="B1" s="3847"/>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48" t="s">
        <v>3238</v>
      </c>
      <c r="B1" s="3848"/>
      <c r="C1" s="3848"/>
      <c r="D1" s="3848"/>
      <c r="E1" s="3848"/>
      <c r="F1" s="3849"/>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3220">
        <f>基准地价修正!G23</f>
        <v>45128</v>
      </c>
      <c r="B1" s="3209" t="s">
        <v>2844</v>
      </c>
      <c r="C1" s="3210"/>
      <c r="D1" s="3210"/>
      <c r="E1" s="3210"/>
      <c r="F1" s="3210"/>
      <c r="G1" s="3210"/>
      <c r="H1" s="3210"/>
      <c r="I1" s="3210"/>
      <c r="J1" s="3164"/>
      <c r="K1" s="3210" t="s">
        <v>454</v>
      </c>
      <c r="L1" s="3210"/>
      <c r="M1" s="3210"/>
      <c r="N1" s="3210"/>
      <c r="O1" s="3210"/>
      <c r="P1" s="3210"/>
      <c r="Q1" s="3164"/>
      <c r="R1" s="3850" t="s">
        <v>456</v>
      </c>
      <c r="S1" s="3851"/>
      <c r="T1" s="3851"/>
      <c r="U1" s="3851"/>
      <c r="V1" s="3851"/>
      <c r="W1" s="3851"/>
      <c r="X1" s="3164"/>
      <c r="Y1" s="3850" t="s">
        <v>457</v>
      </c>
      <c r="Z1" s="3851"/>
      <c r="AA1" s="3851"/>
      <c r="AB1" s="3851"/>
      <c r="AC1" s="3851"/>
      <c r="AD1" s="385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84" customFormat="1" ht="12.75">
      <c r="A7" s="3175" t="s">
        <v>3373</v>
      </c>
      <c r="B7" s="3176">
        <v>2023</v>
      </c>
      <c r="C7" s="3177">
        <v>2</v>
      </c>
      <c r="D7" s="3178">
        <v>0.91</v>
      </c>
      <c r="E7" s="3178">
        <v>0.66</v>
      </c>
      <c r="F7" s="3178">
        <v>0.47</v>
      </c>
      <c r="G7" s="3178">
        <v>0.96</v>
      </c>
      <c r="H7" s="3178">
        <v>0.71</v>
      </c>
      <c r="I7" s="3179">
        <f t="shared" si="4"/>
        <v>0.47</v>
      </c>
      <c r="J7" s="3180"/>
      <c r="K7" s="3181">
        <f t="shared" si="8"/>
        <v>9.1000000000000004E-3</v>
      </c>
      <c r="L7" s="3171">
        <f t="shared" si="9"/>
        <v>6.6E-3</v>
      </c>
      <c r="M7" s="3171">
        <f t="shared" si="10"/>
        <v>4.6999999999999993E-3</v>
      </c>
      <c r="N7" s="3171">
        <f t="shared" si="11"/>
        <v>9.5999999999999992E-3</v>
      </c>
      <c r="O7" s="3171">
        <f t="shared" si="12"/>
        <v>7.0999999999999995E-3</v>
      </c>
      <c r="P7" s="3171">
        <f t="shared" si="13"/>
        <v>4.6999999999999993E-3</v>
      </c>
      <c r="Q7" s="3180"/>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50" t="s">
        <v>2832</v>
      </c>
      <c r="S21" s="3851"/>
      <c r="T21" s="3851"/>
      <c r="U21" s="3851"/>
      <c r="V21" s="3851"/>
      <c r="W21" s="3851"/>
      <c r="X21" s="3164"/>
      <c r="Y21" s="3850" t="s">
        <v>2833</v>
      </c>
      <c r="Z21" s="3851"/>
      <c r="AA21" s="3851"/>
      <c r="AB21" s="3851"/>
      <c r="AC21" s="3851"/>
      <c r="AD21" s="385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84" customFormat="1" ht="12.75">
      <c r="A27" s="3175" t="s">
        <v>3373</v>
      </c>
      <c r="B27" s="3176">
        <v>2023</v>
      </c>
      <c r="C27" s="3177">
        <v>2</v>
      </c>
      <c r="D27" s="3178"/>
      <c r="E27" s="3178">
        <v>0.5</v>
      </c>
      <c r="F27" s="3178">
        <v>0.45</v>
      </c>
      <c r="G27" s="3178">
        <v>0.89</v>
      </c>
      <c r="H27" s="3195"/>
      <c r="I27" s="3179">
        <f t="shared" si="26"/>
        <v>0.45</v>
      </c>
      <c r="J27" s="3180"/>
      <c r="K27" s="3181"/>
      <c r="L27" s="3171">
        <f t="shared" si="28"/>
        <v>5.0000000000000001E-3</v>
      </c>
      <c r="M27" s="3171">
        <f t="shared" si="29"/>
        <v>4.5000000000000005E-3</v>
      </c>
      <c r="N27" s="3171">
        <f t="shared" si="30"/>
        <v>8.8999999999999999E-3</v>
      </c>
      <c r="O27" s="3171"/>
      <c r="P27" s="3171">
        <f t="shared" si="31"/>
        <v>4.5000000000000005E-3</v>
      </c>
      <c r="Q27" s="3180"/>
      <c r="R27" s="3182"/>
      <c r="S27" s="3182">
        <f>ROUND(IF([2]项目基本情况!$B$8="出让",SUMPRODUCT(PRODUCT(1+L27:L$36)),SUMPRODUCT(PRODUCT(1+L27:L$35))),4)</f>
        <v>1.0396000000000001</v>
      </c>
      <c r="T27" s="3182">
        <f>ROUND(IF([2]项目基本情况!$B$8="出让",SUMPRODUCT(PRODUCT(1+M27:M$36)),SUMPRODUCT(PRODUCT(1+M27:M$35))),4)</f>
        <v>1.0269999999999999</v>
      </c>
      <c r="U27" s="3182">
        <f>ROUND(IF([2]项目基本情况!$B$8="出让",SUMPRODUCT(PRODUCT(1+N27:N$36)),SUMPRODUCT(PRODUCT(1+N27:N$35))),4)</f>
        <v>1.0668</v>
      </c>
      <c r="V27" s="3182"/>
      <c r="W27" s="3182">
        <f t="shared" si="32"/>
        <v>1.0269999999999999</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7" t="s">
        <v>452</v>
      </c>
      <c r="C1" s="3857"/>
      <c r="D1" s="3857"/>
      <c r="E1" s="3857"/>
      <c r="F1" s="3857"/>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182" workbookViewId="0">
      <selection activeCell="E222" sqref="E222"/>
    </sheetView>
  </sheetViews>
  <sheetFormatPr defaultColWidth="6" defaultRowHeight="12"/>
  <cols>
    <col min="1" max="1" width="10.25" style="3498" bestFit="1" customWidth="1"/>
    <col min="2" max="2" width="10.125" style="3498" customWidth="1"/>
    <col min="3" max="3" width="10.625" style="3499" bestFit="1" customWidth="1"/>
    <col min="4" max="4" width="17.75" style="3493" customWidth="1"/>
    <col min="5" max="5" width="13.75" style="3493" customWidth="1"/>
    <col min="6" max="252" width="6" style="3493"/>
    <col min="253" max="253" width="10.25" style="3493" bestFit="1" customWidth="1"/>
    <col min="254" max="256" width="6" style="3493"/>
    <col min="257" max="257" width="10.125" style="3493" bestFit="1" customWidth="1"/>
    <col min="258" max="258" width="10.125" style="3493" customWidth="1"/>
    <col min="259" max="259" width="8.5" style="3493" bestFit="1" customWidth="1"/>
    <col min="260" max="260" width="17.75" style="3493" customWidth="1"/>
    <col min="261" max="512" width="6" style="3493"/>
    <col min="513" max="513" width="10.125" style="3493" bestFit="1" customWidth="1"/>
    <col min="514" max="514" width="10.125" style="3493" customWidth="1"/>
    <col min="515" max="515" width="8.5" style="3493" bestFit="1" customWidth="1"/>
    <col min="516" max="516" width="17.75" style="3493" customWidth="1"/>
    <col min="517" max="768" width="6" style="3493"/>
    <col min="769" max="769" width="10.125" style="3493" bestFit="1" customWidth="1"/>
    <col min="770" max="770" width="10.125" style="3493" customWidth="1"/>
    <col min="771" max="771" width="8.5" style="3493" bestFit="1" customWidth="1"/>
    <col min="772" max="772" width="17.75" style="3493" customWidth="1"/>
    <col min="773" max="1024" width="6" style="3493"/>
    <col min="1025" max="1025" width="10.125" style="3493" bestFit="1" customWidth="1"/>
    <col min="1026" max="1026" width="10.125" style="3493" customWidth="1"/>
    <col min="1027" max="1027" width="8.5" style="3493" bestFit="1" customWidth="1"/>
    <col min="1028" max="1028" width="17.75" style="3493" customWidth="1"/>
    <col min="1029" max="1280" width="6" style="3493"/>
    <col min="1281" max="1281" width="10.125" style="3493" bestFit="1" customWidth="1"/>
    <col min="1282" max="1282" width="10.125" style="3493" customWidth="1"/>
    <col min="1283" max="1283" width="8.5" style="3493" bestFit="1" customWidth="1"/>
    <col min="1284" max="1284" width="17.75" style="3493" customWidth="1"/>
    <col min="1285" max="1536" width="6" style="3493"/>
    <col min="1537" max="1537" width="10.125" style="3493" bestFit="1" customWidth="1"/>
    <col min="1538" max="1538" width="10.125" style="3493" customWidth="1"/>
    <col min="1539" max="1539" width="8.5" style="3493" bestFit="1" customWidth="1"/>
    <col min="1540" max="1540" width="17.75" style="3493" customWidth="1"/>
    <col min="1541" max="1792" width="6" style="3493"/>
    <col min="1793" max="1793" width="10.125" style="3493" bestFit="1" customWidth="1"/>
    <col min="1794" max="1794" width="10.125" style="3493" customWidth="1"/>
    <col min="1795" max="1795" width="8.5" style="3493" bestFit="1" customWidth="1"/>
    <col min="1796" max="1796" width="17.75" style="3493" customWidth="1"/>
    <col min="1797" max="2048" width="6" style="3493"/>
    <col min="2049" max="2049" width="10.125" style="3493" bestFit="1" customWidth="1"/>
    <col min="2050" max="2050" width="10.125" style="3493" customWidth="1"/>
    <col min="2051" max="2051" width="8.5" style="3493" bestFit="1" customWidth="1"/>
    <col min="2052" max="2052" width="17.75" style="3493" customWidth="1"/>
    <col min="2053" max="2304" width="6" style="3493"/>
    <col min="2305" max="2305" width="10.125" style="3493" bestFit="1" customWidth="1"/>
    <col min="2306" max="2306" width="10.125" style="3493" customWidth="1"/>
    <col min="2307" max="2307" width="8.5" style="3493" bestFit="1" customWidth="1"/>
    <col min="2308" max="2308" width="17.75" style="3493" customWidth="1"/>
    <col min="2309" max="2560" width="6" style="3493"/>
    <col min="2561" max="2561" width="10.125" style="3493" bestFit="1" customWidth="1"/>
    <col min="2562" max="2562" width="10.125" style="3493" customWidth="1"/>
    <col min="2563" max="2563" width="8.5" style="3493" bestFit="1" customWidth="1"/>
    <col min="2564" max="2564" width="17.75" style="3493" customWidth="1"/>
    <col min="2565" max="2816" width="6" style="3493"/>
    <col min="2817" max="2817" width="10.125" style="3493" bestFit="1" customWidth="1"/>
    <col min="2818" max="2818" width="10.125" style="3493" customWidth="1"/>
    <col min="2819" max="2819" width="8.5" style="3493" bestFit="1" customWidth="1"/>
    <col min="2820" max="2820" width="17.75" style="3493" customWidth="1"/>
    <col min="2821" max="3072" width="6" style="3493"/>
    <col min="3073" max="3073" width="10.125" style="3493" bestFit="1" customWidth="1"/>
    <col min="3074" max="3074" width="10.125" style="3493" customWidth="1"/>
    <col min="3075" max="3075" width="8.5" style="3493" bestFit="1" customWidth="1"/>
    <col min="3076" max="3076" width="17.75" style="3493" customWidth="1"/>
    <col min="3077" max="3328" width="6" style="3493"/>
    <col min="3329" max="3329" width="10.125" style="3493" bestFit="1" customWidth="1"/>
    <col min="3330" max="3330" width="10.125" style="3493" customWidth="1"/>
    <col min="3331" max="3331" width="8.5" style="3493" bestFit="1" customWidth="1"/>
    <col min="3332" max="3332" width="17.75" style="3493" customWidth="1"/>
    <col min="3333" max="3584" width="6" style="3493"/>
    <col min="3585" max="3585" width="10.125" style="3493" bestFit="1" customWidth="1"/>
    <col min="3586" max="3586" width="10.125" style="3493" customWidth="1"/>
    <col min="3587" max="3587" width="8.5" style="3493" bestFit="1" customWidth="1"/>
    <col min="3588" max="3588" width="17.75" style="3493" customWidth="1"/>
    <col min="3589" max="3840" width="6" style="3493"/>
    <col min="3841" max="3841" width="10.125" style="3493" bestFit="1" customWidth="1"/>
    <col min="3842" max="3842" width="10.125" style="3493" customWidth="1"/>
    <col min="3843" max="3843" width="8.5" style="3493" bestFit="1" customWidth="1"/>
    <col min="3844" max="3844" width="17.75" style="3493" customWidth="1"/>
    <col min="3845" max="4096" width="6" style="3493"/>
    <col min="4097" max="4097" width="10.125" style="3493" bestFit="1" customWidth="1"/>
    <col min="4098" max="4098" width="10.125" style="3493" customWidth="1"/>
    <col min="4099" max="4099" width="8.5" style="3493" bestFit="1" customWidth="1"/>
    <col min="4100" max="4100" width="17.75" style="3493" customWidth="1"/>
    <col min="4101" max="4352" width="6" style="3493"/>
    <col min="4353" max="4353" width="10.125" style="3493" bestFit="1" customWidth="1"/>
    <col min="4354" max="4354" width="10.125" style="3493" customWidth="1"/>
    <col min="4355" max="4355" width="8.5" style="3493" bestFit="1" customWidth="1"/>
    <col min="4356" max="4356" width="17.75" style="3493" customWidth="1"/>
    <col min="4357" max="4608" width="6" style="3493"/>
    <col min="4609" max="4609" width="10.125" style="3493" bestFit="1" customWidth="1"/>
    <col min="4610" max="4610" width="10.125" style="3493" customWidth="1"/>
    <col min="4611" max="4611" width="8.5" style="3493" bestFit="1" customWidth="1"/>
    <col min="4612" max="4612" width="17.75" style="3493" customWidth="1"/>
    <col min="4613" max="4864" width="6" style="3493"/>
    <col min="4865" max="4865" width="10.125" style="3493" bestFit="1" customWidth="1"/>
    <col min="4866" max="4866" width="10.125" style="3493" customWidth="1"/>
    <col min="4867" max="4867" width="8.5" style="3493" bestFit="1" customWidth="1"/>
    <col min="4868" max="4868" width="17.75" style="3493" customWidth="1"/>
    <col min="4869" max="5120" width="6" style="3493"/>
    <col min="5121" max="5121" width="10.125" style="3493" bestFit="1" customWidth="1"/>
    <col min="5122" max="5122" width="10.125" style="3493" customWidth="1"/>
    <col min="5123" max="5123" width="8.5" style="3493" bestFit="1" customWidth="1"/>
    <col min="5124" max="5124" width="17.75" style="3493" customWidth="1"/>
    <col min="5125" max="5376" width="6" style="3493"/>
    <col min="5377" max="5377" width="10.125" style="3493" bestFit="1" customWidth="1"/>
    <col min="5378" max="5378" width="10.125" style="3493" customWidth="1"/>
    <col min="5379" max="5379" width="8.5" style="3493" bestFit="1" customWidth="1"/>
    <col min="5380" max="5380" width="17.75" style="3493" customWidth="1"/>
    <col min="5381" max="5632" width="6" style="3493"/>
    <col min="5633" max="5633" width="10.125" style="3493" bestFit="1" customWidth="1"/>
    <col min="5634" max="5634" width="10.125" style="3493" customWidth="1"/>
    <col min="5635" max="5635" width="8.5" style="3493" bestFit="1" customWidth="1"/>
    <col min="5636" max="5636" width="17.75" style="3493" customWidth="1"/>
    <col min="5637" max="5888" width="6" style="3493"/>
    <col min="5889" max="5889" width="10.125" style="3493" bestFit="1" customWidth="1"/>
    <col min="5890" max="5890" width="10.125" style="3493" customWidth="1"/>
    <col min="5891" max="5891" width="8.5" style="3493" bestFit="1" customWidth="1"/>
    <col min="5892" max="5892" width="17.75" style="3493" customWidth="1"/>
    <col min="5893" max="6144" width="6" style="3493"/>
    <col min="6145" max="6145" width="10.125" style="3493" bestFit="1" customWidth="1"/>
    <col min="6146" max="6146" width="10.125" style="3493" customWidth="1"/>
    <col min="6147" max="6147" width="8.5" style="3493" bestFit="1" customWidth="1"/>
    <col min="6148" max="6148" width="17.75" style="3493" customWidth="1"/>
    <col min="6149" max="6400" width="6" style="3493"/>
    <col min="6401" max="6401" width="10.125" style="3493" bestFit="1" customWidth="1"/>
    <col min="6402" max="6402" width="10.125" style="3493" customWidth="1"/>
    <col min="6403" max="6403" width="8.5" style="3493" bestFit="1" customWidth="1"/>
    <col min="6404" max="6404" width="17.75" style="3493" customWidth="1"/>
    <col min="6405" max="6656" width="6" style="3493"/>
    <col min="6657" max="6657" width="10.125" style="3493" bestFit="1" customWidth="1"/>
    <col min="6658" max="6658" width="10.125" style="3493" customWidth="1"/>
    <col min="6659" max="6659" width="8.5" style="3493" bestFit="1" customWidth="1"/>
    <col min="6660" max="6660" width="17.75" style="3493" customWidth="1"/>
    <col min="6661" max="6912" width="6" style="3493"/>
    <col min="6913" max="6913" width="10.125" style="3493" bestFit="1" customWidth="1"/>
    <col min="6914" max="6914" width="10.125" style="3493" customWidth="1"/>
    <col min="6915" max="6915" width="8.5" style="3493" bestFit="1" customWidth="1"/>
    <col min="6916" max="6916" width="17.75" style="3493" customWidth="1"/>
    <col min="6917" max="7168" width="6" style="3493"/>
    <col min="7169" max="7169" width="10.125" style="3493" bestFit="1" customWidth="1"/>
    <col min="7170" max="7170" width="10.125" style="3493" customWidth="1"/>
    <col min="7171" max="7171" width="8.5" style="3493" bestFit="1" customWidth="1"/>
    <col min="7172" max="7172" width="17.75" style="3493" customWidth="1"/>
    <col min="7173" max="7424" width="6" style="3493"/>
    <col min="7425" max="7425" width="10.125" style="3493" bestFit="1" customWidth="1"/>
    <col min="7426" max="7426" width="10.125" style="3493" customWidth="1"/>
    <col min="7427" max="7427" width="8.5" style="3493" bestFit="1" customWidth="1"/>
    <col min="7428" max="7428" width="17.75" style="3493" customWidth="1"/>
    <col min="7429" max="7680" width="6" style="3493"/>
    <col min="7681" max="7681" width="10.125" style="3493" bestFit="1" customWidth="1"/>
    <col min="7682" max="7682" width="10.125" style="3493" customWidth="1"/>
    <col min="7683" max="7683" width="8.5" style="3493" bestFit="1" customWidth="1"/>
    <col min="7684" max="7684" width="17.75" style="3493" customWidth="1"/>
    <col min="7685" max="7936" width="6" style="3493"/>
    <col min="7937" max="7937" width="10.125" style="3493" bestFit="1" customWidth="1"/>
    <col min="7938" max="7938" width="10.125" style="3493" customWidth="1"/>
    <col min="7939" max="7939" width="8.5" style="3493" bestFit="1" customWidth="1"/>
    <col min="7940" max="7940" width="17.75" style="3493" customWidth="1"/>
    <col min="7941" max="8192" width="6" style="3493"/>
    <col min="8193" max="8193" width="10.125" style="3493" bestFit="1" customWidth="1"/>
    <col min="8194" max="8194" width="10.125" style="3493" customWidth="1"/>
    <col min="8195" max="8195" width="8.5" style="3493" bestFit="1" customWidth="1"/>
    <col min="8196" max="8196" width="17.75" style="3493" customWidth="1"/>
    <col min="8197" max="8448" width="6" style="3493"/>
    <col min="8449" max="8449" width="10.125" style="3493" bestFit="1" customWidth="1"/>
    <col min="8450" max="8450" width="10.125" style="3493" customWidth="1"/>
    <col min="8451" max="8451" width="8.5" style="3493" bestFit="1" customWidth="1"/>
    <col min="8452" max="8452" width="17.75" style="3493" customWidth="1"/>
    <col min="8453" max="8704" width="6" style="3493"/>
    <col min="8705" max="8705" width="10.125" style="3493" bestFit="1" customWidth="1"/>
    <col min="8706" max="8706" width="10.125" style="3493" customWidth="1"/>
    <col min="8707" max="8707" width="8.5" style="3493" bestFit="1" customWidth="1"/>
    <col min="8708" max="8708" width="17.75" style="3493" customWidth="1"/>
    <col min="8709" max="8960" width="6" style="3493"/>
    <col min="8961" max="8961" width="10.125" style="3493" bestFit="1" customWidth="1"/>
    <col min="8962" max="8962" width="10.125" style="3493" customWidth="1"/>
    <col min="8963" max="8963" width="8.5" style="3493" bestFit="1" customWidth="1"/>
    <col min="8964" max="8964" width="17.75" style="3493" customWidth="1"/>
    <col min="8965" max="9216" width="6" style="3493"/>
    <col min="9217" max="9217" width="10.125" style="3493" bestFit="1" customWidth="1"/>
    <col min="9218" max="9218" width="10.125" style="3493" customWidth="1"/>
    <col min="9219" max="9219" width="8.5" style="3493" bestFit="1" customWidth="1"/>
    <col min="9220" max="9220" width="17.75" style="3493" customWidth="1"/>
    <col min="9221" max="9472" width="6" style="3493"/>
    <col min="9473" max="9473" width="10.125" style="3493" bestFit="1" customWidth="1"/>
    <col min="9474" max="9474" width="10.125" style="3493" customWidth="1"/>
    <col min="9475" max="9475" width="8.5" style="3493" bestFit="1" customWidth="1"/>
    <col min="9476" max="9476" width="17.75" style="3493" customWidth="1"/>
    <col min="9477" max="9728" width="6" style="3493"/>
    <col min="9729" max="9729" width="10.125" style="3493" bestFit="1" customWidth="1"/>
    <col min="9730" max="9730" width="10.125" style="3493" customWidth="1"/>
    <col min="9731" max="9731" width="8.5" style="3493" bestFit="1" customWidth="1"/>
    <col min="9732" max="9732" width="17.75" style="3493" customWidth="1"/>
    <col min="9733" max="9984" width="6" style="3493"/>
    <col min="9985" max="9985" width="10.125" style="3493" bestFit="1" customWidth="1"/>
    <col min="9986" max="9986" width="10.125" style="3493" customWidth="1"/>
    <col min="9987" max="9987" width="8.5" style="3493" bestFit="1" customWidth="1"/>
    <col min="9988" max="9988" width="17.75" style="3493" customWidth="1"/>
    <col min="9989" max="10240" width="6" style="3493"/>
    <col min="10241" max="10241" width="10.125" style="3493" bestFit="1" customWidth="1"/>
    <col min="10242" max="10242" width="10.125" style="3493" customWidth="1"/>
    <col min="10243" max="10243" width="8.5" style="3493" bestFit="1" customWidth="1"/>
    <col min="10244" max="10244" width="17.75" style="3493" customWidth="1"/>
    <col min="10245" max="10496" width="6" style="3493"/>
    <col min="10497" max="10497" width="10.125" style="3493" bestFit="1" customWidth="1"/>
    <col min="10498" max="10498" width="10.125" style="3493" customWidth="1"/>
    <col min="10499" max="10499" width="8.5" style="3493" bestFit="1" customWidth="1"/>
    <col min="10500" max="10500" width="17.75" style="3493" customWidth="1"/>
    <col min="10501" max="10752" width="6" style="3493"/>
    <col min="10753" max="10753" width="10.125" style="3493" bestFit="1" customWidth="1"/>
    <col min="10754" max="10754" width="10.125" style="3493" customWidth="1"/>
    <col min="10755" max="10755" width="8.5" style="3493" bestFit="1" customWidth="1"/>
    <col min="10756" max="10756" width="17.75" style="3493" customWidth="1"/>
    <col min="10757" max="11008" width="6" style="3493"/>
    <col min="11009" max="11009" width="10.125" style="3493" bestFit="1" customWidth="1"/>
    <col min="11010" max="11010" width="10.125" style="3493" customWidth="1"/>
    <col min="11011" max="11011" width="8.5" style="3493" bestFit="1" customWidth="1"/>
    <col min="11012" max="11012" width="17.75" style="3493" customWidth="1"/>
    <col min="11013" max="11264" width="6" style="3493"/>
    <col min="11265" max="11265" width="10.125" style="3493" bestFit="1" customWidth="1"/>
    <col min="11266" max="11266" width="10.125" style="3493" customWidth="1"/>
    <col min="11267" max="11267" width="8.5" style="3493" bestFit="1" customWidth="1"/>
    <col min="11268" max="11268" width="17.75" style="3493" customWidth="1"/>
    <col min="11269" max="11520" width="6" style="3493"/>
    <col min="11521" max="11521" width="10.125" style="3493" bestFit="1" customWidth="1"/>
    <col min="11522" max="11522" width="10.125" style="3493" customWidth="1"/>
    <col min="11523" max="11523" width="8.5" style="3493" bestFit="1" customWidth="1"/>
    <col min="11524" max="11524" width="17.75" style="3493" customWidth="1"/>
    <col min="11525" max="11776" width="6" style="3493"/>
    <col min="11777" max="11777" width="10.125" style="3493" bestFit="1" customWidth="1"/>
    <col min="11778" max="11778" width="10.125" style="3493" customWidth="1"/>
    <col min="11779" max="11779" width="8.5" style="3493" bestFit="1" customWidth="1"/>
    <col min="11780" max="11780" width="17.75" style="3493" customWidth="1"/>
    <col min="11781" max="12032" width="6" style="3493"/>
    <col min="12033" max="12033" width="10.125" style="3493" bestFit="1" customWidth="1"/>
    <col min="12034" max="12034" width="10.125" style="3493" customWidth="1"/>
    <col min="12035" max="12035" width="8.5" style="3493" bestFit="1" customWidth="1"/>
    <col min="12036" max="12036" width="17.75" style="3493" customWidth="1"/>
    <col min="12037" max="12288" width="6" style="3493"/>
    <col min="12289" max="12289" width="10.125" style="3493" bestFit="1" customWidth="1"/>
    <col min="12290" max="12290" width="10.125" style="3493" customWidth="1"/>
    <col min="12291" max="12291" width="8.5" style="3493" bestFit="1" customWidth="1"/>
    <col min="12292" max="12292" width="17.75" style="3493" customWidth="1"/>
    <col min="12293" max="12544" width="6" style="3493"/>
    <col min="12545" max="12545" width="10.125" style="3493" bestFit="1" customWidth="1"/>
    <col min="12546" max="12546" width="10.125" style="3493" customWidth="1"/>
    <col min="12547" max="12547" width="8.5" style="3493" bestFit="1" customWidth="1"/>
    <col min="12548" max="12548" width="17.75" style="3493" customWidth="1"/>
    <col min="12549" max="12800" width="6" style="3493"/>
    <col min="12801" max="12801" width="10.125" style="3493" bestFit="1" customWidth="1"/>
    <col min="12802" max="12802" width="10.125" style="3493" customWidth="1"/>
    <col min="12803" max="12803" width="8.5" style="3493" bestFit="1" customWidth="1"/>
    <col min="12804" max="12804" width="17.75" style="3493" customWidth="1"/>
    <col min="12805" max="13056" width="6" style="3493"/>
    <col min="13057" max="13057" width="10.125" style="3493" bestFit="1" customWidth="1"/>
    <col min="13058" max="13058" width="10.125" style="3493" customWidth="1"/>
    <col min="13059" max="13059" width="8.5" style="3493" bestFit="1" customWidth="1"/>
    <col min="13060" max="13060" width="17.75" style="3493" customWidth="1"/>
    <col min="13061" max="13312" width="6" style="3493"/>
    <col min="13313" max="13313" width="10.125" style="3493" bestFit="1" customWidth="1"/>
    <col min="13314" max="13314" width="10.125" style="3493" customWidth="1"/>
    <col min="13315" max="13315" width="8.5" style="3493" bestFit="1" customWidth="1"/>
    <col min="13316" max="13316" width="17.75" style="3493" customWidth="1"/>
    <col min="13317" max="13568" width="6" style="3493"/>
    <col min="13569" max="13569" width="10.125" style="3493" bestFit="1" customWidth="1"/>
    <col min="13570" max="13570" width="10.125" style="3493" customWidth="1"/>
    <col min="13571" max="13571" width="8.5" style="3493" bestFit="1" customWidth="1"/>
    <col min="13572" max="13572" width="17.75" style="3493" customWidth="1"/>
    <col min="13573" max="13824" width="6" style="3493"/>
    <col min="13825" max="13825" width="10.125" style="3493" bestFit="1" customWidth="1"/>
    <col min="13826" max="13826" width="10.125" style="3493" customWidth="1"/>
    <col min="13827" max="13827" width="8.5" style="3493" bestFit="1" customWidth="1"/>
    <col min="13828" max="13828" width="17.75" style="3493" customWidth="1"/>
    <col min="13829" max="14080" width="6" style="3493"/>
    <col min="14081" max="14081" width="10.125" style="3493" bestFit="1" customWidth="1"/>
    <col min="14082" max="14082" width="10.125" style="3493" customWidth="1"/>
    <col min="14083" max="14083" width="8.5" style="3493" bestFit="1" customWidth="1"/>
    <col min="14084" max="14084" width="17.75" style="3493" customWidth="1"/>
    <col min="14085" max="14336" width="6" style="3493"/>
    <col min="14337" max="14337" width="10.125" style="3493" bestFit="1" customWidth="1"/>
    <col min="14338" max="14338" width="10.125" style="3493" customWidth="1"/>
    <col min="14339" max="14339" width="8.5" style="3493" bestFit="1" customWidth="1"/>
    <col min="14340" max="14340" width="17.75" style="3493" customWidth="1"/>
    <col min="14341" max="14592" width="6" style="3493"/>
    <col min="14593" max="14593" width="10.125" style="3493" bestFit="1" customWidth="1"/>
    <col min="14594" max="14594" width="10.125" style="3493" customWidth="1"/>
    <col min="14595" max="14595" width="8.5" style="3493" bestFit="1" customWidth="1"/>
    <col min="14596" max="14596" width="17.75" style="3493" customWidth="1"/>
    <col min="14597" max="14848" width="6" style="3493"/>
    <col min="14849" max="14849" width="10.125" style="3493" bestFit="1" customWidth="1"/>
    <col min="14850" max="14850" width="10.125" style="3493" customWidth="1"/>
    <col min="14851" max="14851" width="8.5" style="3493" bestFit="1" customWidth="1"/>
    <col min="14852" max="14852" width="17.75" style="3493" customWidth="1"/>
    <col min="14853" max="15104" width="6" style="3493"/>
    <col min="15105" max="15105" width="10.125" style="3493" bestFit="1" customWidth="1"/>
    <col min="15106" max="15106" width="10.125" style="3493" customWidth="1"/>
    <col min="15107" max="15107" width="8.5" style="3493" bestFit="1" customWidth="1"/>
    <col min="15108" max="15108" width="17.75" style="3493" customWidth="1"/>
    <col min="15109" max="15360" width="6" style="3493"/>
    <col min="15361" max="15361" width="10.125" style="3493" bestFit="1" customWidth="1"/>
    <col min="15362" max="15362" width="10.125" style="3493" customWidth="1"/>
    <col min="15363" max="15363" width="8.5" style="3493" bestFit="1" customWidth="1"/>
    <col min="15364" max="15364" width="17.75" style="3493" customWidth="1"/>
    <col min="15365" max="15616" width="6" style="3493"/>
    <col min="15617" max="15617" width="10.125" style="3493" bestFit="1" customWidth="1"/>
    <col min="15618" max="15618" width="10.125" style="3493" customWidth="1"/>
    <col min="15619" max="15619" width="8.5" style="3493" bestFit="1" customWidth="1"/>
    <col min="15620" max="15620" width="17.75" style="3493" customWidth="1"/>
    <col min="15621" max="15872" width="6" style="3493"/>
    <col min="15873" max="15873" width="10.125" style="3493" bestFit="1" customWidth="1"/>
    <col min="15874" max="15874" width="10.125" style="3493" customWidth="1"/>
    <col min="15875" max="15875" width="8.5" style="3493" bestFit="1" customWidth="1"/>
    <col min="15876" max="15876" width="17.75" style="3493" customWidth="1"/>
    <col min="15877" max="16128" width="6" style="3493"/>
    <col min="16129" max="16129" width="10.125" style="3493" bestFit="1" customWidth="1"/>
    <col min="16130" max="16130" width="10.125" style="3493" customWidth="1"/>
    <col min="16131" max="16131" width="8.5" style="3493" bestFit="1" customWidth="1"/>
    <col min="16132" max="16132" width="17.75" style="3493" customWidth="1"/>
    <col min="16133" max="16384" width="6" style="3493"/>
  </cols>
  <sheetData>
    <row r="1" spans="1:7">
      <c r="A1" s="3863" t="s">
        <v>4056</v>
      </c>
      <c r="B1" s="3863"/>
      <c r="C1" s="3863"/>
      <c r="D1" s="3863"/>
    </row>
    <row r="2" spans="1:7">
      <c r="A2" s="3488" t="s">
        <v>4047</v>
      </c>
      <c r="B2" s="3488" t="s">
        <v>4048</v>
      </c>
      <c r="C2" s="3494" t="s">
        <v>4049</v>
      </c>
      <c r="D2" s="3489" t="s">
        <v>4050</v>
      </c>
    </row>
    <row r="3" spans="1:7" ht="12.75">
      <c r="A3" s="3490">
        <v>1</v>
      </c>
      <c r="B3" s="3495" t="s">
        <v>4057</v>
      </c>
      <c r="C3" s="3491">
        <v>62.42</v>
      </c>
      <c r="D3" s="3496">
        <v>744823.47</v>
      </c>
      <c r="E3" s="3493">
        <f>ROUND(D3/C3/365,2)</f>
        <v>32.69</v>
      </c>
      <c r="G3" s="3493">
        <f>E3*$C$214</f>
        <v>21.695150837205091</v>
      </c>
    </row>
    <row r="4" spans="1:7" ht="12.75">
      <c r="A4" s="3490">
        <v>2</v>
      </c>
      <c r="B4" s="3495" t="s">
        <v>4057</v>
      </c>
      <c r="C4" s="3491">
        <v>321.05</v>
      </c>
      <c r="D4" s="3496">
        <v>3836175.27</v>
      </c>
      <c r="E4" s="3493">
        <f t="shared" ref="E4:E67" si="0">ROUND(D4/C4/365,2)</f>
        <v>32.74</v>
      </c>
      <c r="G4" s="3493">
        <f t="shared" ref="G4:G67" si="1">E4*$C$214</f>
        <v>21.728333998473378</v>
      </c>
    </row>
    <row r="5" spans="1:7" ht="12.75">
      <c r="A5" s="3490">
        <v>3</v>
      </c>
      <c r="B5" s="3495" t="s">
        <v>4057</v>
      </c>
      <c r="C5" s="3491">
        <v>200.35</v>
      </c>
      <c r="D5" s="3496">
        <v>2669036.83</v>
      </c>
      <c r="E5" s="3493">
        <f t="shared" si="0"/>
        <v>36.5</v>
      </c>
      <c r="G5" s="3493">
        <f t="shared" si="1"/>
        <v>24.223707725848453</v>
      </c>
    </row>
    <row r="6" spans="1:7" ht="12.75">
      <c r="A6" s="3490">
        <v>4</v>
      </c>
      <c r="B6" s="3495" t="s">
        <v>4057</v>
      </c>
      <c r="C6" s="3491">
        <v>119.99</v>
      </c>
      <c r="D6" s="3496">
        <v>693865</v>
      </c>
      <c r="E6" s="3493">
        <f t="shared" si="0"/>
        <v>15.84</v>
      </c>
      <c r="G6" s="3493">
        <f t="shared" si="1"/>
        <v>10.512425489792863</v>
      </c>
    </row>
    <row r="7" spans="1:7" ht="12.75">
      <c r="A7" s="3490">
        <v>5</v>
      </c>
      <c r="B7" s="3495" t="s">
        <v>4057</v>
      </c>
      <c r="C7" s="3491">
        <v>119.99</v>
      </c>
      <c r="D7" s="3496">
        <v>569842</v>
      </c>
      <c r="E7" s="3493">
        <f t="shared" si="0"/>
        <v>13.01</v>
      </c>
      <c r="G7" s="3493">
        <f t="shared" si="1"/>
        <v>8.6342585620079007</v>
      </c>
    </row>
    <row r="8" spans="1:7" ht="12.75">
      <c r="A8" s="3490">
        <v>6</v>
      </c>
      <c r="B8" s="3495" t="s">
        <v>4057</v>
      </c>
      <c r="C8" s="3491">
        <v>149.44</v>
      </c>
      <c r="D8" s="3496">
        <v>2193980.79</v>
      </c>
      <c r="E8" s="3493">
        <f t="shared" si="0"/>
        <v>40.22</v>
      </c>
      <c r="G8" s="3493">
        <f t="shared" si="1"/>
        <v>26.692534924208896</v>
      </c>
    </row>
    <row r="9" spans="1:7" ht="12.75">
      <c r="A9" s="3490">
        <v>7</v>
      </c>
      <c r="B9" s="3495" t="s">
        <v>4057</v>
      </c>
      <c r="C9" s="3491">
        <v>95.55</v>
      </c>
      <c r="D9" s="3496">
        <v>1658821.2800000003</v>
      </c>
      <c r="E9" s="3493">
        <f t="shared" si="0"/>
        <v>47.56</v>
      </c>
      <c r="G9" s="3493">
        <f t="shared" si="1"/>
        <v>31.563822998393217</v>
      </c>
    </row>
    <row r="10" spans="1:7" ht="12.75">
      <c r="A10" s="3490">
        <v>8</v>
      </c>
      <c r="B10" s="3495" t="s">
        <v>4057</v>
      </c>
      <c r="C10" s="3491">
        <v>33.07</v>
      </c>
      <c r="D10" s="3496">
        <v>439038.79000000004</v>
      </c>
      <c r="E10" s="3493">
        <f t="shared" si="0"/>
        <v>36.369999999999997</v>
      </c>
      <c r="G10" s="3493">
        <f t="shared" si="1"/>
        <v>24.137431506550907</v>
      </c>
    </row>
    <row r="11" spans="1:7" ht="12.75">
      <c r="A11" s="3490">
        <v>9</v>
      </c>
      <c r="B11" s="3495" t="s">
        <v>4057</v>
      </c>
      <c r="C11" s="3491">
        <v>130.06</v>
      </c>
      <c r="D11" s="3496">
        <v>1738762</v>
      </c>
      <c r="E11" s="3493">
        <f t="shared" si="0"/>
        <v>36.630000000000003</v>
      </c>
      <c r="G11" s="3493">
        <f t="shared" si="1"/>
        <v>24.309983945145994</v>
      </c>
    </row>
    <row r="12" spans="1:7" ht="12.75">
      <c r="A12" s="3490">
        <v>10</v>
      </c>
      <c r="B12" s="3495" t="s">
        <v>4057</v>
      </c>
      <c r="C12" s="3491">
        <v>81.2</v>
      </c>
      <c r="D12" s="3496">
        <v>1079491.78</v>
      </c>
      <c r="E12" s="3493">
        <f t="shared" si="0"/>
        <v>36.42</v>
      </c>
      <c r="G12" s="3493">
        <f t="shared" si="1"/>
        <v>24.170614667819194</v>
      </c>
    </row>
    <row r="13" spans="1:7" ht="12.75">
      <c r="A13" s="3490">
        <v>11</v>
      </c>
      <c r="B13" s="3495" t="s">
        <v>4057</v>
      </c>
      <c r="C13" s="3491">
        <v>100.36</v>
      </c>
      <c r="D13" s="3496">
        <v>1336004.74</v>
      </c>
      <c r="E13" s="3493">
        <f t="shared" si="0"/>
        <v>36.47</v>
      </c>
      <c r="G13" s="3493">
        <f t="shared" si="1"/>
        <v>24.203797829087478</v>
      </c>
    </row>
    <row r="14" spans="1:7" ht="12.75">
      <c r="A14" s="3490">
        <v>12</v>
      </c>
      <c r="B14" s="3495" t="s">
        <v>4057</v>
      </c>
      <c r="C14" s="3491">
        <v>100</v>
      </c>
      <c r="D14" s="3496">
        <v>540000</v>
      </c>
      <c r="E14" s="3493">
        <f t="shared" si="0"/>
        <v>14.79</v>
      </c>
      <c r="G14" s="3493">
        <f t="shared" si="1"/>
        <v>9.8155791031588642</v>
      </c>
    </row>
    <row r="15" spans="1:7" ht="12.75">
      <c r="A15" s="3490">
        <v>13</v>
      </c>
      <c r="B15" s="3495" t="s">
        <v>4057</v>
      </c>
      <c r="C15" s="3491">
        <v>100</v>
      </c>
      <c r="D15" s="3496">
        <v>918924</v>
      </c>
      <c r="E15" s="3493">
        <f t="shared" si="0"/>
        <v>25.18</v>
      </c>
      <c r="G15" s="3493">
        <f t="shared" si="1"/>
        <v>16.711040014708601</v>
      </c>
    </row>
    <row r="16" spans="1:7" ht="12.75">
      <c r="A16" s="3490">
        <v>14</v>
      </c>
      <c r="B16" s="3495" t="s">
        <v>4057</v>
      </c>
      <c r="C16" s="3491">
        <v>15.86</v>
      </c>
      <c r="D16" s="3496">
        <v>319102.88</v>
      </c>
      <c r="E16" s="3493">
        <f t="shared" si="0"/>
        <v>55.12</v>
      </c>
      <c r="G16" s="3493">
        <f t="shared" si="1"/>
        <v>36.581116982157987</v>
      </c>
    </row>
    <row r="17" spans="1:7" ht="12.75">
      <c r="A17" s="3490">
        <v>15</v>
      </c>
      <c r="B17" s="3495" t="s">
        <v>4057</v>
      </c>
      <c r="C17" s="3491">
        <v>402</v>
      </c>
      <c r="D17" s="3496">
        <v>1579130.32</v>
      </c>
      <c r="E17" s="3493">
        <f t="shared" si="0"/>
        <v>10.76</v>
      </c>
      <c r="G17" s="3493">
        <f t="shared" si="1"/>
        <v>7.1410163049350501</v>
      </c>
    </row>
    <row r="18" spans="1:7" ht="12.75">
      <c r="A18" s="3490">
        <v>16</v>
      </c>
      <c r="B18" s="3495" t="s">
        <v>4058</v>
      </c>
      <c r="C18" s="3491">
        <v>167.79</v>
      </c>
      <c r="D18" s="3496">
        <v>1894139.4699999997</v>
      </c>
      <c r="E18" s="3493">
        <f t="shared" si="0"/>
        <v>30.93</v>
      </c>
      <c r="G18" s="3493">
        <f t="shared" si="1"/>
        <v>20.527103560561439</v>
      </c>
    </row>
    <row r="19" spans="1:7" ht="12.75">
      <c r="A19" s="3490">
        <v>17</v>
      </c>
      <c r="B19" s="3495" t="s">
        <v>4058</v>
      </c>
      <c r="C19" s="3491">
        <v>227.34</v>
      </c>
      <c r="D19" s="3496">
        <v>1186434.6099999999</v>
      </c>
      <c r="E19" s="3493">
        <f t="shared" si="0"/>
        <v>14.3</v>
      </c>
      <c r="G19" s="3493">
        <f t="shared" si="1"/>
        <v>9.490384122729667</v>
      </c>
    </row>
    <row r="20" spans="1:7" ht="12.75">
      <c r="A20" s="3490">
        <v>18</v>
      </c>
      <c r="B20" s="3495" t="s">
        <v>4058</v>
      </c>
      <c r="C20" s="3491">
        <v>47.07</v>
      </c>
      <c r="D20" s="3496">
        <v>757082.5199999999</v>
      </c>
      <c r="E20" s="3493">
        <f t="shared" si="0"/>
        <v>44.07</v>
      </c>
      <c r="G20" s="3493">
        <f t="shared" si="1"/>
        <v>29.247638341866882</v>
      </c>
    </row>
    <row r="21" spans="1:7" ht="12.75">
      <c r="A21" s="3490">
        <v>19</v>
      </c>
      <c r="B21" s="3495" t="s">
        <v>4058</v>
      </c>
      <c r="C21" s="3491">
        <v>50.93</v>
      </c>
      <c r="D21" s="3496">
        <v>439340.96000000008</v>
      </c>
      <c r="E21" s="3493">
        <f t="shared" si="0"/>
        <v>23.63</v>
      </c>
      <c r="G21" s="3493">
        <f t="shared" si="1"/>
        <v>15.68236201539175</v>
      </c>
    </row>
    <row r="22" spans="1:7" ht="12.75">
      <c r="A22" s="3490">
        <v>20</v>
      </c>
      <c r="B22" s="3495" t="s">
        <v>4058</v>
      </c>
      <c r="C22" s="3491">
        <v>50.93</v>
      </c>
      <c r="D22" s="3496">
        <v>260073.67</v>
      </c>
      <c r="E22" s="3493">
        <f t="shared" si="0"/>
        <v>13.99</v>
      </c>
      <c r="G22" s="3493">
        <f t="shared" si="1"/>
        <v>9.2846485228662967</v>
      </c>
    </row>
    <row r="23" spans="1:7" ht="12.75">
      <c r="A23" s="3490">
        <v>21</v>
      </c>
      <c r="B23" s="3495" t="s">
        <v>4058</v>
      </c>
      <c r="C23" s="3491">
        <v>50.93</v>
      </c>
      <c r="D23" s="3496">
        <v>134348</v>
      </c>
      <c r="E23" s="3493">
        <f t="shared" si="0"/>
        <v>7.23</v>
      </c>
      <c r="G23" s="3493">
        <f t="shared" si="1"/>
        <v>4.798285119394091</v>
      </c>
    </row>
    <row r="24" spans="1:7" ht="12.75">
      <c r="A24" s="3490">
        <v>22</v>
      </c>
      <c r="B24" s="3495" t="s">
        <v>4058</v>
      </c>
      <c r="C24" s="3491">
        <v>15.37</v>
      </c>
      <c r="D24" s="3496">
        <v>106522.91</v>
      </c>
      <c r="E24" s="3493">
        <f t="shared" si="0"/>
        <v>18.989999999999998</v>
      </c>
      <c r="G24" s="3493">
        <f t="shared" si="1"/>
        <v>12.602964649694851</v>
      </c>
    </row>
    <row r="25" spans="1:7" ht="12.75">
      <c r="A25" s="3490">
        <v>23</v>
      </c>
      <c r="B25" s="3495" t="s">
        <v>4058</v>
      </c>
      <c r="C25" s="3491">
        <v>15.37</v>
      </c>
      <c r="D25" s="3496">
        <v>297590</v>
      </c>
      <c r="E25" s="3493">
        <f t="shared" si="0"/>
        <v>53.05</v>
      </c>
      <c r="G25" s="3493">
        <f t="shared" si="1"/>
        <v>35.207334105650965</v>
      </c>
    </row>
    <row r="26" spans="1:7" ht="12.75">
      <c r="A26" s="3490">
        <v>24</v>
      </c>
      <c r="B26" s="3495" t="s">
        <v>4058</v>
      </c>
      <c r="C26" s="3491">
        <v>15.37</v>
      </c>
      <c r="D26" s="3496">
        <v>227479</v>
      </c>
      <c r="E26" s="3493">
        <f t="shared" si="0"/>
        <v>40.549999999999997</v>
      </c>
      <c r="G26" s="3493">
        <f t="shared" si="1"/>
        <v>26.911543788579579</v>
      </c>
    </row>
    <row r="27" spans="1:7" ht="12.75">
      <c r="A27" s="3490">
        <v>25</v>
      </c>
      <c r="B27" s="3495" t="s">
        <v>4058</v>
      </c>
      <c r="C27" s="3491">
        <v>19.86</v>
      </c>
      <c r="D27" s="3496">
        <v>229215.1</v>
      </c>
      <c r="E27" s="3493">
        <f t="shared" si="0"/>
        <v>31.62</v>
      </c>
      <c r="G27" s="3493">
        <f t="shared" si="1"/>
        <v>20.985031186063782</v>
      </c>
    </row>
    <row r="28" spans="1:7" ht="12.75">
      <c r="A28" s="3490">
        <v>26</v>
      </c>
      <c r="B28" s="3495" t="s">
        <v>4058</v>
      </c>
      <c r="C28" s="3491">
        <v>19.86</v>
      </c>
      <c r="D28" s="3496">
        <v>191905</v>
      </c>
      <c r="E28" s="3493">
        <f t="shared" si="0"/>
        <v>26.47</v>
      </c>
      <c r="G28" s="3493">
        <f t="shared" si="1"/>
        <v>17.567165575430369</v>
      </c>
    </row>
    <row r="29" spans="1:7" ht="12.75">
      <c r="A29" s="3490">
        <v>27</v>
      </c>
      <c r="B29" s="3495" t="s">
        <v>4058</v>
      </c>
      <c r="C29" s="3491">
        <v>184.69</v>
      </c>
      <c r="D29" s="3496">
        <v>811284</v>
      </c>
      <c r="E29" s="3493">
        <f t="shared" si="0"/>
        <v>12.03</v>
      </c>
      <c r="G29" s="3493">
        <f t="shared" si="1"/>
        <v>7.9838686011495028</v>
      </c>
    </row>
    <row r="30" spans="1:7" ht="12.75">
      <c r="A30" s="3490">
        <v>28</v>
      </c>
      <c r="B30" s="3495" t="s">
        <v>4058</v>
      </c>
      <c r="C30" s="3491">
        <v>149.72999999999999</v>
      </c>
      <c r="D30" s="3496">
        <v>1864348.09</v>
      </c>
      <c r="E30" s="3493">
        <f t="shared" si="0"/>
        <v>34.11</v>
      </c>
      <c r="G30" s="3493">
        <f t="shared" si="1"/>
        <v>22.637552617224401</v>
      </c>
    </row>
    <row r="31" spans="1:7" ht="12.75">
      <c r="A31" s="3490">
        <v>29</v>
      </c>
      <c r="B31" s="3495" t="s">
        <v>4058</v>
      </c>
      <c r="C31" s="3491">
        <v>146.44999999999999</v>
      </c>
      <c r="D31" s="3496">
        <v>1799030.4999999998</v>
      </c>
      <c r="E31" s="3493">
        <f t="shared" si="0"/>
        <v>33.659999999999997</v>
      </c>
      <c r="G31" s="3493">
        <f t="shared" si="1"/>
        <v>22.338904165809829</v>
      </c>
    </row>
    <row r="32" spans="1:7" ht="12.75">
      <c r="A32" s="3490">
        <v>30</v>
      </c>
      <c r="B32" s="3495" t="s">
        <v>4058</v>
      </c>
      <c r="C32" s="3491">
        <v>132.66999999999999</v>
      </c>
      <c r="D32" s="3496">
        <v>1603694.5399999998</v>
      </c>
      <c r="E32" s="3493">
        <f t="shared" si="0"/>
        <v>33.119999999999997</v>
      </c>
      <c r="G32" s="3493">
        <f t="shared" si="1"/>
        <v>21.980526024112347</v>
      </c>
    </row>
    <row r="33" spans="1:7" ht="12.75">
      <c r="A33" s="3490">
        <v>31</v>
      </c>
      <c r="B33" s="3495" t="s">
        <v>4058</v>
      </c>
      <c r="C33" s="3491">
        <v>79.209999999999994</v>
      </c>
      <c r="D33" s="3496">
        <v>355900</v>
      </c>
      <c r="E33" s="3493">
        <f t="shared" si="0"/>
        <v>12.31</v>
      </c>
      <c r="G33" s="3493">
        <f t="shared" si="1"/>
        <v>8.1696943042519017</v>
      </c>
    </row>
    <row r="34" spans="1:7" ht="12.75">
      <c r="A34" s="3490">
        <v>32</v>
      </c>
      <c r="B34" s="3495" t="s">
        <v>4058</v>
      </c>
      <c r="C34" s="3491">
        <v>110.4</v>
      </c>
      <c r="D34" s="3496">
        <v>771265</v>
      </c>
      <c r="E34" s="3493">
        <f t="shared" si="0"/>
        <v>19.14</v>
      </c>
      <c r="G34" s="3493">
        <f t="shared" si="1"/>
        <v>12.702514133499708</v>
      </c>
    </row>
    <row r="35" spans="1:7" ht="12.75">
      <c r="A35" s="3490">
        <v>33</v>
      </c>
      <c r="B35" s="3495" t="s">
        <v>4058</v>
      </c>
      <c r="C35" s="3491">
        <v>31.19</v>
      </c>
      <c r="D35" s="3496">
        <v>210190.46000000002</v>
      </c>
      <c r="E35" s="3493">
        <f t="shared" si="0"/>
        <v>18.46</v>
      </c>
      <c r="G35" s="3493">
        <f t="shared" si="1"/>
        <v>12.251223140251025</v>
      </c>
    </row>
    <row r="36" spans="1:7" ht="12.75">
      <c r="A36" s="3490">
        <v>34</v>
      </c>
      <c r="B36" s="3495" t="s">
        <v>4058</v>
      </c>
      <c r="C36" s="3491">
        <v>257.95999999999998</v>
      </c>
      <c r="D36" s="3496">
        <v>3352748.27</v>
      </c>
      <c r="E36" s="3493">
        <f t="shared" si="0"/>
        <v>35.61</v>
      </c>
      <c r="G36" s="3493">
        <f t="shared" si="1"/>
        <v>23.633047455272969</v>
      </c>
    </row>
    <row r="37" spans="1:7" ht="12.75">
      <c r="A37" s="3490">
        <v>35</v>
      </c>
      <c r="B37" s="3495" t="s">
        <v>4058</v>
      </c>
      <c r="C37" s="3491">
        <v>76.849999999999994</v>
      </c>
      <c r="D37" s="3496">
        <v>946377</v>
      </c>
      <c r="E37" s="3493">
        <f t="shared" si="0"/>
        <v>33.74</v>
      </c>
      <c r="G37" s="3493">
        <f t="shared" si="1"/>
        <v>22.391997223839091</v>
      </c>
    </row>
    <row r="38" spans="1:7" ht="12.75">
      <c r="A38" s="3490">
        <v>36</v>
      </c>
      <c r="B38" s="3495" t="s">
        <v>4058</v>
      </c>
      <c r="C38" s="3491">
        <v>65.77</v>
      </c>
      <c r="D38" s="3496">
        <v>803218.65</v>
      </c>
      <c r="E38" s="3493">
        <f t="shared" si="0"/>
        <v>33.46</v>
      </c>
      <c r="G38" s="3493">
        <f t="shared" si="1"/>
        <v>22.206171520736689</v>
      </c>
    </row>
    <row r="39" spans="1:7" ht="12.75">
      <c r="A39" s="3490">
        <v>37</v>
      </c>
      <c r="B39" s="3495" t="s">
        <v>4058</v>
      </c>
      <c r="C39" s="3491">
        <v>109.81</v>
      </c>
      <c r="D39" s="3496">
        <v>589969.21000000008</v>
      </c>
      <c r="E39" s="3493">
        <f t="shared" si="0"/>
        <v>14.72</v>
      </c>
      <c r="G39" s="3493">
        <f t="shared" si="1"/>
        <v>9.7691226773832653</v>
      </c>
    </row>
    <row r="40" spans="1:7" ht="12.75">
      <c r="A40" s="3490">
        <v>38</v>
      </c>
      <c r="B40" s="3495" t="s">
        <v>4058</v>
      </c>
      <c r="C40" s="3491">
        <v>109.81</v>
      </c>
      <c r="D40" s="3496">
        <v>669959.77999999991</v>
      </c>
      <c r="E40" s="3493">
        <f t="shared" si="0"/>
        <v>16.72</v>
      </c>
      <c r="G40" s="3493">
        <f t="shared" si="1"/>
        <v>11.096449128114687</v>
      </c>
    </row>
    <row r="41" spans="1:7" ht="12.75">
      <c r="A41" s="3490">
        <v>39</v>
      </c>
      <c r="B41" s="3495" t="s">
        <v>4058</v>
      </c>
      <c r="C41" s="3491">
        <v>50.23</v>
      </c>
      <c r="D41" s="3496">
        <v>607656</v>
      </c>
      <c r="E41" s="3493">
        <f t="shared" si="0"/>
        <v>33.14</v>
      </c>
      <c r="G41" s="3493">
        <f t="shared" si="1"/>
        <v>21.993799288619662</v>
      </c>
    </row>
    <row r="42" spans="1:7" ht="12.75">
      <c r="A42" s="3490">
        <v>40</v>
      </c>
      <c r="B42" s="3495" t="s">
        <v>4058</v>
      </c>
      <c r="C42" s="3491">
        <v>25.13</v>
      </c>
      <c r="D42" s="3496">
        <v>106744</v>
      </c>
      <c r="E42" s="3493">
        <f t="shared" si="0"/>
        <v>11.64</v>
      </c>
      <c r="G42" s="3493">
        <f t="shared" si="1"/>
        <v>7.7250399432568759</v>
      </c>
    </row>
    <row r="43" spans="1:7" ht="12.75">
      <c r="A43" s="3490">
        <v>41</v>
      </c>
      <c r="B43" s="3495" t="s">
        <v>4058</v>
      </c>
      <c r="C43" s="3491">
        <v>25.13</v>
      </c>
      <c r="D43" s="3496">
        <v>257447</v>
      </c>
      <c r="E43" s="3493">
        <f t="shared" si="0"/>
        <v>28.07</v>
      </c>
      <c r="G43" s="3493">
        <f t="shared" si="1"/>
        <v>18.629026736015508</v>
      </c>
    </row>
    <row r="44" spans="1:7" ht="12.75">
      <c r="A44" s="3490">
        <v>42</v>
      </c>
      <c r="B44" s="3495" t="s">
        <v>4058</v>
      </c>
      <c r="C44" s="3491">
        <v>25.1</v>
      </c>
      <c r="D44" s="3496">
        <v>133154</v>
      </c>
      <c r="E44" s="3493">
        <f t="shared" si="0"/>
        <v>14.53</v>
      </c>
      <c r="G44" s="3493">
        <f t="shared" si="1"/>
        <v>9.6430266645637808</v>
      </c>
    </row>
    <row r="45" spans="1:7" ht="12.75">
      <c r="A45" s="3490">
        <v>43</v>
      </c>
      <c r="B45" s="3495" t="s">
        <v>4058</v>
      </c>
      <c r="C45" s="3491">
        <v>25.1</v>
      </c>
      <c r="D45" s="3496">
        <v>233443</v>
      </c>
      <c r="E45" s="3493">
        <f t="shared" si="0"/>
        <v>25.48</v>
      </c>
      <c r="G45" s="3493">
        <f t="shared" si="1"/>
        <v>16.910138982318315</v>
      </c>
    </row>
    <row r="46" spans="1:7" ht="12.75">
      <c r="A46" s="3490">
        <v>44</v>
      </c>
      <c r="B46" s="3495" t="s">
        <v>4058</v>
      </c>
      <c r="C46" s="3491">
        <v>50.23</v>
      </c>
      <c r="D46" s="3496">
        <v>457932.9</v>
      </c>
      <c r="E46" s="3493">
        <f t="shared" si="0"/>
        <v>24.98</v>
      </c>
      <c r="G46" s="3493">
        <f t="shared" si="1"/>
        <v>16.578307369635461</v>
      </c>
    </row>
    <row r="47" spans="1:7" ht="12.75">
      <c r="A47" s="3490">
        <v>45</v>
      </c>
      <c r="B47" s="3495" t="s">
        <v>4058</v>
      </c>
      <c r="C47" s="3491">
        <v>51.43</v>
      </c>
      <c r="D47" s="3496">
        <v>652073.54</v>
      </c>
      <c r="E47" s="3493">
        <f t="shared" si="0"/>
        <v>34.74</v>
      </c>
      <c r="G47" s="3493">
        <f t="shared" si="1"/>
        <v>23.055660449204801</v>
      </c>
    </row>
    <row r="48" spans="1:7" ht="12.75">
      <c r="A48" s="3490">
        <v>46</v>
      </c>
      <c r="B48" s="3495" t="s">
        <v>4058</v>
      </c>
      <c r="C48" s="3491">
        <v>93.28</v>
      </c>
      <c r="D48" s="3496">
        <v>1463690</v>
      </c>
      <c r="E48" s="3493">
        <f t="shared" si="0"/>
        <v>42.99</v>
      </c>
      <c r="G48" s="3493">
        <f t="shared" si="1"/>
        <v>28.530882058471917</v>
      </c>
    </row>
    <row r="49" spans="1:253" ht="12.75">
      <c r="A49" s="3490">
        <v>47</v>
      </c>
      <c r="B49" s="3495" t="s">
        <v>4058</v>
      </c>
      <c r="C49" s="3491">
        <v>31.17</v>
      </c>
      <c r="D49" s="3496">
        <v>416531</v>
      </c>
      <c r="E49" s="3493">
        <f t="shared" si="0"/>
        <v>36.61</v>
      </c>
      <c r="G49" s="3493">
        <f t="shared" si="1"/>
        <v>24.296710680638679</v>
      </c>
    </row>
    <row r="50" spans="1:253" ht="12.75">
      <c r="A50" s="3490">
        <v>48</v>
      </c>
      <c r="B50" s="3495" t="s">
        <v>4058</v>
      </c>
      <c r="C50" s="3491">
        <v>37.68</v>
      </c>
      <c r="D50" s="3496">
        <v>466440</v>
      </c>
      <c r="E50" s="3493">
        <f t="shared" si="0"/>
        <v>33.92</v>
      </c>
      <c r="G50" s="3493">
        <f t="shared" si="1"/>
        <v>22.511456604404916</v>
      </c>
      <c r="IS50" s="3497">
        <f>SUM(D50:IR50)</f>
        <v>466496.43145660439</v>
      </c>
    </row>
    <row r="51" spans="1:253" ht="12.75">
      <c r="A51" s="3490">
        <v>49</v>
      </c>
      <c r="B51" s="3495" t="s">
        <v>4058</v>
      </c>
      <c r="C51" s="3491">
        <v>26.95</v>
      </c>
      <c r="D51" s="3496">
        <v>332489.58999999997</v>
      </c>
      <c r="E51" s="3493">
        <f t="shared" si="0"/>
        <v>33.799999999999997</v>
      </c>
      <c r="G51" s="3493">
        <f t="shared" si="1"/>
        <v>22.431817017361031</v>
      </c>
    </row>
    <row r="52" spans="1:253" ht="12.75">
      <c r="A52" s="3490">
        <v>50</v>
      </c>
      <c r="B52" s="3495" t="s">
        <v>4058</v>
      </c>
      <c r="C52" s="3491">
        <v>53</v>
      </c>
      <c r="D52" s="3496">
        <v>909923.44</v>
      </c>
      <c r="E52" s="3493">
        <f t="shared" si="0"/>
        <v>47.04</v>
      </c>
      <c r="G52" s="3493">
        <f t="shared" si="1"/>
        <v>31.218718121203043</v>
      </c>
    </row>
    <row r="53" spans="1:253" ht="12.75">
      <c r="A53" s="3490">
        <v>51</v>
      </c>
      <c r="B53" s="3495" t="s">
        <v>4058</v>
      </c>
      <c r="C53" s="3491">
        <v>45.88</v>
      </c>
      <c r="D53" s="3496">
        <v>593904</v>
      </c>
      <c r="E53" s="3493">
        <f t="shared" si="0"/>
        <v>35.47</v>
      </c>
      <c r="G53" s="3493">
        <f t="shared" si="1"/>
        <v>23.540134603721768</v>
      </c>
    </row>
    <row r="54" spans="1:253" ht="12.75">
      <c r="A54" s="3490">
        <v>52</v>
      </c>
      <c r="B54" s="3495" t="s">
        <v>4058</v>
      </c>
      <c r="C54" s="3491">
        <v>28.68</v>
      </c>
      <c r="D54" s="3496">
        <v>326385.15999999997</v>
      </c>
      <c r="E54" s="3493">
        <f t="shared" si="0"/>
        <v>31.18</v>
      </c>
      <c r="G54" s="3493">
        <f t="shared" si="1"/>
        <v>20.693019366902867</v>
      </c>
    </row>
    <row r="55" spans="1:253" ht="12.75">
      <c r="A55" s="3490">
        <v>53</v>
      </c>
      <c r="B55" s="3495" t="s">
        <v>4058</v>
      </c>
      <c r="C55" s="3491">
        <v>32.619999999999997</v>
      </c>
      <c r="D55" s="3496">
        <v>207759.39</v>
      </c>
      <c r="E55" s="3493">
        <f t="shared" si="0"/>
        <v>17.45</v>
      </c>
      <c r="G55" s="3493">
        <f t="shared" si="1"/>
        <v>11.580923282631657</v>
      </c>
    </row>
    <row r="56" spans="1:253" ht="12.75">
      <c r="A56" s="3490">
        <v>54</v>
      </c>
      <c r="B56" s="3495" t="s">
        <v>4058</v>
      </c>
      <c r="C56" s="3491">
        <v>32.619999999999997</v>
      </c>
      <c r="D56" s="3496">
        <v>114886</v>
      </c>
      <c r="E56" s="3493">
        <f t="shared" si="0"/>
        <v>9.65</v>
      </c>
      <c r="G56" s="3493">
        <f t="shared" si="1"/>
        <v>6.4043501247791115</v>
      </c>
    </row>
    <row r="57" spans="1:253" ht="12.75">
      <c r="A57" s="3490">
        <v>55</v>
      </c>
      <c r="B57" s="3495" t="s">
        <v>4058</v>
      </c>
      <c r="C57" s="3491">
        <v>21.51</v>
      </c>
      <c r="D57" s="3496">
        <v>443592</v>
      </c>
      <c r="E57" s="3493">
        <f t="shared" si="0"/>
        <v>56.5</v>
      </c>
      <c r="G57" s="3493">
        <f t="shared" si="1"/>
        <v>37.496972233162673</v>
      </c>
    </row>
    <row r="58" spans="1:253" ht="12.75">
      <c r="A58" s="3490">
        <v>56</v>
      </c>
      <c r="B58" s="3495" t="s">
        <v>4058</v>
      </c>
      <c r="C58" s="3491">
        <v>39.479999999999997</v>
      </c>
      <c r="D58" s="3496">
        <v>544038.89</v>
      </c>
      <c r="E58" s="3493">
        <f t="shared" si="0"/>
        <v>37.75</v>
      </c>
      <c r="G58" s="3493">
        <f t="shared" si="1"/>
        <v>25.05328675755559</v>
      </c>
    </row>
    <row r="59" spans="1:253" ht="12.75">
      <c r="A59" s="3490">
        <v>57</v>
      </c>
      <c r="B59" s="3495" t="s">
        <v>4058</v>
      </c>
      <c r="C59" s="3491">
        <v>10.53</v>
      </c>
      <c r="D59" s="3496">
        <v>195876</v>
      </c>
      <c r="E59" s="3493">
        <f t="shared" si="0"/>
        <v>50.96</v>
      </c>
      <c r="G59" s="3493">
        <f t="shared" si="1"/>
        <v>33.820277964636631</v>
      </c>
    </row>
    <row r="60" spans="1:253" ht="12.75">
      <c r="A60" s="3490">
        <v>58</v>
      </c>
      <c r="B60" s="3495" t="s">
        <v>4058</v>
      </c>
      <c r="C60" s="3491">
        <v>22.58</v>
      </c>
      <c r="D60" s="3496">
        <v>38451</v>
      </c>
      <c r="E60" s="3493">
        <f t="shared" si="0"/>
        <v>4.67</v>
      </c>
      <c r="G60" s="3493">
        <f t="shared" si="1"/>
        <v>3.0993072624578701</v>
      </c>
    </row>
    <row r="61" spans="1:253" ht="12.75">
      <c r="A61" s="3490">
        <v>59</v>
      </c>
      <c r="B61" s="3495" t="s">
        <v>4058</v>
      </c>
      <c r="C61" s="3491">
        <v>22.58</v>
      </c>
      <c r="D61" s="3496">
        <v>390411.5</v>
      </c>
      <c r="E61" s="3493">
        <f t="shared" si="0"/>
        <v>47.37</v>
      </c>
      <c r="G61" s="3493">
        <f t="shared" si="1"/>
        <v>31.437726985573729</v>
      </c>
    </row>
    <row r="62" spans="1:253" ht="12.75">
      <c r="A62" s="3490">
        <v>60</v>
      </c>
      <c r="B62" s="3495" t="s">
        <v>4058</v>
      </c>
      <c r="C62" s="3491">
        <v>39.25</v>
      </c>
      <c r="D62" s="3496">
        <v>560580.98</v>
      </c>
      <c r="E62" s="3493">
        <f t="shared" si="0"/>
        <v>39.130000000000003</v>
      </c>
      <c r="G62" s="3493">
        <f t="shared" si="1"/>
        <v>25.969142008560272</v>
      </c>
    </row>
    <row r="63" spans="1:253" ht="12.75">
      <c r="A63" s="3490">
        <v>61</v>
      </c>
      <c r="B63" s="3495" t="s">
        <v>4058</v>
      </c>
      <c r="C63" s="3491">
        <v>316.79000000000002</v>
      </c>
      <c r="D63" s="3496">
        <v>867767.7</v>
      </c>
      <c r="E63" s="3493">
        <f t="shared" si="0"/>
        <v>7.5</v>
      </c>
      <c r="G63" s="3493">
        <f t="shared" si="1"/>
        <v>4.9774741902428321</v>
      </c>
    </row>
    <row r="64" spans="1:253" ht="12.75">
      <c r="A64" s="3490">
        <v>62</v>
      </c>
      <c r="B64" s="3495" t="s">
        <v>4058</v>
      </c>
      <c r="C64" s="3492">
        <v>7.57</v>
      </c>
      <c r="D64" s="3496">
        <v>145131.44</v>
      </c>
      <c r="E64" s="3493">
        <f t="shared" si="0"/>
        <v>52.53</v>
      </c>
      <c r="G64" s="3493">
        <f t="shared" si="1"/>
        <v>34.862229228460798</v>
      </c>
    </row>
    <row r="65" spans="1:7" ht="12.75">
      <c r="A65" s="3490">
        <v>63</v>
      </c>
      <c r="B65" s="3495" t="s">
        <v>4058</v>
      </c>
      <c r="C65" s="3492">
        <v>7.36</v>
      </c>
      <c r="D65" s="3496">
        <v>268836</v>
      </c>
      <c r="E65" s="3493">
        <f t="shared" si="0"/>
        <v>100.07</v>
      </c>
      <c r="G65" s="3493">
        <f t="shared" si="1"/>
        <v>66.412778962346692</v>
      </c>
    </row>
    <row r="66" spans="1:7" ht="12.75">
      <c r="A66" s="3490">
        <v>64</v>
      </c>
      <c r="B66" s="3495" t="s">
        <v>4058</v>
      </c>
      <c r="C66" s="3492">
        <v>3650.86</v>
      </c>
      <c r="D66" s="3496">
        <v>6211472.5499999989</v>
      </c>
      <c r="E66" s="3493">
        <f t="shared" si="0"/>
        <v>4.66</v>
      </c>
      <c r="G66" s="3493">
        <f t="shared" si="1"/>
        <v>3.0926706302042133</v>
      </c>
    </row>
    <row r="67" spans="1:7" ht="12.75">
      <c r="A67" s="3490">
        <v>65</v>
      </c>
      <c r="B67" s="3495" t="s">
        <v>4059</v>
      </c>
      <c r="C67" s="3492">
        <v>243.31</v>
      </c>
      <c r="D67" s="3496">
        <v>3771954</v>
      </c>
      <c r="E67" s="3493">
        <f t="shared" si="0"/>
        <v>42.47</v>
      </c>
      <c r="G67" s="3493">
        <f t="shared" si="1"/>
        <v>28.185777181281743</v>
      </c>
    </row>
    <row r="68" spans="1:7" ht="12.75">
      <c r="A68" s="3490">
        <v>66</v>
      </c>
      <c r="B68" s="3495" t="s">
        <v>4059</v>
      </c>
      <c r="C68" s="3492">
        <v>154.81</v>
      </c>
      <c r="D68" s="3496">
        <v>2199481.6799999997</v>
      </c>
      <c r="E68" s="3493">
        <f t="shared" ref="E68:E131" si="2">ROUND(D68/C68/365,2)</f>
        <v>38.92</v>
      </c>
      <c r="G68" s="3493">
        <f t="shared" ref="G68:G131" si="3">E68*$C$214</f>
        <v>25.829772731233472</v>
      </c>
    </row>
    <row r="69" spans="1:7" ht="12.75">
      <c r="A69" s="3490">
        <v>67</v>
      </c>
      <c r="B69" s="3495" t="s">
        <v>4059</v>
      </c>
      <c r="C69" s="3492">
        <v>90.59</v>
      </c>
      <c r="D69" s="3496">
        <v>498660.78</v>
      </c>
      <c r="E69" s="3493">
        <f t="shared" si="2"/>
        <v>15.08</v>
      </c>
      <c r="G69" s="3493">
        <f t="shared" si="3"/>
        <v>10.008041438514923</v>
      </c>
    </row>
    <row r="70" spans="1:7" ht="12.75">
      <c r="A70" s="3490">
        <v>68</v>
      </c>
      <c r="B70" s="3495" t="s">
        <v>4059</v>
      </c>
      <c r="C70" s="3492">
        <v>90.59</v>
      </c>
      <c r="D70" s="3496">
        <v>769633</v>
      </c>
      <c r="E70" s="3493">
        <f t="shared" si="2"/>
        <v>23.28</v>
      </c>
      <c r="G70" s="3493">
        <f t="shared" si="3"/>
        <v>15.450079886513752</v>
      </c>
    </row>
    <row r="71" spans="1:7" ht="12.75">
      <c r="A71" s="3490">
        <v>69</v>
      </c>
      <c r="B71" s="3495" t="s">
        <v>4059</v>
      </c>
      <c r="C71" s="3492">
        <v>256.92</v>
      </c>
      <c r="D71" s="3496">
        <v>3002530</v>
      </c>
      <c r="E71" s="3493">
        <f t="shared" si="2"/>
        <v>32.020000000000003</v>
      </c>
      <c r="G71" s="3493">
        <f t="shared" si="3"/>
        <v>21.250496476210067</v>
      </c>
    </row>
    <row r="72" spans="1:7" ht="12.75">
      <c r="A72" s="3490">
        <v>70</v>
      </c>
      <c r="B72" s="3495" t="s">
        <v>4059</v>
      </c>
      <c r="C72" s="3492">
        <v>153.13</v>
      </c>
      <c r="D72" s="3496">
        <v>2121672</v>
      </c>
      <c r="E72" s="3493">
        <f t="shared" si="2"/>
        <v>37.96</v>
      </c>
      <c r="G72" s="3493">
        <f t="shared" si="3"/>
        <v>25.19265603488239</v>
      </c>
    </row>
    <row r="73" spans="1:7" ht="12.75">
      <c r="A73" s="3490">
        <v>71</v>
      </c>
      <c r="B73" s="3495" t="s">
        <v>4059</v>
      </c>
      <c r="C73" s="3492">
        <v>145.38999999999999</v>
      </c>
      <c r="D73" s="3496">
        <v>2690634.25</v>
      </c>
      <c r="E73" s="3493">
        <f t="shared" si="2"/>
        <v>50.7</v>
      </c>
      <c r="G73" s="3493">
        <f t="shared" si="3"/>
        <v>33.647725526041548</v>
      </c>
    </row>
    <row r="74" spans="1:7" ht="12.75">
      <c r="A74" s="3490">
        <v>72</v>
      </c>
      <c r="B74" s="3495" t="s">
        <v>4059</v>
      </c>
      <c r="C74" s="3492">
        <v>202.49</v>
      </c>
      <c r="D74" s="3496">
        <v>3781540.3699999996</v>
      </c>
      <c r="E74" s="3493">
        <f t="shared" si="2"/>
        <v>51.16</v>
      </c>
      <c r="G74" s="3493">
        <f t="shared" si="3"/>
        <v>33.953010609709771</v>
      </c>
    </row>
    <row r="75" spans="1:7" ht="12.75">
      <c r="A75" s="3490">
        <v>73</v>
      </c>
      <c r="B75" s="3495" t="s">
        <v>4059</v>
      </c>
      <c r="C75" s="3492">
        <v>202.49</v>
      </c>
      <c r="D75" s="3496">
        <v>1081683</v>
      </c>
      <c r="E75" s="3493">
        <f t="shared" si="2"/>
        <v>14.64</v>
      </c>
      <c r="G75" s="3493">
        <f t="shared" si="3"/>
        <v>9.7160296193540088</v>
      </c>
    </row>
    <row r="76" spans="1:7" ht="12.75">
      <c r="A76" s="3490">
        <v>74</v>
      </c>
      <c r="B76" s="3495" t="s">
        <v>4059</v>
      </c>
      <c r="C76" s="3492">
        <v>28.19</v>
      </c>
      <c r="D76" s="3496">
        <v>599767.44999999995</v>
      </c>
      <c r="E76" s="3493">
        <f t="shared" si="2"/>
        <v>58.29</v>
      </c>
      <c r="G76" s="3493">
        <f t="shared" si="3"/>
        <v>38.684929406567292</v>
      </c>
    </row>
    <row r="77" spans="1:7" ht="12.75">
      <c r="A77" s="3490">
        <v>75</v>
      </c>
      <c r="B77" s="3495" t="s">
        <v>4059</v>
      </c>
      <c r="C77" s="3492">
        <v>21.16</v>
      </c>
      <c r="D77" s="3496">
        <v>362645.6</v>
      </c>
      <c r="E77" s="3493">
        <f t="shared" si="2"/>
        <v>46.95</v>
      </c>
      <c r="G77" s="3493">
        <f t="shared" si="3"/>
        <v>31.158988430920132</v>
      </c>
    </row>
    <row r="78" spans="1:7" ht="12.75">
      <c r="A78" s="3490">
        <v>76</v>
      </c>
      <c r="B78" s="3495" t="s">
        <v>4059</v>
      </c>
      <c r="C78" s="3492">
        <v>182.28</v>
      </c>
      <c r="D78" s="3496">
        <v>2709860.2</v>
      </c>
      <c r="E78" s="3493">
        <f t="shared" si="2"/>
        <v>40.729999999999997</v>
      </c>
      <c r="G78" s="3493">
        <f t="shared" si="3"/>
        <v>27.031003169145407</v>
      </c>
    </row>
    <row r="79" spans="1:7" ht="12.75">
      <c r="A79" s="3490">
        <v>77</v>
      </c>
      <c r="B79" s="3495" t="s">
        <v>4059</v>
      </c>
      <c r="C79" s="3492">
        <v>42.96</v>
      </c>
      <c r="D79" s="3496">
        <v>591468</v>
      </c>
      <c r="E79" s="3493">
        <f t="shared" si="2"/>
        <v>37.72</v>
      </c>
      <c r="G79" s="3493">
        <f t="shared" si="3"/>
        <v>25.033376860794618</v>
      </c>
    </row>
    <row r="80" spans="1:7" ht="12.75">
      <c r="A80" s="3490">
        <v>78</v>
      </c>
      <c r="B80" s="3495" t="s">
        <v>4059</v>
      </c>
      <c r="C80" s="3491">
        <v>212.97</v>
      </c>
      <c r="D80" s="3496">
        <v>2360235.8200000003</v>
      </c>
      <c r="E80" s="3493">
        <f t="shared" si="2"/>
        <v>30.36</v>
      </c>
      <c r="G80" s="3493">
        <f t="shared" si="3"/>
        <v>20.148815522102986</v>
      </c>
    </row>
    <row r="81" spans="1:7" ht="12.75">
      <c r="A81" s="3490">
        <v>79</v>
      </c>
      <c r="B81" s="3495" t="s">
        <v>4059</v>
      </c>
      <c r="C81" s="3491">
        <v>212.97</v>
      </c>
      <c r="D81" s="3496">
        <v>1812757</v>
      </c>
      <c r="E81" s="3493">
        <f t="shared" si="2"/>
        <v>23.32</v>
      </c>
      <c r="G81" s="3493">
        <f t="shared" si="3"/>
        <v>15.476626415528381</v>
      </c>
    </row>
    <row r="82" spans="1:7" ht="12.75">
      <c r="A82" s="3490">
        <v>80</v>
      </c>
      <c r="B82" s="3495" t="s">
        <v>4059</v>
      </c>
      <c r="C82" s="3491">
        <v>75.239999999999995</v>
      </c>
      <c r="D82" s="3496">
        <v>1458616.1600000001</v>
      </c>
      <c r="E82" s="3493">
        <f t="shared" si="2"/>
        <v>53.11</v>
      </c>
      <c r="G82" s="3493">
        <f t="shared" si="3"/>
        <v>35.247153899172908</v>
      </c>
    </row>
    <row r="83" spans="1:7" ht="12.75">
      <c r="A83" s="3490">
        <v>81</v>
      </c>
      <c r="B83" s="3495" t="s">
        <v>4059</v>
      </c>
      <c r="C83" s="3491">
        <v>109.49</v>
      </c>
      <c r="D83" s="3496">
        <v>1828244.4300000002</v>
      </c>
      <c r="E83" s="3493">
        <f t="shared" si="2"/>
        <v>45.75</v>
      </c>
      <c r="G83" s="3493">
        <f t="shared" si="3"/>
        <v>30.362592560481279</v>
      </c>
    </row>
    <row r="84" spans="1:7" ht="12.75">
      <c r="A84" s="3490">
        <v>82</v>
      </c>
      <c r="B84" s="3495" t="s">
        <v>4059</v>
      </c>
      <c r="C84" s="3491">
        <v>109.45</v>
      </c>
      <c r="D84" s="3496">
        <v>1738490</v>
      </c>
      <c r="E84" s="3493">
        <f t="shared" si="2"/>
        <v>43.52</v>
      </c>
      <c r="G84" s="3493">
        <f t="shared" si="3"/>
        <v>28.882623567915743</v>
      </c>
    </row>
    <row r="85" spans="1:7" ht="12.75">
      <c r="A85" s="3490">
        <v>83</v>
      </c>
      <c r="B85" s="3495" t="s">
        <v>4059</v>
      </c>
      <c r="C85" s="3491">
        <v>107.16</v>
      </c>
      <c r="D85" s="3496">
        <v>1474322.28</v>
      </c>
      <c r="E85" s="3493">
        <f t="shared" si="2"/>
        <v>37.69</v>
      </c>
      <c r="G85" s="3493">
        <f t="shared" si="3"/>
        <v>25.013466964033647</v>
      </c>
    </row>
    <row r="86" spans="1:7" ht="12.75">
      <c r="A86" s="3490">
        <v>84</v>
      </c>
      <c r="B86" s="3495" t="s">
        <v>4059</v>
      </c>
      <c r="C86" s="3491">
        <v>107.16</v>
      </c>
      <c r="D86" s="3496">
        <v>422934</v>
      </c>
      <c r="E86" s="3493">
        <f t="shared" si="2"/>
        <v>10.81</v>
      </c>
      <c r="G86" s="3493">
        <f t="shared" si="3"/>
        <v>7.1741994662033362</v>
      </c>
    </row>
    <row r="87" spans="1:7" ht="12.75">
      <c r="A87" s="3490">
        <v>85</v>
      </c>
      <c r="B87" s="3495" t="s">
        <v>4059</v>
      </c>
      <c r="C87" s="3491">
        <v>102.36</v>
      </c>
      <c r="D87" s="3496">
        <v>1681240</v>
      </c>
      <c r="E87" s="3493">
        <f t="shared" si="2"/>
        <v>45</v>
      </c>
      <c r="G87" s="3493">
        <f t="shared" si="3"/>
        <v>29.864845141456993</v>
      </c>
    </row>
    <row r="88" spans="1:7" ht="12.75">
      <c r="A88" s="3490">
        <v>86</v>
      </c>
      <c r="B88" s="3495" t="s">
        <v>4059</v>
      </c>
      <c r="C88" s="3491">
        <v>108.47</v>
      </c>
      <c r="D88" s="3496">
        <v>1578033.33</v>
      </c>
      <c r="E88" s="3493">
        <f t="shared" si="2"/>
        <v>39.86</v>
      </c>
      <c r="G88" s="3493">
        <f t="shared" si="3"/>
        <v>26.453616163077239</v>
      </c>
    </row>
    <row r="89" spans="1:7" ht="12.75">
      <c r="A89" s="3490">
        <v>87</v>
      </c>
      <c r="B89" s="3495" t="s">
        <v>4059</v>
      </c>
      <c r="C89" s="3491">
        <v>373.45</v>
      </c>
      <c r="D89" s="3496">
        <v>4507095.3100000005</v>
      </c>
      <c r="E89" s="3493">
        <f t="shared" si="2"/>
        <v>33.07</v>
      </c>
      <c r="G89" s="3493">
        <f t="shared" si="3"/>
        <v>21.947342862844064</v>
      </c>
    </row>
    <row r="90" spans="1:7" ht="12.75">
      <c r="A90" s="3490">
        <v>88</v>
      </c>
      <c r="B90" s="3495" t="s">
        <v>4060</v>
      </c>
      <c r="C90" s="3491">
        <v>276.58999999999997</v>
      </c>
      <c r="D90" s="3496">
        <v>1744554.54</v>
      </c>
      <c r="E90" s="3493">
        <f t="shared" si="2"/>
        <v>17.28</v>
      </c>
      <c r="G90" s="3493">
        <f t="shared" si="3"/>
        <v>11.468100534319486</v>
      </c>
    </row>
    <row r="91" spans="1:7" ht="12.75">
      <c r="A91" s="3490">
        <v>89</v>
      </c>
      <c r="B91" s="3495" t="s">
        <v>4060</v>
      </c>
      <c r="C91" s="3491">
        <v>32.6</v>
      </c>
      <c r="D91" s="3496">
        <v>332402.33</v>
      </c>
      <c r="E91" s="3493">
        <f t="shared" si="2"/>
        <v>27.94</v>
      </c>
      <c r="G91" s="3493">
        <f t="shared" si="3"/>
        <v>18.542750516717966</v>
      </c>
    </row>
    <row r="92" spans="1:7" ht="12.75">
      <c r="A92" s="3490">
        <v>90</v>
      </c>
      <c r="B92" s="3495" t="s">
        <v>4060</v>
      </c>
      <c r="C92" s="3491">
        <v>27.04</v>
      </c>
      <c r="D92" s="3496">
        <v>305551.81</v>
      </c>
      <c r="E92" s="3493">
        <f t="shared" si="2"/>
        <v>30.96</v>
      </c>
      <c r="G92" s="3493">
        <f t="shared" si="3"/>
        <v>20.547013457322414</v>
      </c>
    </row>
    <row r="93" spans="1:7" ht="12.75">
      <c r="A93" s="3490">
        <v>91</v>
      </c>
      <c r="B93" s="3495" t="s">
        <v>4060</v>
      </c>
      <c r="C93" s="3491">
        <v>207.31</v>
      </c>
      <c r="D93" s="3496">
        <v>1312248.24</v>
      </c>
      <c r="E93" s="3493">
        <f t="shared" si="2"/>
        <v>17.34</v>
      </c>
      <c r="G93" s="3493">
        <f t="shared" si="3"/>
        <v>11.507920327841429</v>
      </c>
    </row>
    <row r="94" spans="1:7" ht="12.75">
      <c r="A94" s="3490">
        <v>92</v>
      </c>
      <c r="B94" s="3495" t="s">
        <v>4060</v>
      </c>
      <c r="C94" s="3491">
        <v>102.15</v>
      </c>
      <c r="D94" s="3496">
        <v>874838</v>
      </c>
      <c r="E94" s="3493">
        <f t="shared" si="2"/>
        <v>23.46</v>
      </c>
      <c r="G94" s="3493">
        <f t="shared" si="3"/>
        <v>15.56953926707958</v>
      </c>
    </row>
    <row r="95" spans="1:7" ht="12.75">
      <c r="A95" s="3490">
        <v>93</v>
      </c>
      <c r="B95" s="3495" t="s">
        <v>4060</v>
      </c>
      <c r="C95" s="3491">
        <v>102.15</v>
      </c>
      <c r="D95" s="3496">
        <v>533762.51</v>
      </c>
      <c r="E95" s="3493">
        <f t="shared" si="2"/>
        <v>14.32</v>
      </c>
      <c r="G95" s="3493">
        <f t="shared" si="3"/>
        <v>9.5036573872369807</v>
      </c>
    </row>
    <row r="96" spans="1:7" ht="12.75">
      <c r="A96" s="3490">
        <v>94</v>
      </c>
      <c r="B96" s="3495" t="s">
        <v>4060</v>
      </c>
      <c r="C96" s="3491">
        <v>86</v>
      </c>
      <c r="D96" s="3496">
        <v>973504</v>
      </c>
      <c r="E96" s="3493">
        <f t="shared" si="2"/>
        <v>31.01</v>
      </c>
      <c r="G96" s="3493">
        <f t="shared" si="3"/>
        <v>20.580196618590698</v>
      </c>
    </row>
    <row r="97" spans="1:7" ht="12.75">
      <c r="A97" s="3490">
        <v>95</v>
      </c>
      <c r="B97" s="3495" t="s">
        <v>4060</v>
      </c>
      <c r="C97" s="3491">
        <v>248.21</v>
      </c>
      <c r="D97" s="3496">
        <v>711787</v>
      </c>
      <c r="E97" s="3493">
        <f t="shared" si="2"/>
        <v>7.86</v>
      </c>
      <c r="G97" s="3493">
        <f t="shared" si="3"/>
        <v>5.2163929513744884</v>
      </c>
    </row>
    <row r="98" spans="1:7" ht="12.75">
      <c r="A98" s="3490">
        <v>96</v>
      </c>
      <c r="B98" s="3495" t="s">
        <v>4060</v>
      </c>
      <c r="C98" s="3491">
        <v>47.67</v>
      </c>
      <c r="D98" s="3496">
        <v>503583.17</v>
      </c>
      <c r="E98" s="3493">
        <f t="shared" si="2"/>
        <v>28.94</v>
      </c>
      <c r="G98" s="3493">
        <f t="shared" si="3"/>
        <v>19.206413742083676</v>
      </c>
    </row>
    <row r="99" spans="1:7" ht="12.75">
      <c r="A99" s="3490">
        <v>97</v>
      </c>
      <c r="B99" s="3495" t="s">
        <v>4060</v>
      </c>
      <c r="C99" s="3491">
        <v>63.04</v>
      </c>
      <c r="D99" s="3496">
        <v>799224</v>
      </c>
      <c r="E99" s="3493">
        <f t="shared" si="2"/>
        <v>34.729999999999997</v>
      </c>
      <c r="G99" s="3493">
        <f t="shared" si="3"/>
        <v>23.049023816951141</v>
      </c>
    </row>
    <row r="100" spans="1:7" ht="12.75">
      <c r="A100" s="3490">
        <v>98</v>
      </c>
      <c r="B100" s="3495" t="s">
        <v>4060</v>
      </c>
      <c r="C100" s="3491">
        <v>245.12</v>
      </c>
      <c r="D100" s="3496">
        <v>2705925.61</v>
      </c>
      <c r="E100" s="3493">
        <f t="shared" si="2"/>
        <v>30.24</v>
      </c>
      <c r="G100" s="3493">
        <f t="shared" si="3"/>
        <v>20.0691759350591</v>
      </c>
    </row>
    <row r="101" spans="1:7" ht="12.75">
      <c r="A101" s="3490">
        <v>99</v>
      </c>
      <c r="B101" s="3495" t="s">
        <v>4060</v>
      </c>
      <c r="C101" s="3491">
        <v>144.12</v>
      </c>
      <c r="D101" s="3496">
        <v>1661553.46</v>
      </c>
      <c r="E101" s="3493">
        <f t="shared" si="2"/>
        <v>31.59</v>
      </c>
      <c r="G101" s="3493">
        <f t="shared" si="3"/>
        <v>20.965121289302811</v>
      </c>
    </row>
    <row r="102" spans="1:7" ht="12.75">
      <c r="A102" s="3490">
        <v>100</v>
      </c>
      <c r="B102" s="3495" t="s">
        <v>4060</v>
      </c>
      <c r="C102" s="3491">
        <v>147.02000000000001</v>
      </c>
      <c r="D102" s="3496">
        <v>1795214.96</v>
      </c>
      <c r="E102" s="3493">
        <f t="shared" si="2"/>
        <v>33.450000000000003</v>
      </c>
      <c r="G102" s="3493">
        <f t="shared" si="3"/>
        <v>22.199534888483033</v>
      </c>
    </row>
    <row r="103" spans="1:7" ht="12.75">
      <c r="A103" s="3490">
        <v>101</v>
      </c>
      <c r="B103" s="3495" t="s">
        <v>4060</v>
      </c>
      <c r="C103" s="3491">
        <v>90.63</v>
      </c>
      <c r="D103" s="3496">
        <v>410356.80000000005</v>
      </c>
      <c r="E103" s="3493">
        <f t="shared" si="2"/>
        <v>12.41</v>
      </c>
      <c r="G103" s="3493">
        <f t="shared" si="3"/>
        <v>8.2360606267884737</v>
      </c>
    </row>
    <row r="104" spans="1:7" ht="12.75">
      <c r="A104" s="3490">
        <v>102</v>
      </c>
      <c r="B104" s="3495" t="s">
        <v>4060</v>
      </c>
      <c r="C104" s="3491">
        <v>90.63</v>
      </c>
      <c r="D104" s="3496">
        <v>891218.04999999993</v>
      </c>
      <c r="E104" s="3493">
        <f t="shared" si="2"/>
        <v>26.94</v>
      </c>
      <c r="G104" s="3493">
        <f t="shared" si="3"/>
        <v>17.879087291352256</v>
      </c>
    </row>
    <row r="105" spans="1:7" ht="12.75">
      <c r="A105" s="3490">
        <v>103</v>
      </c>
      <c r="B105" s="3495" t="s">
        <v>4060</v>
      </c>
      <c r="C105" s="3491">
        <v>377.33</v>
      </c>
      <c r="D105" s="3496">
        <v>3222294.78</v>
      </c>
      <c r="E105" s="3493">
        <f t="shared" si="2"/>
        <v>23.4</v>
      </c>
      <c r="G105" s="3493">
        <f t="shared" si="3"/>
        <v>15.529719473557636</v>
      </c>
    </row>
    <row r="106" spans="1:7" ht="12.75">
      <c r="A106" s="3490">
        <v>104</v>
      </c>
      <c r="B106" s="3495" t="s">
        <v>4060</v>
      </c>
      <c r="C106" s="3491">
        <v>12.24</v>
      </c>
      <c r="D106" s="3496">
        <v>170334</v>
      </c>
      <c r="E106" s="3493">
        <f t="shared" si="2"/>
        <v>38.130000000000003</v>
      </c>
      <c r="G106" s="3493">
        <f t="shared" si="3"/>
        <v>25.305478783194562</v>
      </c>
    </row>
    <row r="107" spans="1:7" ht="12.75">
      <c r="A107" s="3490">
        <v>105</v>
      </c>
      <c r="B107" s="3495" t="s">
        <v>4060</v>
      </c>
      <c r="C107" s="3491">
        <v>101.4</v>
      </c>
      <c r="D107" s="3496">
        <v>1406667.03</v>
      </c>
      <c r="E107" s="3493">
        <f t="shared" si="2"/>
        <v>38.01</v>
      </c>
      <c r="G107" s="3493">
        <f t="shared" si="3"/>
        <v>25.225839196150673</v>
      </c>
    </row>
    <row r="108" spans="1:7" ht="12.75">
      <c r="A108" s="3490">
        <v>106</v>
      </c>
      <c r="B108" s="3495" t="s">
        <v>4060</v>
      </c>
      <c r="C108" s="3491">
        <v>112.77</v>
      </c>
      <c r="D108" s="3496">
        <v>130086</v>
      </c>
      <c r="E108" s="3493">
        <f t="shared" si="2"/>
        <v>3.16</v>
      </c>
      <c r="G108" s="3493">
        <f t="shared" si="3"/>
        <v>2.0971757921556469</v>
      </c>
    </row>
    <row r="109" spans="1:7" ht="12.75">
      <c r="A109" s="3490">
        <v>107</v>
      </c>
      <c r="B109" s="3495" t="s">
        <v>4060</v>
      </c>
      <c r="C109" s="3491">
        <v>112.77</v>
      </c>
      <c r="D109" s="3496">
        <v>1384809</v>
      </c>
      <c r="E109" s="3493">
        <f t="shared" si="2"/>
        <v>33.64</v>
      </c>
      <c r="G109" s="3493">
        <f t="shared" si="3"/>
        <v>22.325630901302517</v>
      </c>
    </row>
    <row r="110" spans="1:7" ht="12.75">
      <c r="A110" s="3490">
        <v>108</v>
      </c>
      <c r="B110" s="3495" t="s">
        <v>4060</v>
      </c>
      <c r="C110" s="3491">
        <v>110.32</v>
      </c>
      <c r="D110" s="3496">
        <v>1658260.4400000002</v>
      </c>
      <c r="E110" s="3493">
        <f t="shared" si="2"/>
        <v>41.18</v>
      </c>
      <c r="G110" s="3493">
        <f t="shared" si="3"/>
        <v>27.329651620559979</v>
      </c>
    </row>
    <row r="111" spans="1:7" ht="12.75">
      <c r="A111" s="3490">
        <v>109</v>
      </c>
      <c r="B111" s="3495" t="s">
        <v>4060</v>
      </c>
      <c r="C111" s="3491">
        <v>126.27</v>
      </c>
      <c r="D111" s="3496">
        <v>1662801.9199999999</v>
      </c>
      <c r="E111" s="3493">
        <f t="shared" si="2"/>
        <v>36.08</v>
      </c>
      <c r="G111" s="3493">
        <f t="shared" si="3"/>
        <v>23.944969171194852</v>
      </c>
    </row>
    <row r="112" spans="1:7" ht="12.75">
      <c r="A112" s="3490">
        <v>110</v>
      </c>
      <c r="B112" s="3495" t="s">
        <v>4060</v>
      </c>
      <c r="C112" s="3491">
        <v>82.66</v>
      </c>
      <c r="D112" s="3496">
        <v>956225.73</v>
      </c>
      <c r="E112" s="3493">
        <f t="shared" si="2"/>
        <v>31.69</v>
      </c>
      <c r="G112" s="3493">
        <f t="shared" si="3"/>
        <v>21.031487611839381</v>
      </c>
    </row>
    <row r="113" spans="1:7" ht="12.75">
      <c r="A113" s="3490">
        <v>111</v>
      </c>
      <c r="B113" s="3495" t="s">
        <v>4060</v>
      </c>
      <c r="C113" s="3491">
        <v>82.66</v>
      </c>
      <c r="D113" s="3496">
        <v>1026773.06</v>
      </c>
      <c r="E113" s="3493">
        <f t="shared" si="2"/>
        <v>34.03</v>
      </c>
      <c r="G113" s="3493">
        <f t="shared" si="3"/>
        <v>22.584459559195146</v>
      </c>
    </row>
    <row r="114" spans="1:7" ht="12.75">
      <c r="A114" s="3490">
        <v>112</v>
      </c>
      <c r="B114" s="3495" t="s">
        <v>4060</v>
      </c>
      <c r="C114" s="3491">
        <v>80.819999999999993</v>
      </c>
      <c r="D114" s="3496">
        <v>959136</v>
      </c>
      <c r="E114" s="3493">
        <f t="shared" si="2"/>
        <v>32.51</v>
      </c>
      <c r="G114" s="3493">
        <f t="shared" si="3"/>
        <v>21.575691456639262</v>
      </c>
    </row>
    <row r="115" spans="1:7" ht="12.75">
      <c r="A115" s="3490">
        <v>113</v>
      </c>
      <c r="B115" s="3495" t="s">
        <v>4060</v>
      </c>
      <c r="C115" s="3491">
        <v>42.85</v>
      </c>
      <c r="D115" s="3496">
        <v>334331</v>
      </c>
      <c r="E115" s="3493">
        <f t="shared" si="2"/>
        <v>21.38</v>
      </c>
      <c r="G115" s="3493">
        <f t="shared" si="3"/>
        <v>14.189119758318901</v>
      </c>
    </row>
    <row r="116" spans="1:7" ht="12.75">
      <c r="A116" s="3490">
        <v>114</v>
      </c>
      <c r="B116" s="3495" t="s">
        <v>4060</v>
      </c>
      <c r="C116" s="3491">
        <v>136.25</v>
      </c>
      <c r="D116" s="3496">
        <v>2043803.22</v>
      </c>
      <c r="E116" s="3493">
        <f t="shared" si="2"/>
        <v>41.1</v>
      </c>
      <c r="G116" s="3493">
        <f t="shared" si="3"/>
        <v>27.276558562530724</v>
      </c>
    </row>
    <row r="117" spans="1:7" ht="12.75">
      <c r="A117" s="3490">
        <v>115</v>
      </c>
      <c r="B117" s="3495" t="s">
        <v>4060</v>
      </c>
      <c r="C117" s="3491">
        <v>35.79</v>
      </c>
      <c r="D117" s="3496">
        <v>417807</v>
      </c>
      <c r="E117" s="3493">
        <f t="shared" si="2"/>
        <v>31.98</v>
      </c>
      <c r="G117" s="3493">
        <f t="shared" si="3"/>
        <v>21.223949947195436</v>
      </c>
    </row>
    <row r="118" spans="1:7" ht="12" customHeight="1">
      <c r="A118" s="3490">
        <v>116</v>
      </c>
      <c r="B118" s="3495" t="s">
        <v>4060</v>
      </c>
      <c r="C118" s="3491">
        <v>459.23</v>
      </c>
      <c r="D118" s="3496">
        <v>2264126.75</v>
      </c>
      <c r="E118" s="3493">
        <f t="shared" si="2"/>
        <v>13.51</v>
      </c>
      <c r="G118" s="3493">
        <f t="shared" si="3"/>
        <v>8.9660901746907555</v>
      </c>
    </row>
    <row r="119" spans="1:7" ht="12.75">
      <c r="A119" s="3490">
        <v>117</v>
      </c>
      <c r="B119" s="3495" t="s">
        <v>4061</v>
      </c>
      <c r="C119" s="3491">
        <v>182.89</v>
      </c>
      <c r="D119" s="3496">
        <v>1642038</v>
      </c>
      <c r="E119" s="3493">
        <f t="shared" si="2"/>
        <v>24.6</v>
      </c>
      <c r="G119" s="3493">
        <f t="shared" si="3"/>
        <v>16.326115343996491</v>
      </c>
    </row>
    <row r="120" spans="1:7" ht="12.75">
      <c r="A120" s="3490">
        <v>118</v>
      </c>
      <c r="B120" s="3495" t="s">
        <v>4061</v>
      </c>
      <c r="C120" s="3491">
        <v>159.07</v>
      </c>
      <c r="D120" s="3496">
        <v>1344174</v>
      </c>
      <c r="E120" s="3493">
        <f t="shared" si="2"/>
        <v>23.15</v>
      </c>
      <c r="G120" s="3493">
        <f t="shared" si="3"/>
        <v>15.363803667216208</v>
      </c>
    </row>
    <row r="121" spans="1:7" ht="12.75">
      <c r="A121" s="3490">
        <v>119</v>
      </c>
      <c r="B121" s="3495" t="s">
        <v>4061</v>
      </c>
      <c r="C121" s="3491">
        <v>26.91</v>
      </c>
      <c r="D121" s="3496">
        <v>221154</v>
      </c>
      <c r="E121" s="3493">
        <f t="shared" si="2"/>
        <v>22.52</v>
      </c>
      <c r="G121" s="3493">
        <f t="shared" si="3"/>
        <v>14.945695835235812</v>
      </c>
    </row>
    <row r="122" spans="1:7" ht="12.75">
      <c r="A122" s="3490">
        <v>120</v>
      </c>
      <c r="B122" s="3495" t="s">
        <v>4061</v>
      </c>
      <c r="C122" s="3491">
        <v>115.77</v>
      </c>
      <c r="D122" s="3496">
        <v>914938</v>
      </c>
      <c r="E122" s="3493">
        <f t="shared" si="2"/>
        <v>21.65</v>
      </c>
      <c r="G122" s="3493">
        <f t="shared" si="3"/>
        <v>14.368308829167642</v>
      </c>
    </row>
    <row r="123" spans="1:7" ht="12.75">
      <c r="A123" s="3490">
        <v>121</v>
      </c>
      <c r="B123" s="3495" t="s">
        <v>4061</v>
      </c>
      <c r="C123" s="3491">
        <v>234.49</v>
      </c>
      <c r="D123" s="3496">
        <v>2185842.35</v>
      </c>
      <c r="E123" s="3493">
        <f t="shared" si="2"/>
        <v>25.54</v>
      </c>
      <c r="G123" s="3493">
        <f t="shared" si="3"/>
        <v>16.949958775840258</v>
      </c>
    </row>
    <row r="124" spans="1:7" ht="12.75">
      <c r="A124" s="3490">
        <v>122</v>
      </c>
      <c r="B124" s="3495" t="s">
        <v>4061</v>
      </c>
      <c r="C124" s="3491">
        <v>326.5</v>
      </c>
      <c r="D124" s="3496">
        <v>3396169</v>
      </c>
      <c r="E124" s="3493">
        <f t="shared" si="2"/>
        <v>28.5</v>
      </c>
      <c r="G124" s="3493">
        <f t="shared" si="3"/>
        <v>18.914401922922764</v>
      </c>
    </row>
    <row r="125" spans="1:7" ht="12.75">
      <c r="A125" s="3490">
        <v>123</v>
      </c>
      <c r="B125" s="3495" t="s">
        <v>4061</v>
      </c>
      <c r="C125" s="3491">
        <v>86.19</v>
      </c>
      <c r="D125" s="3496">
        <v>735097</v>
      </c>
      <c r="E125" s="3493">
        <f t="shared" si="2"/>
        <v>23.37</v>
      </c>
      <c r="G125" s="3493">
        <f t="shared" si="3"/>
        <v>15.509809576796666</v>
      </c>
    </row>
    <row r="126" spans="1:7" ht="12.75">
      <c r="A126" s="3490">
        <v>124</v>
      </c>
      <c r="B126" s="3495" t="s">
        <v>4061</v>
      </c>
      <c r="C126" s="3491">
        <v>49.6</v>
      </c>
      <c r="D126" s="3496">
        <v>474026</v>
      </c>
      <c r="E126" s="3493">
        <f t="shared" si="2"/>
        <v>26.18</v>
      </c>
      <c r="G126" s="3493">
        <f t="shared" si="3"/>
        <v>17.374703240074314</v>
      </c>
    </row>
    <row r="127" spans="1:7" ht="12.75">
      <c r="A127" s="3490">
        <v>125</v>
      </c>
      <c r="B127" s="3495" t="s">
        <v>4061</v>
      </c>
      <c r="C127" s="3491">
        <v>64.09</v>
      </c>
      <c r="D127" s="3496">
        <v>781572</v>
      </c>
      <c r="E127" s="3493">
        <f t="shared" si="2"/>
        <v>33.409999999999997</v>
      </c>
      <c r="G127" s="3493">
        <f t="shared" si="3"/>
        <v>22.172988359468402</v>
      </c>
    </row>
    <row r="128" spans="1:7" ht="12.75">
      <c r="A128" s="3490">
        <v>126</v>
      </c>
      <c r="B128" s="3495" t="s">
        <v>4061</v>
      </c>
      <c r="C128" s="3491">
        <v>166.49</v>
      </c>
      <c r="D128" s="3496">
        <v>1555488</v>
      </c>
      <c r="E128" s="3493">
        <f t="shared" si="2"/>
        <v>25.6</v>
      </c>
      <c r="G128" s="3493">
        <f t="shared" si="3"/>
        <v>16.989778569362201</v>
      </c>
    </row>
    <row r="129" spans="1:7" ht="12.75">
      <c r="A129" s="3490">
        <v>127</v>
      </c>
      <c r="B129" s="3495" t="s">
        <v>4061</v>
      </c>
      <c r="C129" s="3491">
        <v>144.57</v>
      </c>
      <c r="D129" s="3496">
        <v>1791702</v>
      </c>
      <c r="E129" s="3493">
        <f t="shared" si="2"/>
        <v>33.950000000000003</v>
      </c>
      <c r="G129" s="3493">
        <f t="shared" si="3"/>
        <v>22.531366501165891</v>
      </c>
    </row>
    <row r="130" spans="1:7" ht="12.75">
      <c r="A130" s="3490">
        <v>128</v>
      </c>
      <c r="B130" s="3495" t="s">
        <v>4061</v>
      </c>
      <c r="C130" s="3491">
        <v>148.38999999999999</v>
      </c>
      <c r="D130" s="3496">
        <v>1530388</v>
      </c>
      <c r="E130" s="3493">
        <f t="shared" si="2"/>
        <v>28.26</v>
      </c>
      <c r="G130" s="3493">
        <f t="shared" si="3"/>
        <v>18.755122748834992</v>
      </c>
    </row>
    <row r="131" spans="1:7" ht="12.75">
      <c r="A131" s="3490">
        <v>129</v>
      </c>
      <c r="B131" s="3495" t="s">
        <v>4061</v>
      </c>
      <c r="C131" s="3491">
        <v>90.81</v>
      </c>
      <c r="D131" s="3496">
        <v>1051161.49</v>
      </c>
      <c r="E131" s="3493">
        <f t="shared" si="2"/>
        <v>31.71</v>
      </c>
      <c r="G131" s="3493">
        <f t="shared" si="3"/>
        <v>21.044760876346697</v>
      </c>
    </row>
    <row r="132" spans="1:7" ht="12.75">
      <c r="A132" s="3490">
        <v>130</v>
      </c>
      <c r="B132" s="3495" t="s">
        <v>4061</v>
      </c>
      <c r="C132" s="3491">
        <v>345.78</v>
      </c>
      <c r="D132" s="3496">
        <v>1202669.5999999999</v>
      </c>
      <c r="E132" s="3493">
        <f t="shared" ref="E132:E195" si="4">ROUND(D132/C132/365,2)</f>
        <v>9.5299999999999994</v>
      </c>
      <c r="G132" s="3493">
        <f t="shared" ref="G132:G195" si="5">E132*$C$214</f>
        <v>6.3247105377352248</v>
      </c>
    </row>
    <row r="133" spans="1:7" ht="12.75">
      <c r="A133" s="3490">
        <v>131</v>
      </c>
      <c r="B133" s="3495" t="s">
        <v>4061</v>
      </c>
      <c r="C133" s="3491">
        <v>29.03</v>
      </c>
      <c r="D133" s="3496">
        <v>57118</v>
      </c>
      <c r="E133" s="3493">
        <f t="shared" si="4"/>
        <v>5.39</v>
      </c>
      <c r="G133" s="3493">
        <f t="shared" si="5"/>
        <v>3.5771447847211819</v>
      </c>
    </row>
    <row r="134" spans="1:7" ht="12.75">
      <c r="A134" s="3490">
        <v>132</v>
      </c>
      <c r="B134" s="3495" t="s">
        <v>4061</v>
      </c>
      <c r="C134" s="3491">
        <v>71.75</v>
      </c>
      <c r="D134" s="3496">
        <v>398511.73</v>
      </c>
      <c r="E134" s="3493">
        <f t="shared" si="4"/>
        <v>15.22</v>
      </c>
      <c r="G134" s="3493">
        <f t="shared" si="5"/>
        <v>10.100954290066122</v>
      </c>
    </row>
    <row r="135" spans="1:7" ht="12.75">
      <c r="A135" s="3490">
        <v>133</v>
      </c>
      <c r="B135" s="3495" t="s">
        <v>4061</v>
      </c>
      <c r="C135" s="3491">
        <v>12.19</v>
      </c>
      <c r="D135" s="3496">
        <v>23230</v>
      </c>
      <c r="E135" s="3493">
        <f t="shared" si="4"/>
        <v>5.22</v>
      </c>
      <c r="G135" s="3493">
        <f t="shared" si="5"/>
        <v>3.464322036409011</v>
      </c>
    </row>
    <row r="136" spans="1:7" ht="12.75">
      <c r="A136" s="3490">
        <v>134</v>
      </c>
      <c r="B136" s="3495" t="s">
        <v>4061</v>
      </c>
      <c r="C136" s="3491">
        <v>22.17</v>
      </c>
      <c r="D136" s="3496">
        <v>233331.96000000002</v>
      </c>
      <c r="E136" s="3493">
        <f t="shared" si="4"/>
        <v>28.83</v>
      </c>
      <c r="G136" s="3493">
        <f t="shared" si="5"/>
        <v>19.133410787293446</v>
      </c>
    </row>
    <row r="137" spans="1:7" ht="12.75">
      <c r="A137" s="3490">
        <v>135</v>
      </c>
      <c r="B137" s="3495" t="s">
        <v>4061</v>
      </c>
      <c r="C137" s="3491">
        <v>110.11</v>
      </c>
      <c r="D137" s="3496">
        <v>919378.8</v>
      </c>
      <c r="E137" s="3493">
        <f t="shared" si="4"/>
        <v>22.88</v>
      </c>
      <c r="G137" s="3493">
        <f t="shared" si="5"/>
        <v>15.184614596367467</v>
      </c>
    </row>
    <row r="138" spans="1:7" ht="12.75">
      <c r="A138" s="3490">
        <v>136</v>
      </c>
      <c r="B138" s="3495" t="s">
        <v>4061</v>
      </c>
      <c r="C138" s="3491">
        <v>110.11</v>
      </c>
      <c r="D138" s="3496">
        <v>670778.41</v>
      </c>
      <c r="E138" s="3493">
        <f t="shared" si="4"/>
        <v>16.690000000000001</v>
      </c>
      <c r="G138" s="3493">
        <f t="shared" si="5"/>
        <v>11.076539231353717</v>
      </c>
    </row>
    <row r="139" spans="1:7" ht="12.75">
      <c r="A139" s="3490">
        <v>137</v>
      </c>
      <c r="B139" s="3495" t="s">
        <v>4061</v>
      </c>
      <c r="C139" s="3491">
        <v>112.47</v>
      </c>
      <c r="D139" s="3496">
        <v>1539444.86</v>
      </c>
      <c r="E139" s="3493">
        <f t="shared" si="4"/>
        <v>37.5</v>
      </c>
      <c r="G139" s="3493">
        <f t="shared" si="5"/>
        <v>24.887370951214162</v>
      </c>
    </row>
    <row r="140" spans="1:7" ht="12.75">
      <c r="A140" s="3490">
        <v>138</v>
      </c>
      <c r="B140" s="3495" t="s">
        <v>4061</v>
      </c>
      <c r="C140" s="3491">
        <v>109.88</v>
      </c>
      <c r="D140" s="3496">
        <v>1543564</v>
      </c>
      <c r="E140" s="3493">
        <f t="shared" si="4"/>
        <v>38.49</v>
      </c>
      <c r="G140" s="3493">
        <f t="shared" si="5"/>
        <v>25.544397544326216</v>
      </c>
    </row>
    <row r="141" spans="1:7" ht="12.75">
      <c r="A141" s="3490">
        <v>139</v>
      </c>
      <c r="B141" s="3495" t="s">
        <v>4061</v>
      </c>
      <c r="C141" s="3491">
        <v>88.59</v>
      </c>
      <c r="D141" s="3496">
        <v>1039565.78</v>
      </c>
      <c r="E141" s="3493">
        <f t="shared" si="4"/>
        <v>32.15</v>
      </c>
      <c r="G141" s="3493">
        <f t="shared" si="5"/>
        <v>21.336772695507609</v>
      </c>
    </row>
    <row r="142" spans="1:7" ht="12.75">
      <c r="A142" s="3490">
        <v>140</v>
      </c>
      <c r="B142" s="3495" t="s">
        <v>4061</v>
      </c>
      <c r="C142" s="3491">
        <v>80.72</v>
      </c>
      <c r="D142" s="3496">
        <v>737171.22</v>
      </c>
      <c r="E142" s="3493">
        <f t="shared" si="4"/>
        <v>25.02</v>
      </c>
      <c r="G142" s="3493">
        <f t="shared" si="5"/>
        <v>16.604853898650088</v>
      </c>
    </row>
    <row r="143" spans="1:7" ht="12.75">
      <c r="A143" s="3490">
        <v>141</v>
      </c>
      <c r="B143" s="3495" t="s">
        <v>4061</v>
      </c>
      <c r="C143" s="3491">
        <v>82.55</v>
      </c>
      <c r="D143" s="3496">
        <v>971455.95</v>
      </c>
      <c r="E143" s="3493">
        <f t="shared" si="4"/>
        <v>32.24</v>
      </c>
      <c r="G143" s="3493">
        <f t="shared" si="5"/>
        <v>21.396502385790523</v>
      </c>
    </row>
    <row r="144" spans="1:7" ht="12.75">
      <c r="A144" s="3490">
        <v>142</v>
      </c>
      <c r="B144" s="3495" t="s">
        <v>4061</v>
      </c>
      <c r="C144" s="3491">
        <v>82.61</v>
      </c>
      <c r="D144" s="3496">
        <v>908975.16</v>
      </c>
      <c r="E144" s="3493">
        <f t="shared" si="4"/>
        <v>30.15</v>
      </c>
      <c r="G144" s="3493">
        <f t="shared" si="5"/>
        <v>20.009446244776186</v>
      </c>
    </row>
    <row r="145" spans="1:7" ht="12.75">
      <c r="A145" s="3490">
        <v>143</v>
      </c>
      <c r="B145" s="3495" t="s">
        <v>4061</v>
      </c>
      <c r="C145" s="3491">
        <v>80.87</v>
      </c>
      <c r="D145" s="3496">
        <v>853980.52</v>
      </c>
      <c r="E145" s="3493">
        <f t="shared" si="4"/>
        <v>28.93</v>
      </c>
      <c r="G145" s="3493">
        <f t="shared" si="5"/>
        <v>19.19977710983002</v>
      </c>
    </row>
    <row r="146" spans="1:7" ht="12.75">
      <c r="A146" s="3490">
        <v>144</v>
      </c>
      <c r="B146" s="3495" t="s">
        <v>4061</v>
      </c>
      <c r="C146" s="3491">
        <v>112.86</v>
      </c>
      <c r="D146" s="3496">
        <v>1244016</v>
      </c>
      <c r="E146" s="3493">
        <f t="shared" si="4"/>
        <v>30.2</v>
      </c>
      <c r="G146" s="3493">
        <f t="shared" si="5"/>
        <v>20.042629406044473</v>
      </c>
    </row>
    <row r="147" spans="1:7" ht="12.75">
      <c r="A147" s="3490">
        <v>145</v>
      </c>
      <c r="B147" s="3495" t="s">
        <v>4061</v>
      </c>
      <c r="C147" s="3491">
        <v>29.44</v>
      </c>
      <c r="D147" s="3496">
        <v>217731.82</v>
      </c>
      <c r="E147" s="3493">
        <f t="shared" si="4"/>
        <v>20.260000000000002</v>
      </c>
      <c r="G147" s="3493">
        <f t="shared" si="5"/>
        <v>13.445816945909305</v>
      </c>
    </row>
    <row r="148" spans="1:7" ht="12.75">
      <c r="A148" s="3490">
        <v>146</v>
      </c>
      <c r="B148" s="3495" t="s">
        <v>4061</v>
      </c>
      <c r="C148" s="3491">
        <v>499.57</v>
      </c>
      <c r="D148" s="3496">
        <v>3401208.34</v>
      </c>
      <c r="E148" s="3493">
        <f t="shared" si="4"/>
        <v>18.649999999999999</v>
      </c>
      <c r="G148" s="3493">
        <f t="shared" si="5"/>
        <v>12.377319153070509</v>
      </c>
    </row>
    <row r="149" spans="1:7" ht="12.75">
      <c r="A149" s="3490">
        <v>147</v>
      </c>
      <c r="B149" s="3495" t="s">
        <v>4062</v>
      </c>
      <c r="C149" s="3491">
        <v>322.94</v>
      </c>
      <c r="D149" s="3496">
        <v>3049620.13</v>
      </c>
      <c r="E149" s="3493">
        <f t="shared" si="4"/>
        <v>25.87</v>
      </c>
      <c r="G149" s="3493">
        <f t="shared" si="5"/>
        <v>17.168967640210944</v>
      </c>
    </row>
    <row r="150" spans="1:7" ht="12.75">
      <c r="A150" s="3490">
        <v>148</v>
      </c>
      <c r="B150" s="3495" t="s">
        <v>4062</v>
      </c>
      <c r="C150" s="3491">
        <v>27.25</v>
      </c>
      <c r="D150" s="3496">
        <v>353579.65</v>
      </c>
      <c r="E150" s="3493">
        <f t="shared" si="4"/>
        <v>35.549999999999997</v>
      </c>
      <c r="G150" s="3493">
        <f t="shared" si="5"/>
        <v>23.593227661751023</v>
      </c>
    </row>
    <row r="151" spans="1:7" ht="12.75">
      <c r="A151" s="3490">
        <v>149</v>
      </c>
      <c r="B151" s="3495" t="s">
        <v>4062</v>
      </c>
      <c r="C151" s="3491">
        <v>315.10000000000002</v>
      </c>
      <c r="D151" s="3496">
        <v>1141471.8700000001</v>
      </c>
      <c r="E151" s="3493">
        <f t="shared" si="4"/>
        <v>9.92</v>
      </c>
      <c r="G151" s="3493">
        <f t="shared" si="5"/>
        <v>6.5835391956278526</v>
      </c>
    </row>
    <row r="152" spans="1:7" ht="12.75">
      <c r="A152" s="3490">
        <v>150</v>
      </c>
      <c r="B152" s="3495" t="s">
        <v>4062</v>
      </c>
      <c r="C152" s="3491">
        <v>106.75</v>
      </c>
      <c r="D152" s="3496">
        <v>1735475.25</v>
      </c>
      <c r="E152" s="3493">
        <f t="shared" si="4"/>
        <v>44.54</v>
      </c>
      <c r="G152" s="3493">
        <f t="shared" si="5"/>
        <v>29.559560057788765</v>
      </c>
    </row>
    <row r="153" spans="1:7" ht="12.75">
      <c r="A153" s="3490">
        <v>151</v>
      </c>
      <c r="B153" s="3495" t="s">
        <v>4062</v>
      </c>
      <c r="C153" s="3491">
        <v>119.49</v>
      </c>
      <c r="D153" s="3496">
        <v>1168638</v>
      </c>
      <c r="E153" s="3493">
        <f t="shared" si="4"/>
        <v>26.8</v>
      </c>
      <c r="G153" s="3493">
        <f t="shared" si="5"/>
        <v>17.786174439801055</v>
      </c>
    </row>
    <row r="154" spans="1:7" ht="12.75">
      <c r="A154" s="3490">
        <v>152</v>
      </c>
      <c r="B154" s="3495" t="s">
        <v>4062</v>
      </c>
      <c r="C154" s="3491">
        <v>49.63</v>
      </c>
      <c r="D154" s="3496">
        <v>226575</v>
      </c>
      <c r="E154" s="3493">
        <f t="shared" si="4"/>
        <v>12.51</v>
      </c>
      <c r="G154" s="3493">
        <f t="shared" si="5"/>
        <v>8.302426949325044</v>
      </c>
    </row>
    <row r="155" spans="1:7" ht="12.75">
      <c r="A155" s="3490">
        <v>153</v>
      </c>
      <c r="B155" s="3495" t="s">
        <v>4062</v>
      </c>
      <c r="C155" s="3491">
        <v>19.39</v>
      </c>
      <c r="D155" s="3496">
        <v>155050.41999999998</v>
      </c>
      <c r="E155" s="3493">
        <f t="shared" si="4"/>
        <v>21.91</v>
      </c>
      <c r="G155" s="3493">
        <f t="shared" si="5"/>
        <v>14.540861267762727</v>
      </c>
    </row>
    <row r="156" spans="1:7" ht="12.75">
      <c r="A156" s="3490">
        <v>154</v>
      </c>
      <c r="B156" s="3495" t="s">
        <v>4062</v>
      </c>
      <c r="C156" s="3491">
        <v>43.86</v>
      </c>
      <c r="D156" s="3496">
        <v>286019.36</v>
      </c>
      <c r="E156" s="3493">
        <f t="shared" si="4"/>
        <v>17.87</v>
      </c>
      <c r="G156" s="3493">
        <f t="shared" si="5"/>
        <v>11.859661837285255</v>
      </c>
    </row>
    <row r="157" spans="1:7" ht="12.75">
      <c r="A157" s="3490">
        <v>155</v>
      </c>
      <c r="B157" s="3495" t="s">
        <v>4062</v>
      </c>
      <c r="C157" s="3491">
        <v>43.86</v>
      </c>
      <c r="D157" s="3496">
        <v>173953</v>
      </c>
      <c r="E157" s="3493">
        <f t="shared" si="4"/>
        <v>10.87</v>
      </c>
      <c r="G157" s="3493">
        <f t="shared" si="5"/>
        <v>7.2140192597252781</v>
      </c>
    </row>
    <row r="158" spans="1:7" ht="12.75">
      <c r="A158" s="3490">
        <v>156</v>
      </c>
      <c r="B158" s="3495" t="s">
        <v>4062</v>
      </c>
      <c r="C158" s="3491">
        <v>143.76</v>
      </c>
      <c r="D158" s="3496">
        <v>1565937.1199999999</v>
      </c>
      <c r="E158" s="3493">
        <f t="shared" si="4"/>
        <v>29.84</v>
      </c>
      <c r="G158" s="3493">
        <f t="shared" si="5"/>
        <v>19.803710644912815</v>
      </c>
    </row>
    <row r="159" spans="1:7" ht="12.75">
      <c r="A159" s="3490">
        <v>157</v>
      </c>
      <c r="B159" s="3495" t="s">
        <v>4062</v>
      </c>
      <c r="C159" s="3491">
        <v>241.78</v>
      </c>
      <c r="D159" s="3496">
        <v>2173612.3899999997</v>
      </c>
      <c r="E159" s="3493">
        <f t="shared" si="4"/>
        <v>24.63</v>
      </c>
      <c r="G159" s="3493">
        <f t="shared" si="5"/>
        <v>16.346025240757459</v>
      </c>
    </row>
    <row r="160" spans="1:7" ht="12.75">
      <c r="A160" s="3490">
        <v>158</v>
      </c>
      <c r="B160" s="3495" t="s">
        <v>4062</v>
      </c>
      <c r="C160" s="3491">
        <v>146.46</v>
      </c>
      <c r="D160" s="3496">
        <v>510870.19</v>
      </c>
      <c r="E160" s="3493">
        <f t="shared" si="4"/>
        <v>9.56</v>
      </c>
      <c r="G160" s="3493">
        <f t="shared" si="5"/>
        <v>6.3446204344961972</v>
      </c>
    </row>
    <row r="161" spans="1:7" ht="12.75">
      <c r="A161" s="3490">
        <v>159</v>
      </c>
      <c r="B161" s="3495" t="s">
        <v>4062</v>
      </c>
      <c r="C161" s="3491">
        <v>150.24</v>
      </c>
      <c r="D161" s="3496">
        <v>1144857</v>
      </c>
      <c r="E161" s="3493">
        <f t="shared" si="4"/>
        <v>20.88</v>
      </c>
      <c r="G161" s="3493">
        <f t="shared" si="5"/>
        <v>13.857288145636044</v>
      </c>
    </row>
    <row r="162" spans="1:7" ht="12.75">
      <c r="A162" s="3490">
        <v>160</v>
      </c>
      <c r="B162" s="3495" t="s">
        <v>4062</v>
      </c>
      <c r="C162" s="3491">
        <v>150.24</v>
      </c>
      <c r="D162" s="3496">
        <v>470177</v>
      </c>
      <c r="E162" s="3493">
        <f t="shared" si="4"/>
        <v>8.57</v>
      </c>
      <c r="G162" s="3493">
        <f t="shared" si="5"/>
        <v>5.6875938413841434</v>
      </c>
    </row>
    <row r="163" spans="1:7" ht="12" customHeight="1">
      <c r="A163" s="3490">
        <v>161</v>
      </c>
      <c r="B163" s="3495" t="s">
        <v>4062</v>
      </c>
      <c r="C163" s="3491">
        <v>380.29</v>
      </c>
      <c r="D163" s="3496">
        <v>3631286.18</v>
      </c>
      <c r="E163" s="3493">
        <f t="shared" si="4"/>
        <v>26.16</v>
      </c>
      <c r="G163" s="3493">
        <f t="shared" si="5"/>
        <v>17.361429975566999</v>
      </c>
    </row>
    <row r="164" spans="1:7" ht="12.75">
      <c r="A164" s="3490">
        <v>162</v>
      </c>
      <c r="B164" s="3495" t="s">
        <v>4062</v>
      </c>
      <c r="C164" s="3491">
        <v>74.38</v>
      </c>
      <c r="D164" s="3496">
        <v>738794</v>
      </c>
      <c r="E164" s="3493">
        <f t="shared" si="4"/>
        <v>27.21</v>
      </c>
      <c r="G164" s="3493">
        <f t="shared" si="5"/>
        <v>18.058276362200996</v>
      </c>
    </row>
    <row r="165" spans="1:7" ht="12.75">
      <c r="A165" s="3490">
        <v>163</v>
      </c>
      <c r="B165" s="3495" t="s">
        <v>4062</v>
      </c>
      <c r="C165" s="3491">
        <v>23.26</v>
      </c>
      <c r="D165" s="3496">
        <v>280530</v>
      </c>
      <c r="E165" s="3493">
        <f t="shared" si="4"/>
        <v>33.04</v>
      </c>
      <c r="G165" s="3493">
        <f t="shared" si="5"/>
        <v>21.927432966083089</v>
      </c>
    </row>
    <row r="166" spans="1:7" ht="12.75">
      <c r="A166" s="3490">
        <v>164</v>
      </c>
      <c r="B166" s="3495" t="s">
        <v>4062</v>
      </c>
      <c r="C166" s="3491">
        <v>75.81</v>
      </c>
      <c r="D166" s="3496">
        <v>731435.2</v>
      </c>
      <c r="E166" s="3493">
        <f t="shared" si="4"/>
        <v>26.43</v>
      </c>
      <c r="G166" s="3493">
        <f t="shared" si="5"/>
        <v>17.540619046415742</v>
      </c>
    </row>
    <row r="167" spans="1:7" ht="12.75">
      <c r="A167" s="3490">
        <v>165</v>
      </c>
      <c r="B167" s="3495" t="s">
        <v>4062</v>
      </c>
      <c r="C167" s="3491">
        <v>73.78</v>
      </c>
      <c r="D167" s="3496">
        <v>694892.57000000007</v>
      </c>
      <c r="E167" s="3493">
        <f t="shared" si="4"/>
        <v>25.8</v>
      </c>
      <c r="G167" s="3493">
        <f t="shared" si="5"/>
        <v>17.122511214435345</v>
      </c>
    </row>
    <row r="168" spans="1:7" ht="12.75">
      <c r="A168" s="3490">
        <v>166</v>
      </c>
      <c r="B168" s="3495" t="s">
        <v>4062</v>
      </c>
      <c r="C168" s="3491">
        <v>73.510000000000005</v>
      </c>
      <c r="D168" s="3496">
        <v>1041261.7499999999</v>
      </c>
      <c r="E168" s="3493">
        <f t="shared" si="4"/>
        <v>38.81</v>
      </c>
      <c r="G168" s="3493">
        <f t="shared" si="5"/>
        <v>25.756769776443246</v>
      </c>
    </row>
    <row r="169" spans="1:7" ht="12.75">
      <c r="A169" s="3490">
        <v>167</v>
      </c>
      <c r="B169" s="3495" t="s">
        <v>4062</v>
      </c>
      <c r="C169" s="3491">
        <v>22.08</v>
      </c>
      <c r="D169" s="3496">
        <v>163287.59</v>
      </c>
      <c r="E169" s="3493">
        <f t="shared" si="4"/>
        <v>20.260000000000002</v>
      </c>
      <c r="G169" s="3493">
        <f t="shared" si="5"/>
        <v>13.445816945909305</v>
      </c>
    </row>
    <row r="170" spans="1:7" ht="12.75">
      <c r="A170" s="3490">
        <v>168</v>
      </c>
      <c r="B170" s="3495" t="s">
        <v>4062</v>
      </c>
      <c r="C170" s="3491">
        <v>230.3</v>
      </c>
      <c r="D170" s="3496">
        <v>2331009.0700000003</v>
      </c>
      <c r="E170" s="3493">
        <f t="shared" si="4"/>
        <v>27.73</v>
      </c>
      <c r="G170" s="3493">
        <f t="shared" si="5"/>
        <v>18.403381239391166</v>
      </c>
    </row>
    <row r="171" spans="1:7" ht="12.75">
      <c r="A171" s="3490">
        <v>169</v>
      </c>
      <c r="B171" s="3495" t="s">
        <v>4062</v>
      </c>
      <c r="C171" s="3491">
        <v>82.65</v>
      </c>
      <c r="D171" s="3496">
        <v>325402.43</v>
      </c>
      <c r="E171" s="3493">
        <f t="shared" si="4"/>
        <v>10.79</v>
      </c>
      <c r="G171" s="3493">
        <f t="shared" si="5"/>
        <v>7.1609262016960207</v>
      </c>
    </row>
    <row r="172" spans="1:7" ht="12.75">
      <c r="A172" s="3490">
        <v>170</v>
      </c>
      <c r="B172" s="3495" t="s">
        <v>4062</v>
      </c>
      <c r="C172" s="3491">
        <v>80.89</v>
      </c>
      <c r="D172" s="3496">
        <v>291512</v>
      </c>
      <c r="E172" s="3493">
        <f t="shared" si="4"/>
        <v>9.8699999999999992</v>
      </c>
      <c r="G172" s="3493">
        <f t="shared" si="5"/>
        <v>6.5503560343595666</v>
      </c>
    </row>
    <row r="173" spans="1:7" ht="12.75">
      <c r="A173" s="3490">
        <v>171</v>
      </c>
      <c r="B173" s="3495" t="s">
        <v>4062</v>
      </c>
      <c r="C173" s="3491">
        <v>163.54</v>
      </c>
      <c r="D173" s="3496">
        <v>1504574.71</v>
      </c>
      <c r="E173" s="3493">
        <f t="shared" si="4"/>
        <v>25.21</v>
      </c>
      <c r="G173" s="3493">
        <f t="shared" si="5"/>
        <v>16.730949911469576</v>
      </c>
    </row>
    <row r="174" spans="1:7" ht="12.75">
      <c r="A174" s="3490">
        <v>172</v>
      </c>
      <c r="B174" s="3495" t="s">
        <v>4062</v>
      </c>
      <c r="C174" s="3491">
        <v>133.99</v>
      </c>
      <c r="D174" s="3496">
        <v>1396809</v>
      </c>
      <c r="E174" s="3493">
        <f t="shared" si="4"/>
        <v>28.56</v>
      </c>
      <c r="G174" s="3493">
        <f t="shared" si="5"/>
        <v>18.954221716444703</v>
      </c>
    </row>
    <row r="175" spans="1:7" ht="12.75">
      <c r="A175" s="3490">
        <v>173</v>
      </c>
      <c r="B175" s="3495" t="s">
        <v>4062</v>
      </c>
      <c r="C175" s="3491">
        <v>37.9</v>
      </c>
      <c r="D175" s="3496">
        <v>4635389.0299999993</v>
      </c>
      <c r="E175" s="3493">
        <f t="shared" si="4"/>
        <v>335.08</v>
      </c>
      <c r="G175" s="3493">
        <f t="shared" si="5"/>
        <v>222.38027355554243</v>
      </c>
    </row>
    <row r="176" spans="1:7" ht="12.75">
      <c r="A176" s="3490">
        <v>174</v>
      </c>
      <c r="B176" s="3495" t="s">
        <v>4063</v>
      </c>
      <c r="C176" s="3491">
        <v>3563.22</v>
      </c>
      <c r="D176" s="3496">
        <v>7414494.1900000004</v>
      </c>
      <c r="E176" s="3493">
        <f t="shared" si="4"/>
        <v>5.7</v>
      </c>
      <c r="G176" s="3493">
        <f t="shared" si="5"/>
        <v>3.7828803845845527</v>
      </c>
    </row>
    <row r="177" spans="1:253" ht="12.75">
      <c r="A177" s="3490">
        <v>175</v>
      </c>
      <c r="B177" s="3495" t="s">
        <v>4051</v>
      </c>
      <c r="C177" s="3491">
        <v>100.65</v>
      </c>
      <c r="D177" s="3496">
        <v>834419.23</v>
      </c>
      <c r="E177" s="3493">
        <f t="shared" si="4"/>
        <v>22.71</v>
      </c>
      <c r="G177" s="3493">
        <f t="shared" si="5"/>
        <v>15.071791848055296</v>
      </c>
    </row>
    <row r="178" spans="1:253" ht="12.75">
      <c r="A178" s="3490">
        <v>176</v>
      </c>
      <c r="B178" s="3495" t="s">
        <v>4051</v>
      </c>
      <c r="C178" s="3491">
        <v>294.98</v>
      </c>
      <c r="D178" s="3496">
        <v>2453214.6</v>
      </c>
      <c r="E178" s="3493">
        <f t="shared" si="4"/>
        <v>22.79</v>
      </c>
      <c r="G178" s="3493">
        <f t="shared" si="5"/>
        <v>15.124884906084553</v>
      </c>
    </row>
    <row r="179" spans="1:253" ht="12.75">
      <c r="A179" s="3490">
        <v>177</v>
      </c>
      <c r="B179" s="3495" t="s">
        <v>4051</v>
      </c>
      <c r="C179" s="3491">
        <v>32.49</v>
      </c>
      <c r="D179" s="3496">
        <v>262773</v>
      </c>
      <c r="E179" s="3493">
        <f t="shared" si="4"/>
        <v>22.16</v>
      </c>
      <c r="G179" s="3493">
        <f t="shared" si="5"/>
        <v>14.706777074104156</v>
      </c>
    </row>
    <row r="180" spans="1:253" ht="12.75">
      <c r="A180" s="3490">
        <v>178</v>
      </c>
      <c r="B180" s="3495" t="s">
        <v>4051</v>
      </c>
      <c r="C180" s="3491">
        <v>41.69</v>
      </c>
      <c r="D180" s="3496">
        <v>434907</v>
      </c>
      <c r="E180" s="3493">
        <f t="shared" si="4"/>
        <v>28.58</v>
      </c>
      <c r="G180" s="3493">
        <f t="shared" si="5"/>
        <v>18.967494980952019</v>
      </c>
    </row>
    <row r="181" spans="1:253" ht="12.75">
      <c r="A181" s="3490">
        <v>179</v>
      </c>
      <c r="B181" s="3495" t="s">
        <v>4051</v>
      </c>
      <c r="C181" s="3491">
        <v>119.86</v>
      </c>
      <c r="D181" s="3496">
        <v>891601.21</v>
      </c>
      <c r="E181" s="3493">
        <f t="shared" si="4"/>
        <v>20.38</v>
      </c>
      <c r="G181" s="3493">
        <f t="shared" si="5"/>
        <v>13.525456532953189</v>
      </c>
    </row>
    <row r="182" spans="1:253" ht="12.75">
      <c r="A182" s="3490">
        <v>180</v>
      </c>
      <c r="B182" s="3495" t="s">
        <v>4051</v>
      </c>
      <c r="C182" s="3491">
        <v>139.52000000000001</v>
      </c>
      <c r="D182" s="3496">
        <v>1112659.43</v>
      </c>
      <c r="E182" s="3493">
        <f t="shared" si="4"/>
        <v>21.85</v>
      </c>
      <c r="G182" s="3493">
        <f t="shared" si="5"/>
        <v>14.501041474240786</v>
      </c>
    </row>
    <row r="183" spans="1:253" ht="12.75">
      <c r="A183" s="3490">
        <v>181</v>
      </c>
      <c r="B183" s="3495" t="s">
        <v>4051</v>
      </c>
      <c r="C183" s="3491">
        <v>63.86</v>
      </c>
      <c r="D183" s="3496">
        <v>425821</v>
      </c>
      <c r="E183" s="3493">
        <f t="shared" si="4"/>
        <v>18.27</v>
      </c>
      <c r="G183" s="3493">
        <f t="shared" si="5"/>
        <v>12.12512712743154</v>
      </c>
    </row>
    <row r="184" spans="1:253" ht="12.75">
      <c r="A184" s="3490">
        <v>182</v>
      </c>
      <c r="B184" s="3495" t="s">
        <v>4051</v>
      </c>
      <c r="C184" s="3491">
        <v>58.08</v>
      </c>
      <c r="D184" s="3496">
        <v>650480.26</v>
      </c>
      <c r="E184" s="3493">
        <f t="shared" si="4"/>
        <v>30.68</v>
      </c>
      <c r="G184" s="3493">
        <f t="shared" si="5"/>
        <v>20.361187754220012</v>
      </c>
      <c r="IS184" s="3497">
        <f>SUM(D184:IR184)</f>
        <v>650531.30118775426</v>
      </c>
    </row>
    <row r="185" spans="1:253" ht="12.75">
      <c r="A185" s="3490">
        <v>183</v>
      </c>
      <c r="B185" s="3495" t="s">
        <v>4051</v>
      </c>
      <c r="C185" s="3491">
        <v>30.3</v>
      </c>
      <c r="D185" s="3496">
        <v>268968</v>
      </c>
      <c r="E185" s="3493">
        <f t="shared" si="4"/>
        <v>24.32</v>
      </c>
      <c r="G185" s="3493">
        <f t="shared" si="5"/>
        <v>16.140289640894093</v>
      </c>
    </row>
    <row r="186" spans="1:253" ht="12.75">
      <c r="A186" s="3490">
        <v>184</v>
      </c>
      <c r="B186" s="3495" t="s">
        <v>4051</v>
      </c>
      <c r="C186" s="3491">
        <v>124.64</v>
      </c>
      <c r="D186" s="3496">
        <v>1407341.5300000003</v>
      </c>
      <c r="E186" s="3493">
        <f t="shared" si="4"/>
        <v>30.93</v>
      </c>
      <c r="G186" s="3493">
        <f t="shared" si="5"/>
        <v>20.527103560561439</v>
      </c>
    </row>
    <row r="187" spans="1:253" ht="12.75">
      <c r="A187" s="3490">
        <v>185</v>
      </c>
      <c r="B187" s="3495" t="s">
        <v>4051</v>
      </c>
      <c r="C187" s="3491">
        <v>6.49</v>
      </c>
      <c r="D187" s="3496">
        <v>171631</v>
      </c>
      <c r="E187" s="3493">
        <f t="shared" si="4"/>
        <v>72.45</v>
      </c>
      <c r="G187" s="3493">
        <f t="shared" si="5"/>
        <v>48.08240067774576</v>
      </c>
    </row>
    <row r="188" spans="1:253" ht="12.75">
      <c r="A188" s="3490">
        <v>186</v>
      </c>
      <c r="B188" s="3495" t="s">
        <v>4051</v>
      </c>
      <c r="C188" s="3491">
        <v>8.6199999999999992</v>
      </c>
      <c r="D188" s="3496">
        <v>233593</v>
      </c>
      <c r="E188" s="3493">
        <f t="shared" si="4"/>
        <v>74.239999999999995</v>
      </c>
      <c r="G188" s="3493">
        <f t="shared" si="5"/>
        <v>49.270357851150379</v>
      </c>
    </row>
    <row r="189" spans="1:253" ht="12.75">
      <c r="A189" s="3490">
        <v>187</v>
      </c>
      <c r="B189" s="3495" t="s">
        <v>4051</v>
      </c>
      <c r="C189" s="3491">
        <v>168.7</v>
      </c>
      <c r="D189" s="3496">
        <v>1626083.0799999998</v>
      </c>
      <c r="E189" s="3493">
        <f t="shared" si="4"/>
        <v>26.41</v>
      </c>
      <c r="G189" s="3493">
        <f t="shared" si="5"/>
        <v>17.527345781908426</v>
      </c>
    </row>
    <row r="190" spans="1:253" ht="12.75">
      <c r="A190" s="3490">
        <v>188</v>
      </c>
      <c r="B190" s="3495" t="s">
        <v>4051</v>
      </c>
      <c r="C190" s="3491">
        <v>264.13</v>
      </c>
      <c r="D190" s="3496">
        <v>2647609.17</v>
      </c>
      <c r="E190" s="3493">
        <f t="shared" si="4"/>
        <v>27.46</v>
      </c>
      <c r="G190" s="3493">
        <f t="shared" si="5"/>
        <v>18.224192168542423</v>
      </c>
    </row>
    <row r="191" spans="1:253" ht="12.75">
      <c r="A191" s="3490">
        <v>189</v>
      </c>
      <c r="B191" s="3495" t="s">
        <v>4051</v>
      </c>
      <c r="C191" s="3491">
        <v>46.9</v>
      </c>
      <c r="D191" s="3496">
        <v>596086.29</v>
      </c>
      <c r="E191" s="3493">
        <f t="shared" si="4"/>
        <v>34.82</v>
      </c>
      <c r="G191" s="3493">
        <f t="shared" si="5"/>
        <v>23.108753507234056</v>
      </c>
    </row>
    <row r="192" spans="1:253" ht="12.75">
      <c r="A192" s="3490">
        <v>190</v>
      </c>
      <c r="B192" s="3495" t="s">
        <v>4051</v>
      </c>
      <c r="C192" s="3491">
        <v>67.13</v>
      </c>
      <c r="D192" s="3496">
        <v>783783.83000000007</v>
      </c>
      <c r="E192" s="3493">
        <f t="shared" si="4"/>
        <v>31.99</v>
      </c>
      <c r="G192" s="3493">
        <f t="shared" si="5"/>
        <v>21.230586579449092</v>
      </c>
    </row>
    <row r="193" spans="1:7" ht="12.75">
      <c r="A193" s="3490">
        <v>191</v>
      </c>
      <c r="B193" s="3495" t="s">
        <v>4051</v>
      </c>
      <c r="C193" s="3491">
        <v>52.32</v>
      </c>
      <c r="D193" s="3496">
        <v>591345.60000000009</v>
      </c>
      <c r="E193" s="3493">
        <f t="shared" si="4"/>
        <v>30.97</v>
      </c>
      <c r="G193" s="3493">
        <f t="shared" si="5"/>
        <v>20.553650089576067</v>
      </c>
    </row>
    <row r="194" spans="1:7" ht="12.75">
      <c r="A194" s="3490">
        <v>192</v>
      </c>
      <c r="B194" s="3495" t="s">
        <v>4051</v>
      </c>
      <c r="C194" s="3491">
        <v>81.12</v>
      </c>
      <c r="D194" s="3496">
        <v>956824</v>
      </c>
      <c r="E194" s="3493">
        <f t="shared" si="4"/>
        <v>32.32</v>
      </c>
      <c r="G194" s="3493">
        <f t="shared" si="5"/>
        <v>21.449595443819778</v>
      </c>
    </row>
    <row r="195" spans="1:7" ht="12.75">
      <c r="A195" s="3490">
        <v>193</v>
      </c>
      <c r="B195" s="3495" t="s">
        <v>4051</v>
      </c>
      <c r="C195" s="3491">
        <v>81.849999999999994</v>
      </c>
      <c r="D195" s="3496">
        <v>744758</v>
      </c>
      <c r="E195" s="3493">
        <f t="shared" si="4"/>
        <v>24.93</v>
      </c>
      <c r="G195" s="3493">
        <f t="shared" si="5"/>
        <v>16.545124208367174</v>
      </c>
    </row>
    <row r="196" spans="1:7" ht="12.75">
      <c r="A196" s="3490">
        <v>194</v>
      </c>
      <c r="B196" s="3495" t="s">
        <v>4051</v>
      </c>
      <c r="C196" s="3491">
        <v>67.89</v>
      </c>
      <c r="D196" s="3496">
        <v>1005069.66</v>
      </c>
      <c r="E196" s="3493">
        <f t="shared" ref="E196:E212" si="6">ROUND(D196/C196/365,2)</f>
        <v>40.56</v>
      </c>
      <c r="G196" s="3493">
        <f t="shared" ref="G196:G212" si="7">E196*$C$214</f>
        <v>26.918180420833238</v>
      </c>
    </row>
    <row r="197" spans="1:7" ht="12.75">
      <c r="A197" s="3490">
        <v>195</v>
      </c>
      <c r="B197" s="3495" t="s">
        <v>4051</v>
      </c>
      <c r="C197" s="3491">
        <v>108.79</v>
      </c>
      <c r="D197" s="3496">
        <v>858561</v>
      </c>
      <c r="E197" s="3493">
        <f t="shared" si="6"/>
        <v>21.62</v>
      </c>
      <c r="G197" s="3493">
        <f t="shared" si="7"/>
        <v>14.348398932406672</v>
      </c>
    </row>
    <row r="198" spans="1:7" ht="12.75">
      <c r="A198" s="3490">
        <v>196</v>
      </c>
      <c r="B198" s="3495" t="s">
        <v>4051</v>
      </c>
      <c r="C198" s="3491">
        <v>95.83</v>
      </c>
      <c r="D198" s="3496">
        <v>1030915.93</v>
      </c>
      <c r="E198" s="3493">
        <f t="shared" si="6"/>
        <v>29.47</v>
      </c>
      <c r="G198" s="3493">
        <f t="shared" si="7"/>
        <v>19.558155251527502</v>
      </c>
    </row>
    <row r="199" spans="1:7" ht="12.75">
      <c r="A199" s="3490">
        <v>197</v>
      </c>
      <c r="B199" s="3495" t="s">
        <v>4051</v>
      </c>
      <c r="C199" s="3491">
        <v>81.94</v>
      </c>
      <c r="D199" s="3496">
        <v>296588</v>
      </c>
      <c r="E199" s="3493">
        <f t="shared" si="6"/>
        <v>9.92</v>
      </c>
      <c r="G199" s="3493">
        <f t="shared" si="7"/>
        <v>6.5835391956278526</v>
      </c>
    </row>
    <row r="200" spans="1:7" ht="12.75">
      <c r="A200" s="3490">
        <v>198</v>
      </c>
      <c r="B200" s="3495" t="s">
        <v>4051</v>
      </c>
      <c r="C200" s="3491">
        <v>81.94</v>
      </c>
      <c r="D200" s="3496">
        <v>343496</v>
      </c>
      <c r="E200" s="3493">
        <f t="shared" si="6"/>
        <v>11.49</v>
      </c>
      <c r="G200" s="3493">
        <f t="shared" si="7"/>
        <v>7.6254904594520196</v>
      </c>
    </row>
    <row r="201" spans="1:7" ht="12.75">
      <c r="A201" s="3490">
        <v>199</v>
      </c>
      <c r="B201" s="3495" t="s">
        <v>4051</v>
      </c>
      <c r="C201" s="3491">
        <v>81.02</v>
      </c>
      <c r="D201" s="3496">
        <v>834452</v>
      </c>
      <c r="E201" s="3493">
        <f t="shared" si="6"/>
        <v>28.22</v>
      </c>
      <c r="G201" s="3493">
        <f t="shared" si="7"/>
        <v>18.728576219820365</v>
      </c>
    </row>
    <row r="202" spans="1:7" ht="12.75">
      <c r="A202" s="3490">
        <v>200</v>
      </c>
      <c r="B202" s="3495" t="s">
        <v>4051</v>
      </c>
      <c r="C202" s="3491">
        <v>109.01</v>
      </c>
      <c r="D202" s="3496">
        <v>1366336</v>
      </c>
      <c r="E202" s="3493">
        <f t="shared" si="6"/>
        <v>34.340000000000003</v>
      </c>
      <c r="G202" s="3493">
        <f t="shared" si="7"/>
        <v>22.790195159058516</v>
      </c>
    </row>
    <row r="203" spans="1:7" ht="12.75">
      <c r="A203" s="3490">
        <v>201</v>
      </c>
      <c r="B203" s="3495" t="s">
        <v>4051</v>
      </c>
      <c r="C203" s="3491">
        <v>72.819999999999993</v>
      </c>
      <c r="D203" s="3496">
        <v>316117.24999999994</v>
      </c>
      <c r="E203" s="3493">
        <f t="shared" si="6"/>
        <v>11.89</v>
      </c>
      <c r="G203" s="3493">
        <f t="shared" si="7"/>
        <v>7.8909557495983043</v>
      </c>
    </row>
    <row r="204" spans="1:7" ht="12.75">
      <c r="A204" s="3490">
        <v>202</v>
      </c>
      <c r="B204" s="3495" t="s">
        <v>4051</v>
      </c>
      <c r="C204" s="3491">
        <v>72.819999999999993</v>
      </c>
      <c r="D204" s="3496">
        <v>364761</v>
      </c>
      <c r="E204" s="3493">
        <f t="shared" si="6"/>
        <v>13.72</v>
      </c>
      <c r="G204" s="3493">
        <f t="shared" si="7"/>
        <v>9.1054594520175556</v>
      </c>
    </row>
    <row r="205" spans="1:7" ht="12.75">
      <c r="A205" s="3490">
        <v>203</v>
      </c>
      <c r="B205" s="3495" t="s">
        <v>4051</v>
      </c>
      <c r="C205" s="3491">
        <v>49.99</v>
      </c>
      <c r="D205" s="3496">
        <v>303131.26</v>
      </c>
      <c r="E205" s="3493">
        <f t="shared" si="6"/>
        <v>16.61</v>
      </c>
      <c r="G205" s="3493">
        <f t="shared" si="7"/>
        <v>11.023446173324459</v>
      </c>
    </row>
    <row r="206" spans="1:7" ht="12.75">
      <c r="A206" s="3490">
        <v>204</v>
      </c>
      <c r="B206" s="3495" t="s">
        <v>4051</v>
      </c>
      <c r="C206" s="3491">
        <v>49.99</v>
      </c>
      <c r="D206" s="3496">
        <v>358828</v>
      </c>
      <c r="E206" s="3493">
        <f t="shared" si="6"/>
        <v>19.670000000000002</v>
      </c>
      <c r="G206" s="3493">
        <f t="shared" si="7"/>
        <v>13.054255642943536</v>
      </c>
    </row>
    <row r="207" spans="1:7" ht="12.75">
      <c r="A207" s="3490">
        <v>205</v>
      </c>
      <c r="B207" s="3495" t="s">
        <v>4051</v>
      </c>
      <c r="C207" s="3491">
        <v>40.06</v>
      </c>
      <c r="D207" s="3496">
        <v>366543</v>
      </c>
      <c r="E207" s="3493">
        <f t="shared" si="6"/>
        <v>25.07</v>
      </c>
      <c r="G207" s="3493">
        <f t="shared" si="7"/>
        <v>16.638037059918375</v>
      </c>
    </row>
    <row r="208" spans="1:7" ht="12.75">
      <c r="A208" s="3490">
        <v>206</v>
      </c>
      <c r="B208" s="3495" t="s">
        <v>4051</v>
      </c>
      <c r="C208" s="3491">
        <v>33.14</v>
      </c>
      <c r="D208" s="3496">
        <v>275281</v>
      </c>
      <c r="E208" s="3493">
        <f t="shared" si="6"/>
        <v>22.76</v>
      </c>
      <c r="G208" s="3493">
        <f t="shared" si="7"/>
        <v>15.104975009323583</v>
      </c>
    </row>
    <row r="209" spans="1:7" ht="12.75">
      <c r="A209" s="3490">
        <v>207</v>
      </c>
      <c r="B209" s="3495" t="s">
        <v>4051</v>
      </c>
      <c r="C209" s="3491">
        <v>33.14</v>
      </c>
      <c r="D209" s="3496">
        <v>181877</v>
      </c>
      <c r="E209" s="3493">
        <f t="shared" si="6"/>
        <v>15.04</v>
      </c>
      <c r="G209" s="3493">
        <f t="shared" si="7"/>
        <v>9.9814949095002934</v>
      </c>
    </row>
    <row r="210" spans="1:7" ht="12.75">
      <c r="A210" s="3490">
        <v>208</v>
      </c>
      <c r="B210" s="3495" t="s">
        <v>4051</v>
      </c>
      <c r="C210" s="3491">
        <v>817.06</v>
      </c>
      <c r="D210" s="3496">
        <v>9731513.5499999989</v>
      </c>
      <c r="E210" s="3493">
        <f t="shared" si="6"/>
        <v>32.630000000000003</v>
      </c>
      <c r="G210" s="3493">
        <f t="shared" si="7"/>
        <v>21.655331043683152</v>
      </c>
    </row>
    <row r="211" spans="1:7" ht="12.75">
      <c r="A211" s="3490">
        <v>209</v>
      </c>
      <c r="B211" s="3495" t="s">
        <v>4051</v>
      </c>
      <c r="C211" s="3491">
        <v>157.84</v>
      </c>
      <c r="D211" s="3496">
        <v>1932976</v>
      </c>
      <c r="E211" s="3493">
        <f t="shared" si="6"/>
        <v>33.549999999999997</v>
      </c>
      <c r="G211" s="3493">
        <f t="shared" si="7"/>
        <v>22.265901211019603</v>
      </c>
    </row>
    <row r="212" spans="1:7">
      <c r="A212" s="3495" t="s">
        <v>4052</v>
      </c>
      <c r="B212" s="3495"/>
      <c r="C212" s="3494">
        <f>SUM(C3:C211)</f>
        <v>30465.540000000008</v>
      </c>
      <c r="D212" s="3496">
        <f>SUM(D3:D211)</f>
        <v>242585154.01000002</v>
      </c>
      <c r="E212" s="3493">
        <f t="shared" si="6"/>
        <v>21.82</v>
      </c>
      <c r="G212" s="3493">
        <f t="shared" si="7"/>
        <v>14.481131577479815</v>
      </c>
    </row>
    <row r="213" spans="1:7">
      <c r="B213" s="3498" t="s">
        <v>4053</v>
      </c>
      <c r="C213" s="3499">
        <f>面积清单!E13</f>
        <v>45905.120000000003</v>
      </c>
    </row>
    <row r="214" spans="1:7">
      <c r="B214" s="3498" t="s">
        <v>4054</v>
      </c>
      <c r="C214" s="3499">
        <f>C212/C213</f>
        <v>0.66366322536571098</v>
      </c>
    </row>
    <row r="216" spans="1:7">
      <c r="D216" s="3493"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3.5"/>
  <sheetData>
    <row r="3" spans="2:8">
      <c r="C3" s="3465" t="s">
        <v>3433</v>
      </c>
      <c r="D3" s="3465" t="s">
        <v>3434</v>
      </c>
      <c r="E3" s="3465" t="s">
        <v>3435</v>
      </c>
      <c r="F3" s="3465" t="s">
        <v>3436</v>
      </c>
      <c r="G3" s="3465" t="s">
        <v>3437</v>
      </c>
      <c r="H3" s="3465" t="s">
        <v>3438</v>
      </c>
    </row>
    <row r="4" spans="2:8">
      <c r="C4" s="3467" t="s">
        <v>3439</v>
      </c>
      <c r="D4" s="3468"/>
      <c r="E4" s="3469">
        <v>1235</v>
      </c>
      <c r="F4" s="3470">
        <v>1213.42</v>
      </c>
      <c r="G4" s="3463">
        <v>21.58</v>
      </c>
      <c r="H4" s="3471"/>
    </row>
    <row r="5" spans="2:8">
      <c r="B5">
        <v>1</v>
      </c>
      <c r="C5" s="3467" t="s">
        <v>3442</v>
      </c>
      <c r="D5" s="3457"/>
      <c r="E5" s="3463">
        <v>103.76</v>
      </c>
      <c r="F5" s="3470">
        <v>53.79</v>
      </c>
      <c r="G5" s="3463">
        <v>49.97</v>
      </c>
      <c r="H5" s="3471"/>
    </row>
    <row r="6" spans="2:8">
      <c r="B6">
        <v>2</v>
      </c>
      <c r="C6" s="3467" t="s">
        <v>3443</v>
      </c>
      <c r="D6" s="3457"/>
      <c r="E6" s="3463">
        <v>131.41999999999999</v>
      </c>
      <c r="F6" s="3470">
        <v>68.13</v>
      </c>
      <c r="G6" s="3463">
        <v>63.29</v>
      </c>
      <c r="H6" s="3471"/>
    </row>
    <row r="7" spans="2:8">
      <c r="B7">
        <v>3</v>
      </c>
      <c r="C7" s="3467" t="s">
        <v>3444</v>
      </c>
      <c r="D7" s="3457"/>
      <c r="E7" s="3463">
        <v>207.41</v>
      </c>
      <c r="F7" s="3470">
        <v>107.52</v>
      </c>
      <c r="G7" s="3463">
        <v>99.89</v>
      </c>
      <c r="H7" s="3471"/>
    </row>
    <row r="8" spans="2:8">
      <c r="B8">
        <v>4</v>
      </c>
      <c r="C8" s="3467" t="s">
        <v>3445</v>
      </c>
      <c r="D8" s="3457"/>
      <c r="E8" s="3463">
        <v>233.04</v>
      </c>
      <c r="F8" s="3470">
        <v>120.81</v>
      </c>
      <c r="G8" s="3463">
        <v>112.23</v>
      </c>
      <c r="H8" s="3471"/>
    </row>
    <row r="9" spans="2:8">
      <c r="B9">
        <v>5</v>
      </c>
      <c r="C9" s="3467" t="s">
        <v>3446</v>
      </c>
      <c r="D9" s="3457"/>
      <c r="E9" s="3463">
        <v>131.44</v>
      </c>
      <c r="F9" s="3470">
        <v>68.14</v>
      </c>
      <c r="G9" s="3463">
        <v>63.3</v>
      </c>
      <c r="H9" s="3471"/>
    </row>
    <row r="10" spans="2:8">
      <c r="B10">
        <v>6</v>
      </c>
      <c r="C10" s="3467" t="s">
        <v>3447</v>
      </c>
      <c r="D10" s="3457"/>
      <c r="E10" s="3463">
        <v>141.63</v>
      </c>
      <c r="F10" s="3470">
        <v>73.42</v>
      </c>
      <c r="G10" s="3463">
        <v>68.209999999999994</v>
      </c>
      <c r="H10" s="3471"/>
    </row>
    <row r="11" spans="2:8">
      <c r="B11">
        <v>7</v>
      </c>
      <c r="C11" s="3467" t="s">
        <v>3459</v>
      </c>
      <c r="D11" s="3457"/>
      <c r="E11" s="3463">
        <v>110.76</v>
      </c>
      <c r="F11" s="3470">
        <v>57.42</v>
      </c>
      <c r="G11" s="3463">
        <v>53.34</v>
      </c>
      <c r="H11" s="3471"/>
    </row>
    <row r="12" spans="2:8">
      <c r="B12">
        <v>8</v>
      </c>
      <c r="C12" s="3467" t="s">
        <v>3460</v>
      </c>
      <c r="D12" s="3457"/>
      <c r="E12" s="3463">
        <v>110.09</v>
      </c>
      <c r="F12" s="3470">
        <v>57.07</v>
      </c>
      <c r="G12" s="3463">
        <v>53.02</v>
      </c>
      <c r="H12" s="3471"/>
    </row>
    <row r="13" spans="2:8">
      <c r="B13">
        <v>9</v>
      </c>
      <c r="C13" s="3467" t="s">
        <v>3461</v>
      </c>
      <c r="D13" s="3457"/>
      <c r="E13" s="3463">
        <v>110.24</v>
      </c>
      <c r="F13" s="3470">
        <v>57.15</v>
      </c>
      <c r="G13" s="3463">
        <v>53.09</v>
      </c>
      <c r="H13" s="3471"/>
    </row>
    <row r="14" spans="2:8">
      <c r="B14">
        <v>10</v>
      </c>
      <c r="C14" s="3467" t="s">
        <v>3462</v>
      </c>
      <c r="D14" s="3457"/>
      <c r="E14" s="3463">
        <v>111.38</v>
      </c>
      <c r="F14" s="3470">
        <v>57.74</v>
      </c>
      <c r="G14" s="3463">
        <v>53.64</v>
      </c>
      <c r="H14" s="3471"/>
    </row>
    <row r="15" spans="2:8">
      <c r="B15">
        <v>11</v>
      </c>
      <c r="C15" s="3467" t="s">
        <v>3463</v>
      </c>
      <c r="D15" s="3457"/>
      <c r="E15" s="3463">
        <v>113.73</v>
      </c>
      <c r="F15" s="3470">
        <v>58.96</v>
      </c>
      <c r="G15" s="3463">
        <v>54.77</v>
      </c>
      <c r="H15" s="3471"/>
    </row>
    <row r="16" spans="2:8">
      <c r="B16">
        <v>12</v>
      </c>
      <c r="C16" s="3467" t="s">
        <v>3464</v>
      </c>
      <c r="D16" s="3457"/>
      <c r="E16" s="3463">
        <v>118.5</v>
      </c>
      <c r="F16" s="3470">
        <v>61.43</v>
      </c>
      <c r="G16" s="3463">
        <v>57.07</v>
      </c>
      <c r="H16" s="3471"/>
    </row>
    <row r="17" spans="2:8">
      <c r="B17">
        <v>13</v>
      </c>
      <c r="C17" s="3467" t="s">
        <v>3465</v>
      </c>
      <c r="D17" s="3457"/>
      <c r="E17" s="3463">
        <v>119.87</v>
      </c>
      <c r="F17" s="3470">
        <v>62.14</v>
      </c>
      <c r="G17" s="3463">
        <v>57.73</v>
      </c>
      <c r="H17" s="3471"/>
    </row>
    <row r="18" spans="2:8">
      <c r="B18">
        <v>14</v>
      </c>
      <c r="C18" s="3467" t="s">
        <v>3466</v>
      </c>
      <c r="D18" s="3457"/>
      <c r="E18" s="3463">
        <v>210.32</v>
      </c>
      <c r="F18" s="3470">
        <v>109.03</v>
      </c>
      <c r="G18" s="3463">
        <v>101.29</v>
      </c>
      <c r="H18" s="3471"/>
    </row>
    <row r="19" spans="2:8">
      <c r="B19">
        <v>15</v>
      </c>
      <c r="C19" s="3467" t="s">
        <v>3467</v>
      </c>
      <c r="D19" s="3457"/>
      <c r="E19" s="3463">
        <v>201.91</v>
      </c>
      <c r="F19" s="3470">
        <v>104.67</v>
      </c>
      <c r="G19" s="3463">
        <v>97.24</v>
      </c>
      <c r="H19" s="3471"/>
    </row>
    <row r="20" spans="2:8">
      <c r="B20">
        <v>16</v>
      </c>
      <c r="C20" s="3467" t="s">
        <v>3468</v>
      </c>
      <c r="D20" s="3457"/>
      <c r="E20" s="3463">
        <v>151.43</v>
      </c>
      <c r="F20" s="3470">
        <v>78.5</v>
      </c>
      <c r="G20" s="3463">
        <v>72.930000000000007</v>
      </c>
      <c r="H20" s="3471"/>
    </row>
    <row r="21" spans="2:8">
      <c r="B21">
        <v>17</v>
      </c>
      <c r="C21" s="3467" t="s">
        <v>3469</v>
      </c>
      <c r="D21" s="3457"/>
      <c r="E21" s="3463">
        <v>145.43</v>
      </c>
      <c r="F21" s="3470">
        <v>75.39</v>
      </c>
      <c r="G21" s="3463">
        <v>70.040000000000006</v>
      </c>
      <c r="H21" s="3471"/>
    </row>
    <row r="22" spans="2:8">
      <c r="B22">
        <v>18</v>
      </c>
      <c r="C22" s="3467" t="s">
        <v>3470</v>
      </c>
      <c r="D22" s="3457"/>
      <c r="E22" s="3463">
        <v>97.88</v>
      </c>
      <c r="F22" s="3470">
        <v>50.74</v>
      </c>
      <c r="G22" s="3463">
        <v>47.14</v>
      </c>
      <c r="H22" s="3471"/>
    </row>
    <row r="23" spans="2:8">
      <c r="B23">
        <v>19</v>
      </c>
      <c r="C23" s="3467" t="s">
        <v>3473</v>
      </c>
      <c r="D23" s="3457"/>
      <c r="E23" s="3463">
        <v>93.4</v>
      </c>
      <c r="F23" s="3470">
        <v>48.42</v>
      </c>
      <c r="G23" s="3463">
        <v>44.98</v>
      </c>
      <c r="H23" s="3471"/>
    </row>
    <row r="24" spans="2:8">
      <c r="B24">
        <v>20</v>
      </c>
      <c r="C24" s="3467" t="s">
        <v>3476</v>
      </c>
      <c r="D24" s="3457"/>
      <c r="E24" s="3463">
        <v>79.53</v>
      </c>
      <c r="F24" s="3470">
        <v>41.23</v>
      </c>
      <c r="G24" s="3463">
        <v>38.299999999999997</v>
      </c>
      <c r="H24" s="3471"/>
    </row>
    <row r="25" spans="2:8">
      <c r="B25">
        <v>21</v>
      </c>
      <c r="C25" s="3467" t="s">
        <v>3477</v>
      </c>
      <c r="D25" s="3457"/>
      <c r="E25" s="3463">
        <v>326.7</v>
      </c>
      <c r="F25" s="3470">
        <v>169.36</v>
      </c>
      <c r="G25" s="3463">
        <v>157.34</v>
      </c>
      <c r="H25" s="3471"/>
    </row>
    <row r="26" spans="2:8">
      <c r="B26">
        <v>22</v>
      </c>
      <c r="C26" s="3467" t="s">
        <v>3482</v>
      </c>
      <c r="D26" s="3457"/>
      <c r="E26" s="3463">
        <v>29.65</v>
      </c>
      <c r="F26" s="3470">
        <v>15.37</v>
      </c>
      <c r="G26" s="3463">
        <v>14.28</v>
      </c>
      <c r="H26" s="3471"/>
    </row>
    <row r="27" spans="2:8">
      <c r="B27">
        <v>23</v>
      </c>
      <c r="C27" s="3467" t="s">
        <v>3483</v>
      </c>
      <c r="D27" s="3457"/>
      <c r="E27" s="3463">
        <v>38.31</v>
      </c>
      <c r="F27" s="3470">
        <v>19.86</v>
      </c>
      <c r="G27" s="3463">
        <v>18.45</v>
      </c>
      <c r="H27" s="3471"/>
    </row>
    <row r="28" spans="2:8">
      <c r="B28">
        <v>24</v>
      </c>
      <c r="C28" s="3467" t="s">
        <v>3484</v>
      </c>
      <c r="D28" s="3457"/>
      <c r="E28" s="3463">
        <v>171.57</v>
      </c>
      <c r="F28" s="3470">
        <v>88.94</v>
      </c>
      <c r="G28" s="3463">
        <v>82.63</v>
      </c>
      <c r="H28" s="3471"/>
    </row>
    <row r="29" spans="2:8">
      <c r="B29">
        <v>25</v>
      </c>
      <c r="C29" s="3467" t="s">
        <v>3487</v>
      </c>
      <c r="D29" s="3457"/>
      <c r="E29" s="3463">
        <v>118.36</v>
      </c>
      <c r="F29" s="3470">
        <v>61.36</v>
      </c>
      <c r="G29" s="3463">
        <v>57</v>
      </c>
      <c r="H29" s="3471"/>
    </row>
    <row r="30" spans="2:8">
      <c r="B30">
        <v>26</v>
      </c>
      <c r="C30" s="3467" t="s">
        <v>3489</v>
      </c>
      <c r="D30" s="3474"/>
      <c r="E30" s="3463">
        <v>115.1</v>
      </c>
      <c r="F30" s="3470">
        <v>59.67</v>
      </c>
      <c r="G30" s="3463">
        <v>55.43</v>
      </c>
      <c r="H30" s="3471"/>
    </row>
    <row r="31" spans="2:8">
      <c r="B31">
        <v>27</v>
      </c>
      <c r="C31" s="3467" t="s">
        <v>3490</v>
      </c>
      <c r="D31" s="3474"/>
      <c r="E31" s="3463">
        <v>114.54</v>
      </c>
      <c r="F31" s="3470">
        <v>59.38</v>
      </c>
      <c r="G31" s="3463">
        <v>55.16</v>
      </c>
      <c r="H31" s="3471"/>
    </row>
    <row r="32" spans="2:8">
      <c r="B32">
        <v>28</v>
      </c>
      <c r="C32" s="3467" t="s">
        <v>3493</v>
      </c>
      <c r="D32" s="3457"/>
      <c r="E32" s="3463">
        <v>114.49</v>
      </c>
      <c r="F32" s="3470">
        <v>59.35</v>
      </c>
      <c r="G32" s="3463">
        <v>55.14</v>
      </c>
      <c r="H32" s="3471"/>
    </row>
    <row r="33" spans="2:8">
      <c r="B33">
        <v>29</v>
      </c>
      <c r="C33" s="3467" t="s">
        <v>3503</v>
      </c>
      <c r="D33" s="3457"/>
      <c r="E33" s="3463">
        <v>235.42</v>
      </c>
      <c r="F33" s="3470">
        <v>122.04</v>
      </c>
      <c r="G33" s="3463">
        <v>113.38</v>
      </c>
      <c r="H33" s="3471"/>
    </row>
    <row r="34" spans="2:8">
      <c r="B34">
        <v>30</v>
      </c>
      <c r="C34" s="3467" t="s">
        <v>3542</v>
      </c>
      <c r="D34" s="3457"/>
      <c r="E34" s="3463">
        <v>77.569999999999993</v>
      </c>
      <c r="F34" s="3470">
        <v>40.21</v>
      </c>
      <c r="G34" s="3463">
        <v>37.36</v>
      </c>
      <c r="H34" s="3471"/>
    </row>
    <row r="35" spans="2:8">
      <c r="B35">
        <v>31</v>
      </c>
      <c r="C35" s="3467" t="s">
        <v>3543</v>
      </c>
      <c r="D35" s="3457"/>
      <c r="E35" s="3463">
        <v>3076.77</v>
      </c>
      <c r="F35" s="3470">
        <v>2904.23</v>
      </c>
      <c r="G35" s="3463">
        <v>172.54</v>
      </c>
      <c r="H35" s="3471"/>
    </row>
    <row r="36" spans="2:8">
      <c r="B36">
        <v>32</v>
      </c>
      <c r="C36" s="3467" t="s">
        <v>3561</v>
      </c>
      <c r="D36" s="3457"/>
      <c r="E36" s="3463">
        <v>84.63</v>
      </c>
      <c r="F36" s="3470">
        <v>44.29</v>
      </c>
      <c r="G36" s="3463">
        <v>40.340000000000003</v>
      </c>
      <c r="H36" s="3471"/>
    </row>
    <row r="37" spans="2:8">
      <c r="B37">
        <v>33</v>
      </c>
      <c r="C37" s="3467" t="s">
        <v>3576</v>
      </c>
      <c r="D37" s="3457"/>
      <c r="E37" s="3463">
        <v>76.319999999999993</v>
      </c>
      <c r="F37" s="3470">
        <v>39.94</v>
      </c>
      <c r="G37" s="3463">
        <v>36.380000000000003</v>
      </c>
      <c r="H37" s="3471"/>
    </row>
    <row r="38" spans="2:8">
      <c r="B38">
        <v>34</v>
      </c>
      <c r="C38" s="3467" t="s">
        <v>3577</v>
      </c>
      <c r="D38" s="3457"/>
      <c r="E38" s="3463">
        <v>72.78</v>
      </c>
      <c r="F38" s="3470">
        <v>38.090000000000003</v>
      </c>
      <c r="G38" s="3463">
        <v>34.69</v>
      </c>
      <c r="H38" s="3471"/>
    </row>
    <row r="39" spans="2:8">
      <c r="B39">
        <v>35</v>
      </c>
      <c r="C39" s="3467" t="s">
        <v>3578</v>
      </c>
      <c r="D39" s="3457"/>
      <c r="E39" s="3463">
        <v>85.99</v>
      </c>
      <c r="F39" s="3470">
        <v>45</v>
      </c>
      <c r="G39" s="3463">
        <v>40.99</v>
      </c>
      <c r="H39" s="3471"/>
    </row>
    <row r="40" spans="2:8">
      <c r="B40">
        <v>36</v>
      </c>
      <c r="C40" s="3467" t="s">
        <v>3579</v>
      </c>
      <c r="D40" s="3457"/>
      <c r="E40" s="3463">
        <v>161.41</v>
      </c>
      <c r="F40" s="3470">
        <v>84.47</v>
      </c>
      <c r="G40" s="3463">
        <v>76.94</v>
      </c>
      <c r="H40" s="3471"/>
    </row>
    <row r="41" spans="2:8">
      <c r="B41">
        <v>37</v>
      </c>
      <c r="C41" s="3467" t="s">
        <v>3580</v>
      </c>
      <c r="D41" s="3457"/>
      <c r="E41" s="3463">
        <v>112.51</v>
      </c>
      <c r="F41" s="3470">
        <v>58.88</v>
      </c>
      <c r="G41" s="3463">
        <v>53.63</v>
      </c>
      <c r="H41" s="3471"/>
    </row>
    <row r="42" spans="2:8">
      <c r="B42">
        <v>38</v>
      </c>
      <c r="C42" s="3467" t="s">
        <v>3581</v>
      </c>
      <c r="D42" s="3457"/>
      <c r="E42" s="3463">
        <v>119.68</v>
      </c>
      <c r="F42" s="3470">
        <v>62.63</v>
      </c>
      <c r="G42" s="3463">
        <v>57.05</v>
      </c>
      <c r="H42" s="3471"/>
    </row>
    <row r="43" spans="2:8">
      <c r="B43">
        <v>39</v>
      </c>
      <c r="C43" s="3467" t="s">
        <v>3582</v>
      </c>
      <c r="D43" s="3457"/>
      <c r="E43" s="3463">
        <v>120.73</v>
      </c>
      <c r="F43" s="3470">
        <v>63.18</v>
      </c>
      <c r="G43" s="3463">
        <v>57.55</v>
      </c>
      <c r="H43" s="3471"/>
    </row>
    <row r="44" spans="2:8">
      <c r="B44">
        <v>40</v>
      </c>
      <c r="C44" s="3467" t="s">
        <v>3583</v>
      </c>
      <c r="D44" s="3457"/>
      <c r="E44" s="3463">
        <v>177.17</v>
      </c>
      <c r="F44" s="3470">
        <v>92.72</v>
      </c>
      <c r="G44" s="3463">
        <v>84.45</v>
      </c>
      <c r="H44" s="3471"/>
    </row>
    <row r="45" spans="2:8">
      <c r="B45">
        <v>41</v>
      </c>
      <c r="C45" s="3467" t="s">
        <v>3584</v>
      </c>
      <c r="D45" s="3457"/>
      <c r="E45" s="3463">
        <v>117.46</v>
      </c>
      <c r="F45" s="3470">
        <v>61.47</v>
      </c>
      <c r="G45" s="3463">
        <v>55.99</v>
      </c>
      <c r="H45" s="3471"/>
    </row>
    <row r="46" spans="2:8">
      <c r="B46">
        <v>42</v>
      </c>
      <c r="C46" s="3467" t="s">
        <v>3589</v>
      </c>
      <c r="D46" s="3457"/>
      <c r="E46" s="3463">
        <v>43.72</v>
      </c>
      <c r="F46" s="3470">
        <v>22.88</v>
      </c>
      <c r="G46" s="3463">
        <v>20.84</v>
      </c>
      <c r="H46" s="3471"/>
    </row>
    <row r="47" spans="2:8">
      <c r="B47">
        <v>43</v>
      </c>
      <c r="C47" s="3467" t="s">
        <v>3590</v>
      </c>
      <c r="D47" s="3457"/>
      <c r="E47" s="3463">
        <v>111.29</v>
      </c>
      <c r="F47" s="3470">
        <v>58.24</v>
      </c>
      <c r="G47" s="3463">
        <v>53.05</v>
      </c>
      <c r="H47" s="3471"/>
    </row>
    <row r="48" spans="2:8">
      <c r="B48">
        <v>44</v>
      </c>
      <c r="C48" s="3467" t="s">
        <v>3593</v>
      </c>
      <c r="D48" s="3457"/>
      <c r="E48" s="3463">
        <v>85.74</v>
      </c>
      <c r="F48" s="3470">
        <v>44.87</v>
      </c>
      <c r="G48" s="3463">
        <v>40.869999999999997</v>
      </c>
      <c r="H48" s="3471"/>
    </row>
    <row r="49" spans="2:8">
      <c r="B49">
        <v>45</v>
      </c>
      <c r="C49" s="3467" t="s">
        <v>3595</v>
      </c>
      <c r="D49" s="3457"/>
      <c r="E49" s="3463">
        <v>43.99</v>
      </c>
      <c r="F49" s="3470">
        <v>23.02</v>
      </c>
      <c r="G49" s="3463">
        <v>20.97</v>
      </c>
      <c r="H49" s="3471"/>
    </row>
    <row r="50" spans="2:8">
      <c r="B50">
        <v>46</v>
      </c>
      <c r="C50" s="3467" t="s">
        <v>3597</v>
      </c>
      <c r="D50" s="3457"/>
      <c r="E50" s="3463">
        <v>82.66</v>
      </c>
      <c r="F50" s="3470">
        <v>43.26</v>
      </c>
      <c r="G50" s="3463">
        <v>39.4</v>
      </c>
      <c r="H50" s="3471"/>
    </row>
    <row r="51" spans="2:8">
      <c r="B51">
        <v>47</v>
      </c>
      <c r="C51" s="3467" t="s">
        <v>3599</v>
      </c>
      <c r="D51" s="3457"/>
      <c r="E51" s="3463">
        <v>100.45</v>
      </c>
      <c r="F51" s="3470">
        <v>52.57</v>
      </c>
      <c r="G51" s="3463">
        <v>47.88</v>
      </c>
      <c r="H51" s="3471"/>
    </row>
    <row r="52" spans="2:8">
      <c r="B52">
        <v>48</v>
      </c>
      <c r="C52" s="3467" t="s">
        <v>3604</v>
      </c>
      <c r="D52" s="3457"/>
      <c r="E52" s="3463">
        <v>77.66</v>
      </c>
      <c r="F52" s="3470">
        <v>40.64</v>
      </c>
      <c r="G52" s="3463">
        <v>37.020000000000003</v>
      </c>
      <c r="H52" s="3471"/>
    </row>
    <row r="53" spans="2:8">
      <c r="B53">
        <v>49</v>
      </c>
      <c r="C53" s="3467" t="s">
        <v>3605</v>
      </c>
      <c r="D53" s="3457"/>
      <c r="E53" s="3463">
        <v>130.63999999999999</v>
      </c>
      <c r="F53" s="3470">
        <v>68.37</v>
      </c>
      <c r="G53" s="3463">
        <v>62.27</v>
      </c>
      <c r="H53" s="3471"/>
    </row>
    <row r="54" spans="2:8">
      <c r="B54">
        <v>50</v>
      </c>
      <c r="C54" s="3467" t="s">
        <v>3611</v>
      </c>
      <c r="D54" s="3457"/>
      <c r="E54" s="3463">
        <v>141.13</v>
      </c>
      <c r="F54" s="3470">
        <v>73.86</v>
      </c>
      <c r="G54" s="3463">
        <v>67.27</v>
      </c>
      <c r="H54" s="3471"/>
    </row>
    <row r="55" spans="2:8">
      <c r="B55">
        <v>51</v>
      </c>
      <c r="C55" s="3467" t="s">
        <v>3612</v>
      </c>
      <c r="D55" s="3457"/>
      <c r="E55" s="3463">
        <v>290.66000000000003</v>
      </c>
      <c r="F55" s="3470">
        <v>152.11000000000001</v>
      </c>
      <c r="G55" s="3463">
        <v>138.55000000000001</v>
      </c>
      <c r="H55" s="3471"/>
    </row>
    <row r="56" spans="2:8">
      <c r="B56">
        <v>52</v>
      </c>
      <c r="C56" s="3467" t="s">
        <v>3613</v>
      </c>
      <c r="D56" s="3457"/>
      <c r="E56" s="3463">
        <v>218.77</v>
      </c>
      <c r="F56" s="3470">
        <v>114.49</v>
      </c>
      <c r="G56" s="3463">
        <v>104.28</v>
      </c>
      <c r="H56" s="3471"/>
    </row>
    <row r="57" spans="2:8">
      <c r="B57">
        <v>53</v>
      </c>
      <c r="C57" s="3467" t="s">
        <v>3614</v>
      </c>
      <c r="D57" s="3457"/>
      <c r="E57" s="3463">
        <v>130.09</v>
      </c>
      <c r="F57" s="3470">
        <v>68.08</v>
      </c>
      <c r="G57" s="3463">
        <v>62.01</v>
      </c>
      <c r="H57" s="3471"/>
    </row>
    <row r="58" spans="2:8">
      <c r="B58">
        <v>54</v>
      </c>
      <c r="C58" s="3467" t="s">
        <v>3615</v>
      </c>
      <c r="D58" s="3457"/>
      <c r="E58" s="3463">
        <v>65.94</v>
      </c>
      <c r="F58" s="3470">
        <v>34.51</v>
      </c>
      <c r="G58" s="3463">
        <v>31.43</v>
      </c>
      <c r="H58" s="3471"/>
    </row>
    <row r="59" spans="2:8">
      <c r="B59">
        <v>55</v>
      </c>
      <c r="C59" s="3467" t="s">
        <v>3616</v>
      </c>
      <c r="D59" s="3457"/>
      <c r="E59" s="3463">
        <v>117.96</v>
      </c>
      <c r="F59" s="3470">
        <v>61.73</v>
      </c>
      <c r="G59" s="3463">
        <v>56.23</v>
      </c>
      <c r="H59" s="3471"/>
    </row>
    <row r="60" spans="2:8">
      <c r="B60">
        <v>56</v>
      </c>
      <c r="C60" s="3467" t="s">
        <v>3617</v>
      </c>
      <c r="D60" s="3457"/>
      <c r="E60" s="3463">
        <v>107.48</v>
      </c>
      <c r="F60" s="3470">
        <v>56.25</v>
      </c>
      <c r="G60" s="3463">
        <v>51.23</v>
      </c>
      <c r="H60" s="3471"/>
    </row>
    <row r="61" spans="2:8">
      <c r="B61">
        <v>57</v>
      </c>
      <c r="C61" s="3467" t="s">
        <v>3618</v>
      </c>
      <c r="D61" s="3457"/>
      <c r="E61" s="3463">
        <v>81.67</v>
      </c>
      <c r="F61" s="3470">
        <v>42.74</v>
      </c>
      <c r="G61" s="3463">
        <v>38.93</v>
      </c>
      <c r="H61" s="3471"/>
    </row>
    <row r="62" spans="2:8">
      <c r="B62">
        <v>58</v>
      </c>
      <c r="C62" s="3467" t="s">
        <v>3619</v>
      </c>
      <c r="D62" s="3457"/>
      <c r="E62" s="3463">
        <v>108.86</v>
      </c>
      <c r="F62" s="3470">
        <v>56.97</v>
      </c>
      <c r="G62" s="3463">
        <v>51.89</v>
      </c>
      <c r="H62" s="3471"/>
    </row>
    <row r="63" spans="2:8">
      <c r="B63">
        <v>59</v>
      </c>
      <c r="C63" s="3467" t="s">
        <v>3620</v>
      </c>
      <c r="D63" s="3457"/>
      <c r="E63" s="3463">
        <v>197.03</v>
      </c>
      <c r="F63" s="3470">
        <v>103.11</v>
      </c>
      <c r="G63" s="3463">
        <v>93.92</v>
      </c>
      <c r="H63" s="3471"/>
    </row>
    <row r="64" spans="2:8">
      <c r="B64">
        <v>60</v>
      </c>
      <c r="C64" s="3467" t="s">
        <v>3543</v>
      </c>
      <c r="D64" s="3457"/>
      <c r="E64" s="3463">
        <v>964.42</v>
      </c>
      <c r="F64" s="3470">
        <v>910.34</v>
      </c>
      <c r="G64" s="3463">
        <v>54.08</v>
      </c>
      <c r="H64" s="3471"/>
    </row>
    <row r="65" spans="2:8">
      <c r="B65">
        <v>61</v>
      </c>
      <c r="C65" s="3467" t="s">
        <v>3639</v>
      </c>
      <c r="D65" s="3457"/>
      <c r="E65" s="3463">
        <v>160.07</v>
      </c>
      <c r="F65" s="3470">
        <v>91.18</v>
      </c>
      <c r="G65" s="3463">
        <v>68.89</v>
      </c>
      <c r="H65" s="3471"/>
    </row>
    <row r="66" spans="2:8">
      <c r="B66">
        <v>62</v>
      </c>
      <c r="C66" s="3467" t="s">
        <v>3640</v>
      </c>
      <c r="D66" s="3457"/>
      <c r="E66" s="3463">
        <v>159.93</v>
      </c>
      <c r="F66" s="3470">
        <v>91.1</v>
      </c>
      <c r="G66" s="3463">
        <v>68.83</v>
      </c>
      <c r="H66" s="3471"/>
    </row>
    <row r="67" spans="2:8">
      <c r="B67">
        <v>63</v>
      </c>
      <c r="C67" s="3467" t="s">
        <v>3642</v>
      </c>
      <c r="D67" s="3457"/>
      <c r="E67" s="3463">
        <v>147.41</v>
      </c>
      <c r="F67" s="3470">
        <v>83.97</v>
      </c>
      <c r="G67" s="3463">
        <v>63.44</v>
      </c>
      <c r="H67" s="3471"/>
    </row>
    <row r="68" spans="2:8">
      <c r="B68">
        <v>64</v>
      </c>
      <c r="C68" s="3467" t="s">
        <v>3644</v>
      </c>
      <c r="D68" s="3468"/>
      <c r="E68" s="3463">
        <v>153.85</v>
      </c>
      <c r="F68" s="3470">
        <v>87.64</v>
      </c>
      <c r="G68" s="3463">
        <v>66.209999999999994</v>
      </c>
      <c r="H68" s="3471"/>
    </row>
    <row r="69" spans="2:8">
      <c r="B69">
        <v>65</v>
      </c>
      <c r="C69" s="3467" t="s">
        <v>3645</v>
      </c>
      <c r="D69" s="3457"/>
      <c r="E69" s="3463">
        <v>105.51</v>
      </c>
      <c r="F69" s="3470">
        <v>60.1</v>
      </c>
      <c r="G69" s="3463">
        <v>45.41</v>
      </c>
      <c r="H69" s="3471"/>
    </row>
    <row r="70" spans="2:8">
      <c r="B70">
        <v>66</v>
      </c>
      <c r="C70" s="3467" t="s">
        <v>3647</v>
      </c>
      <c r="D70" s="3457"/>
      <c r="E70" s="3463">
        <v>105.44</v>
      </c>
      <c r="F70" s="3470">
        <v>60.06</v>
      </c>
      <c r="G70" s="3463">
        <v>45.38</v>
      </c>
      <c r="H70" s="3471"/>
    </row>
    <row r="71" spans="2:8">
      <c r="B71">
        <v>67</v>
      </c>
      <c r="C71" s="3467" t="s">
        <v>3651</v>
      </c>
      <c r="D71" s="3457"/>
      <c r="E71" s="3463">
        <v>179.7</v>
      </c>
      <c r="F71" s="3470">
        <v>102.36</v>
      </c>
      <c r="G71" s="3463">
        <v>77.34</v>
      </c>
      <c r="H71" s="3471"/>
    </row>
    <row r="72" spans="2:8">
      <c r="B72">
        <v>68</v>
      </c>
      <c r="C72" s="3467" t="s">
        <v>3653</v>
      </c>
      <c r="D72" s="3457"/>
      <c r="E72" s="3463">
        <v>256.01</v>
      </c>
      <c r="F72" s="3470">
        <v>145.83000000000001</v>
      </c>
      <c r="G72" s="3463">
        <v>110.18</v>
      </c>
      <c r="H72" s="3471"/>
    </row>
    <row r="73" spans="2:8">
      <c r="B73">
        <v>69</v>
      </c>
      <c r="C73" s="3467" t="s">
        <v>3655</v>
      </c>
      <c r="D73" s="3457"/>
      <c r="E73" s="3463">
        <v>97.5</v>
      </c>
      <c r="F73" s="3470">
        <v>52.38</v>
      </c>
      <c r="G73" s="3463">
        <v>45.12</v>
      </c>
      <c r="H73" s="3471"/>
    </row>
    <row r="74" spans="2:8">
      <c r="B74">
        <v>70</v>
      </c>
      <c r="C74" s="3467" t="s">
        <v>3656</v>
      </c>
      <c r="D74" s="3457"/>
      <c r="E74" s="3463">
        <v>63.31</v>
      </c>
      <c r="F74" s="3470">
        <v>34.01</v>
      </c>
      <c r="G74" s="3463">
        <v>29.3</v>
      </c>
      <c r="H74" s="3471"/>
    </row>
    <row r="75" spans="2:8">
      <c r="B75">
        <v>71</v>
      </c>
      <c r="C75" s="3467" t="s">
        <v>3657</v>
      </c>
      <c r="D75" s="3457"/>
      <c r="E75" s="3463">
        <v>125.55</v>
      </c>
      <c r="F75" s="3470">
        <v>67.45</v>
      </c>
      <c r="G75" s="3463">
        <v>58.1</v>
      </c>
      <c r="H75" s="3471"/>
    </row>
    <row r="76" spans="2:8">
      <c r="B76">
        <v>72</v>
      </c>
      <c r="C76" s="3467" t="s">
        <v>3658</v>
      </c>
      <c r="D76" s="3457"/>
      <c r="E76" s="3463">
        <v>93.8</v>
      </c>
      <c r="F76" s="3470">
        <v>50.39</v>
      </c>
      <c r="G76" s="3463">
        <v>43.41</v>
      </c>
      <c r="H76" s="3471"/>
    </row>
    <row r="77" spans="2:8">
      <c r="B77">
        <v>73</v>
      </c>
      <c r="C77" s="3467" t="s">
        <v>3659</v>
      </c>
      <c r="D77" s="3457"/>
      <c r="E77" s="3463">
        <v>111.13</v>
      </c>
      <c r="F77" s="3470">
        <v>59.7</v>
      </c>
      <c r="G77" s="3463">
        <v>51.43</v>
      </c>
      <c r="H77" s="3471"/>
    </row>
    <row r="78" spans="2:8">
      <c r="B78">
        <v>74</v>
      </c>
      <c r="C78" s="3467" t="s">
        <v>3660</v>
      </c>
      <c r="D78" s="3457"/>
      <c r="E78" s="3463">
        <v>43.8</v>
      </c>
      <c r="F78" s="3470">
        <v>23.53</v>
      </c>
      <c r="G78" s="3463">
        <v>20.27</v>
      </c>
      <c r="H78" s="3471"/>
    </row>
    <row r="79" spans="2:8">
      <c r="B79">
        <v>75</v>
      </c>
      <c r="C79" s="3467" t="s">
        <v>3661</v>
      </c>
      <c r="D79" s="3457"/>
      <c r="E79" s="3463">
        <v>55.95</v>
      </c>
      <c r="F79" s="3470">
        <v>30.06</v>
      </c>
      <c r="G79" s="3463">
        <v>25.89</v>
      </c>
      <c r="H79" s="3471"/>
    </row>
    <row r="80" spans="2:8">
      <c r="B80">
        <v>76</v>
      </c>
      <c r="C80" s="3467" t="s">
        <v>3663</v>
      </c>
      <c r="D80" s="3457"/>
      <c r="E80" s="3463">
        <v>74.010000000000005</v>
      </c>
      <c r="F80" s="3470">
        <v>39.76</v>
      </c>
      <c r="G80" s="3463">
        <v>34.25</v>
      </c>
      <c r="H80" s="3471"/>
    </row>
    <row r="81" spans="2:8">
      <c r="B81">
        <v>77</v>
      </c>
      <c r="C81" s="3467" t="s">
        <v>3664</v>
      </c>
      <c r="D81" s="3457"/>
      <c r="E81" s="3463">
        <v>74.849999999999994</v>
      </c>
      <c r="F81" s="3470">
        <v>40.21</v>
      </c>
      <c r="G81" s="3463">
        <v>34.64</v>
      </c>
      <c r="H81" s="3471"/>
    </row>
    <row r="82" spans="2:8">
      <c r="B82">
        <v>78</v>
      </c>
      <c r="C82" s="3467" t="s">
        <v>3666</v>
      </c>
      <c r="D82" s="3457"/>
      <c r="E82" s="3463">
        <v>92.03</v>
      </c>
      <c r="F82" s="3470">
        <v>49.44</v>
      </c>
      <c r="G82" s="3463">
        <v>42.59</v>
      </c>
      <c r="H82" s="3471"/>
    </row>
    <row r="83" spans="2:8">
      <c r="B83">
        <v>79</v>
      </c>
      <c r="C83" s="3467" t="s">
        <v>3673</v>
      </c>
      <c r="D83" s="3457"/>
      <c r="E83" s="3463">
        <v>68.09</v>
      </c>
      <c r="F83" s="3470">
        <v>36.58</v>
      </c>
      <c r="G83" s="3463">
        <v>31.51</v>
      </c>
      <c r="H83" s="3471"/>
    </row>
    <row r="84" spans="2:8">
      <c r="B84">
        <v>80</v>
      </c>
      <c r="C84" s="3467" t="s">
        <v>3674</v>
      </c>
      <c r="D84" s="3457"/>
      <c r="E84" s="3463">
        <v>119.47</v>
      </c>
      <c r="F84" s="3470">
        <v>64.180000000000007</v>
      </c>
      <c r="G84" s="3463">
        <v>55.29</v>
      </c>
      <c r="H84" s="3471"/>
    </row>
    <row r="85" spans="2:8">
      <c r="B85">
        <v>81</v>
      </c>
      <c r="C85" s="3467" t="s">
        <v>3675</v>
      </c>
      <c r="D85" s="3457"/>
      <c r="E85" s="3463">
        <v>82.53</v>
      </c>
      <c r="F85" s="3470">
        <v>44.34</v>
      </c>
      <c r="G85" s="3463">
        <v>38.19</v>
      </c>
      <c r="H85" s="3471"/>
    </row>
    <row r="86" spans="2:8">
      <c r="B86">
        <v>82</v>
      </c>
      <c r="C86" s="3467" t="s">
        <v>3676</v>
      </c>
      <c r="D86" s="3457"/>
      <c r="E86" s="3463">
        <v>28.67</v>
      </c>
      <c r="F86" s="3470">
        <v>15.4</v>
      </c>
      <c r="G86" s="3463">
        <v>13.27</v>
      </c>
      <c r="H86" s="3471"/>
    </row>
    <row r="87" spans="2:8">
      <c r="B87">
        <v>83</v>
      </c>
      <c r="C87" s="3467" t="s">
        <v>3679</v>
      </c>
      <c r="D87" s="3457"/>
      <c r="E87" s="3463">
        <v>81.680000000000007</v>
      </c>
      <c r="F87" s="3470">
        <v>43.88</v>
      </c>
      <c r="G87" s="3463">
        <v>37.799999999999997</v>
      </c>
      <c r="H87" s="3471"/>
    </row>
    <row r="88" spans="2:8">
      <c r="B88">
        <v>84</v>
      </c>
      <c r="C88" s="3467" t="s">
        <v>3680</v>
      </c>
      <c r="D88" s="3457"/>
      <c r="E88" s="3463">
        <v>81.59</v>
      </c>
      <c r="F88" s="3470">
        <v>43.83</v>
      </c>
      <c r="G88" s="3463">
        <v>37.76</v>
      </c>
      <c r="H88" s="3471"/>
    </row>
    <row r="89" spans="2:8">
      <c r="B89">
        <v>85</v>
      </c>
      <c r="C89" s="3467" t="s">
        <v>3681</v>
      </c>
      <c r="D89" s="3457"/>
      <c r="E89" s="3463">
        <v>147.46</v>
      </c>
      <c r="F89" s="3470">
        <v>79.22</v>
      </c>
      <c r="G89" s="3463">
        <v>68.239999999999995</v>
      </c>
      <c r="H89" s="3471"/>
    </row>
    <row r="90" spans="2:8">
      <c r="B90">
        <v>86</v>
      </c>
      <c r="C90" s="3467" t="s">
        <v>3682</v>
      </c>
      <c r="D90" s="3457"/>
      <c r="E90" s="3463">
        <v>81.459999999999994</v>
      </c>
      <c r="F90" s="3470">
        <v>43.76</v>
      </c>
      <c r="G90" s="3463">
        <v>37.700000000000003</v>
      </c>
      <c r="H90" s="3471"/>
    </row>
    <row r="91" spans="2:8">
      <c r="B91">
        <v>87</v>
      </c>
      <c r="C91" s="3467" t="s">
        <v>3684</v>
      </c>
      <c r="D91" s="3474"/>
      <c r="E91" s="3463">
        <v>77.709999999999994</v>
      </c>
      <c r="F91" s="3470">
        <v>41.75</v>
      </c>
      <c r="G91" s="3463">
        <v>35.96</v>
      </c>
      <c r="H91" s="3471"/>
    </row>
    <row r="92" spans="2:8">
      <c r="B92">
        <v>88</v>
      </c>
      <c r="C92" s="3467" t="s">
        <v>3685</v>
      </c>
      <c r="D92" s="3474"/>
      <c r="E92" s="3463">
        <v>165.16</v>
      </c>
      <c r="F92" s="3470">
        <v>88.73</v>
      </c>
      <c r="G92" s="3463">
        <v>76.430000000000007</v>
      </c>
      <c r="H92" s="3471"/>
    </row>
    <row r="93" spans="2:8">
      <c r="B93">
        <v>89</v>
      </c>
      <c r="C93" s="3467" t="s">
        <v>3686</v>
      </c>
      <c r="D93" s="3474"/>
      <c r="E93" s="3463">
        <v>65.930000000000007</v>
      </c>
      <c r="F93" s="3470">
        <v>35.42</v>
      </c>
      <c r="G93" s="3463">
        <v>30.51</v>
      </c>
      <c r="H93" s="3471"/>
    </row>
    <row r="94" spans="2:8">
      <c r="B94">
        <v>90</v>
      </c>
      <c r="C94" s="3467" t="s">
        <v>3687</v>
      </c>
      <c r="D94" s="3474"/>
      <c r="E94" s="3463">
        <v>112.84</v>
      </c>
      <c r="F94" s="3470">
        <v>60.62</v>
      </c>
      <c r="G94" s="3463">
        <v>52.22</v>
      </c>
      <c r="H94" s="3471"/>
    </row>
    <row r="95" spans="2:8">
      <c r="B95">
        <v>91</v>
      </c>
      <c r="C95" s="3467" t="s">
        <v>3688</v>
      </c>
      <c r="D95" s="3474"/>
      <c r="E95" s="3463">
        <v>99.34</v>
      </c>
      <c r="F95" s="3470">
        <v>53.37</v>
      </c>
      <c r="G95" s="3463">
        <v>45.97</v>
      </c>
      <c r="H95" s="3471"/>
    </row>
    <row r="96" spans="2:8">
      <c r="B96">
        <v>92</v>
      </c>
      <c r="C96" s="3467" t="s">
        <v>3689</v>
      </c>
      <c r="D96" s="3474"/>
      <c r="E96" s="3463">
        <v>56.08</v>
      </c>
      <c r="F96" s="3470">
        <v>30.13</v>
      </c>
      <c r="G96" s="3463">
        <v>25.95</v>
      </c>
      <c r="H96" s="3471"/>
    </row>
    <row r="97" spans="2:8">
      <c r="B97">
        <v>93</v>
      </c>
      <c r="C97" s="3467" t="s">
        <v>3690</v>
      </c>
      <c r="D97" s="3474"/>
      <c r="E97" s="3463">
        <v>114.59</v>
      </c>
      <c r="F97" s="3470">
        <v>61.56</v>
      </c>
      <c r="G97" s="3463">
        <v>53.03</v>
      </c>
      <c r="H97" s="3471"/>
    </row>
    <row r="98" spans="2:8">
      <c r="B98">
        <v>94</v>
      </c>
      <c r="C98" s="3467" t="s">
        <v>3691</v>
      </c>
      <c r="D98" s="3474"/>
      <c r="E98" s="3463">
        <v>159.08000000000001</v>
      </c>
      <c r="F98" s="3470">
        <v>85.46</v>
      </c>
      <c r="G98" s="3463">
        <v>73.62</v>
      </c>
      <c r="H98" s="3471"/>
    </row>
    <row r="99" spans="2:8">
      <c r="B99">
        <v>95</v>
      </c>
      <c r="C99" s="3467" t="s">
        <v>3692</v>
      </c>
      <c r="D99" s="3474"/>
      <c r="E99" s="3463">
        <v>56.68</v>
      </c>
      <c r="F99" s="3470">
        <v>30.45</v>
      </c>
      <c r="G99" s="3463">
        <v>26.23</v>
      </c>
      <c r="H99" s="3471"/>
    </row>
    <row r="100" spans="2:8">
      <c r="B100">
        <v>96</v>
      </c>
      <c r="C100" s="3467" t="s">
        <v>3693</v>
      </c>
      <c r="D100" s="3474"/>
      <c r="E100" s="3463">
        <v>56.01</v>
      </c>
      <c r="F100" s="3470">
        <v>30.09</v>
      </c>
      <c r="G100" s="3463">
        <v>25.92</v>
      </c>
      <c r="H100" s="3471"/>
    </row>
    <row r="101" spans="2:8">
      <c r="B101">
        <v>97</v>
      </c>
      <c r="C101" s="3467" t="s">
        <v>3696</v>
      </c>
      <c r="D101" s="3457"/>
      <c r="E101" s="3463">
        <v>48.68</v>
      </c>
      <c r="F101" s="3470">
        <v>26.15</v>
      </c>
      <c r="G101" s="3463">
        <v>22.53</v>
      </c>
      <c r="H101" s="3471"/>
    </row>
    <row r="102" spans="2:8">
      <c r="B102">
        <v>98</v>
      </c>
      <c r="C102" s="3467" t="s">
        <v>3697</v>
      </c>
      <c r="D102" s="3457"/>
      <c r="E102" s="3463">
        <v>167.21</v>
      </c>
      <c r="F102" s="3470">
        <v>89.83</v>
      </c>
      <c r="G102" s="3463">
        <v>77.38</v>
      </c>
      <c r="H102" s="3471"/>
    </row>
    <row r="103" spans="2:8">
      <c r="B103">
        <v>99</v>
      </c>
      <c r="C103" s="3467" t="s">
        <v>3698</v>
      </c>
      <c r="D103" s="3457"/>
      <c r="E103" s="3463">
        <v>201.57</v>
      </c>
      <c r="F103" s="3470">
        <v>108.29</v>
      </c>
      <c r="G103" s="3463">
        <v>93.28</v>
      </c>
      <c r="H103" s="3471"/>
    </row>
    <row r="104" spans="2:8">
      <c r="B104">
        <v>100</v>
      </c>
      <c r="C104" s="3467" t="s">
        <v>3699</v>
      </c>
      <c r="D104" s="3457"/>
      <c r="E104" s="3463">
        <v>174.86</v>
      </c>
      <c r="F104" s="3470">
        <v>93.94</v>
      </c>
      <c r="G104" s="3463">
        <v>80.92</v>
      </c>
      <c r="H104" s="3471"/>
    </row>
    <row r="105" spans="2:8">
      <c r="B105">
        <v>101</v>
      </c>
      <c r="C105" s="3467" t="s">
        <v>3704</v>
      </c>
      <c r="D105" s="3457"/>
      <c r="E105" s="3463">
        <v>63.96</v>
      </c>
      <c r="F105" s="3470">
        <v>34.36</v>
      </c>
      <c r="G105" s="3463">
        <v>29.6</v>
      </c>
      <c r="H105" s="3471"/>
    </row>
    <row r="106" spans="2:8">
      <c r="B106">
        <v>102</v>
      </c>
      <c r="C106" s="3467" t="s">
        <v>3705</v>
      </c>
      <c r="D106" s="3457"/>
      <c r="E106" s="3463">
        <v>82.4</v>
      </c>
      <c r="F106" s="3470">
        <v>44.27</v>
      </c>
      <c r="G106" s="3463">
        <v>38.130000000000003</v>
      </c>
      <c r="H106" s="3471"/>
    </row>
    <row r="107" spans="2:8">
      <c r="B107">
        <v>103</v>
      </c>
      <c r="C107" s="3467" t="s">
        <v>3706</v>
      </c>
      <c r="D107" s="3457"/>
      <c r="E107" s="3463">
        <v>87.32</v>
      </c>
      <c r="F107" s="3470">
        <v>46.91</v>
      </c>
      <c r="G107" s="3463">
        <v>40.409999999999997</v>
      </c>
      <c r="H107" s="3471"/>
    </row>
    <row r="108" spans="2:8">
      <c r="B108">
        <v>104</v>
      </c>
      <c r="C108" s="3467" t="s">
        <v>3707</v>
      </c>
      <c r="D108" s="3457"/>
      <c r="E108" s="3463">
        <v>41.81</v>
      </c>
      <c r="F108" s="3470">
        <v>22.46</v>
      </c>
      <c r="G108" s="3463">
        <v>19.350000000000001</v>
      </c>
      <c r="H108" s="3471"/>
    </row>
    <row r="109" spans="2:8">
      <c r="B109">
        <v>105</v>
      </c>
      <c r="C109" s="3467" t="s">
        <v>3708</v>
      </c>
      <c r="D109" s="3457"/>
      <c r="E109" s="3463">
        <v>80.790000000000006</v>
      </c>
      <c r="F109" s="3470">
        <v>43.4</v>
      </c>
      <c r="G109" s="3463">
        <v>37.39</v>
      </c>
      <c r="H109" s="3471"/>
    </row>
    <row r="110" spans="2:8">
      <c r="B110">
        <v>106</v>
      </c>
      <c r="C110" s="3467" t="s">
        <v>3709</v>
      </c>
      <c r="D110" s="3457"/>
      <c r="E110" s="3463">
        <v>84.45</v>
      </c>
      <c r="F110" s="3470">
        <v>45.37</v>
      </c>
      <c r="G110" s="3463">
        <v>39.08</v>
      </c>
      <c r="H110" s="3471"/>
    </row>
    <row r="111" spans="2:8">
      <c r="B111">
        <v>107</v>
      </c>
      <c r="C111" s="3467" t="s">
        <v>3714</v>
      </c>
      <c r="D111" s="3457"/>
      <c r="E111" s="3463">
        <v>83.2</v>
      </c>
      <c r="F111" s="3470">
        <v>44.7</v>
      </c>
      <c r="G111" s="3463">
        <v>38.5</v>
      </c>
      <c r="H111" s="3471"/>
    </row>
    <row r="112" spans="2:8">
      <c r="B112">
        <v>108</v>
      </c>
      <c r="C112" s="3467" t="s">
        <v>3715</v>
      </c>
      <c r="D112" s="3457"/>
      <c r="E112" s="3463">
        <v>70.400000000000006</v>
      </c>
      <c r="F112" s="3470">
        <v>37.82</v>
      </c>
      <c r="G112" s="3463">
        <v>32.58</v>
      </c>
      <c r="H112" s="3471"/>
    </row>
    <row r="113" spans="2:8">
      <c r="B113">
        <v>109</v>
      </c>
      <c r="C113" s="3467" t="s">
        <v>3723</v>
      </c>
      <c r="D113" s="3457"/>
      <c r="E113" s="3463">
        <v>88.64</v>
      </c>
      <c r="F113" s="3470">
        <v>47.62</v>
      </c>
      <c r="G113" s="3463">
        <v>41.02</v>
      </c>
      <c r="H113" s="3471"/>
    </row>
    <row r="114" spans="2:8">
      <c r="B114">
        <v>110</v>
      </c>
      <c r="C114" s="3467" t="s">
        <v>3724</v>
      </c>
      <c r="D114" s="3457"/>
      <c r="E114" s="3463">
        <v>42.59</v>
      </c>
      <c r="F114" s="3470">
        <v>22.88</v>
      </c>
      <c r="G114" s="3463">
        <v>19.71</v>
      </c>
      <c r="H114" s="3471"/>
    </row>
    <row r="115" spans="2:8">
      <c r="B115">
        <v>111</v>
      </c>
      <c r="C115" s="3467" t="s">
        <v>3725</v>
      </c>
      <c r="D115" s="3457"/>
      <c r="E115" s="3463">
        <v>80.900000000000006</v>
      </c>
      <c r="F115" s="3470">
        <v>43.46</v>
      </c>
      <c r="G115" s="3463">
        <v>37.44</v>
      </c>
      <c r="H115" s="3471"/>
    </row>
    <row r="116" spans="2:8">
      <c r="B116">
        <v>112</v>
      </c>
      <c r="C116" s="3467" t="s">
        <v>3728</v>
      </c>
      <c r="D116" s="3474"/>
      <c r="E116" s="3463">
        <v>101.48</v>
      </c>
      <c r="F116" s="3470">
        <v>54.52</v>
      </c>
      <c r="G116" s="3463">
        <v>46.96</v>
      </c>
      <c r="H116" s="3471"/>
    </row>
    <row r="117" spans="2:8">
      <c r="B117">
        <v>113</v>
      </c>
      <c r="C117" s="3467" t="s">
        <v>3729</v>
      </c>
      <c r="D117" s="3474"/>
      <c r="E117" s="3463">
        <v>143.85</v>
      </c>
      <c r="F117" s="3470">
        <v>77.28</v>
      </c>
      <c r="G117" s="3463">
        <v>66.569999999999993</v>
      </c>
      <c r="H117" s="3471"/>
    </row>
    <row r="118" spans="2:8">
      <c r="B118">
        <v>114</v>
      </c>
      <c r="C118" s="3467" t="s">
        <v>3730</v>
      </c>
      <c r="D118" s="3474"/>
      <c r="E118" s="3463">
        <v>147.37</v>
      </c>
      <c r="F118" s="3470">
        <v>79.17</v>
      </c>
      <c r="G118" s="3463">
        <v>68.2</v>
      </c>
      <c r="H118" s="3471"/>
    </row>
    <row r="119" spans="2:8">
      <c r="B119">
        <v>115</v>
      </c>
      <c r="C119" s="3467" t="s">
        <v>3731</v>
      </c>
      <c r="D119" s="3474"/>
      <c r="E119" s="3463">
        <v>137.87</v>
      </c>
      <c r="F119" s="3470">
        <v>74.069999999999993</v>
      </c>
      <c r="G119" s="3463">
        <v>63.8</v>
      </c>
      <c r="H119" s="3471"/>
    </row>
    <row r="120" spans="2:8">
      <c r="B120">
        <v>116</v>
      </c>
      <c r="C120" s="3467" t="s">
        <v>3732</v>
      </c>
      <c r="D120" s="3474"/>
      <c r="E120" s="3463">
        <v>94.88</v>
      </c>
      <c r="F120" s="3470">
        <v>50.97</v>
      </c>
      <c r="G120" s="3463">
        <v>43.91</v>
      </c>
      <c r="H120" s="3471"/>
    </row>
    <row r="121" spans="2:8">
      <c r="B121">
        <v>117</v>
      </c>
      <c r="C121" s="3467" t="s">
        <v>3733</v>
      </c>
      <c r="D121" s="3474"/>
      <c r="E121" s="3463">
        <v>223.44</v>
      </c>
      <c r="F121" s="3470">
        <v>120.04</v>
      </c>
      <c r="G121" s="3463">
        <v>103.4</v>
      </c>
      <c r="H121" s="3471"/>
    </row>
    <row r="122" spans="2:8">
      <c r="B122">
        <v>118</v>
      </c>
      <c r="C122" s="3467" t="s">
        <v>3734</v>
      </c>
      <c r="D122" s="3474"/>
      <c r="E122" s="3463">
        <v>42.37</v>
      </c>
      <c r="F122" s="3470">
        <v>22.76</v>
      </c>
      <c r="G122" s="3463">
        <v>19.61</v>
      </c>
      <c r="H122" s="3471"/>
    </row>
    <row r="123" spans="2:8">
      <c r="B123">
        <v>119</v>
      </c>
      <c r="C123" s="3467" t="s">
        <v>3735</v>
      </c>
      <c r="D123" s="3474"/>
      <c r="E123" s="3463">
        <v>37.15</v>
      </c>
      <c r="F123" s="3470">
        <v>19.96</v>
      </c>
      <c r="G123" s="3463">
        <v>17.190000000000001</v>
      </c>
      <c r="H123" s="3471"/>
    </row>
    <row r="124" spans="2:8">
      <c r="B124">
        <v>120</v>
      </c>
      <c r="C124" s="3467" t="s">
        <v>3736</v>
      </c>
      <c r="D124" s="3474"/>
      <c r="E124" s="3463">
        <v>126.23</v>
      </c>
      <c r="F124" s="3470">
        <v>74.31</v>
      </c>
      <c r="G124" s="3463">
        <v>51.92</v>
      </c>
      <c r="H124" s="3471"/>
    </row>
    <row r="125" spans="2:8">
      <c r="B125">
        <v>121</v>
      </c>
      <c r="C125" s="3467" t="s">
        <v>3737</v>
      </c>
      <c r="D125" s="3474"/>
      <c r="E125" s="3463">
        <v>90.41</v>
      </c>
      <c r="F125" s="3470">
        <v>53.22</v>
      </c>
      <c r="G125" s="3463">
        <v>37.19</v>
      </c>
      <c r="H125" s="3471"/>
    </row>
    <row r="126" spans="2:8">
      <c r="B126">
        <v>122</v>
      </c>
      <c r="C126" s="3467" t="s">
        <v>3738</v>
      </c>
      <c r="D126" s="3474"/>
      <c r="E126" s="3463">
        <v>57.82</v>
      </c>
      <c r="F126" s="3470">
        <v>34.04</v>
      </c>
      <c r="G126" s="3463">
        <v>23.78</v>
      </c>
      <c r="H126" s="3471"/>
    </row>
    <row r="127" spans="2:8">
      <c r="B127">
        <v>123</v>
      </c>
      <c r="C127" s="3467" t="s">
        <v>3739</v>
      </c>
      <c r="D127" s="3474"/>
      <c r="E127" s="3463">
        <v>114.32</v>
      </c>
      <c r="F127" s="3470">
        <v>67.3</v>
      </c>
      <c r="G127" s="3463">
        <v>47.02</v>
      </c>
      <c r="H127" s="3471"/>
    </row>
    <row r="128" spans="2:8">
      <c r="B128">
        <v>124</v>
      </c>
      <c r="C128" s="3467" t="s">
        <v>3740</v>
      </c>
      <c r="D128" s="3474"/>
      <c r="E128" s="3463">
        <v>85.6</v>
      </c>
      <c r="F128" s="3470">
        <v>50.39</v>
      </c>
      <c r="G128" s="3463">
        <v>35.21</v>
      </c>
      <c r="H128" s="3471"/>
    </row>
    <row r="129" spans="2:8">
      <c r="B129">
        <v>125</v>
      </c>
      <c r="C129" s="3467" t="s">
        <v>3741</v>
      </c>
      <c r="D129" s="3474"/>
      <c r="E129" s="3463">
        <v>141.22999999999999</v>
      </c>
      <c r="F129" s="3470">
        <v>83.14</v>
      </c>
      <c r="G129" s="3463">
        <v>58.09</v>
      </c>
      <c r="H129" s="3471"/>
    </row>
    <row r="130" spans="2:8">
      <c r="B130">
        <v>126</v>
      </c>
      <c r="C130" s="3467" t="s">
        <v>3742</v>
      </c>
      <c r="D130" s="3474"/>
      <c r="E130" s="3463">
        <v>51.1</v>
      </c>
      <c r="F130" s="3470">
        <v>30.08</v>
      </c>
      <c r="G130" s="3463">
        <v>21.02</v>
      </c>
      <c r="H130" s="3471"/>
    </row>
    <row r="131" spans="2:8">
      <c r="B131">
        <v>127</v>
      </c>
      <c r="C131" s="3467" t="s">
        <v>3743</v>
      </c>
      <c r="D131" s="3474"/>
      <c r="E131" s="3463">
        <v>67.069999999999993</v>
      </c>
      <c r="F131" s="3470">
        <v>39.479999999999997</v>
      </c>
      <c r="G131" s="3463">
        <v>27.59</v>
      </c>
      <c r="H131" s="3471"/>
    </row>
    <row r="132" spans="2:8">
      <c r="B132">
        <v>128</v>
      </c>
      <c r="C132" s="3467" t="s">
        <v>3744</v>
      </c>
      <c r="D132" s="3474"/>
      <c r="E132" s="3463">
        <v>68.36</v>
      </c>
      <c r="F132" s="3470">
        <v>40.24</v>
      </c>
      <c r="G132" s="3463">
        <v>28.12</v>
      </c>
      <c r="H132" s="3471"/>
    </row>
    <row r="133" spans="2:8">
      <c r="B133">
        <v>129</v>
      </c>
      <c r="C133" s="3467" t="s">
        <v>3747</v>
      </c>
      <c r="D133" s="3457"/>
      <c r="E133" s="3463">
        <v>82.42</v>
      </c>
      <c r="F133" s="3470">
        <v>48.52</v>
      </c>
      <c r="G133" s="3463">
        <v>33.9</v>
      </c>
      <c r="H133" s="3471"/>
    </row>
    <row r="134" spans="2:8">
      <c r="B134">
        <v>130</v>
      </c>
      <c r="C134" s="3467" t="s">
        <v>3753</v>
      </c>
      <c r="D134" s="3457"/>
      <c r="E134" s="3463">
        <v>68.489999999999995</v>
      </c>
      <c r="F134" s="3470">
        <v>40.32</v>
      </c>
      <c r="G134" s="3463">
        <v>28.17</v>
      </c>
      <c r="H134" s="3471"/>
    </row>
    <row r="135" spans="2:8">
      <c r="B135">
        <v>131</v>
      </c>
      <c r="C135" s="3467" t="s">
        <v>3754</v>
      </c>
      <c r="D135" s="3457"/>
      <c r="E135" s="3463">
        <v>61.95</v>
      </c>
      <c r="F135" s="3470">
        <v>36.47</v>
      </c>
      <c r="G135" s="3463">
        <v>25.48</v>
      </c>
      <c r="H135" s="3471"/>
    </row>
    <row r="136" spans="2:8">
      <c r="B136">
        <v>132</v>
      </c>
      <c r="C136" s="3467" t="s">
        <v>3755</v>
      </c>
      <c r="D136" s="3457"/>
      <c r="E136" s="3463">
        <v>26.16</v>
      </c>
      <c r="F136" s="3470">
        <v>15.4</v>
      </c>
      <c r="G136" s="3463">
        <v>10.76</v>
      </c>
      <c r="H136" s="3471"/>
    </row>
    <row r="137" spans="2:8">
      <c r="B137">
        <v>133</v>
      </c>
      <c r="C137" s="3467" t="s">
        <v>3756</v>
      </c>
      <c r="D137" s="3457"/>
      <c r="E137" s="3463">
        <v>108.94</v>
      </c>
      <c r="F137" s="3470">
        <v>64.13</v>
      </c>
      <c r="G137" s="3463">
        <v>44.81</v>
      </c>
      <c r="H137" s="3471"/>
    </row>
    <row r="138" spans="2:8">
      <c r="B138">
        <v>134</v>
      </c>
      <c r="C138" s="3467" t="s">
        <v>3757</v>
      </c>
      <c r="D138" s="3457"/>
      <c r="E138" s="3463">
        <v>74.930000000000007</v>
      </c>
      <c r="F138" s="3470">
        <v>44.11</v>
      </c>
      <c r="G138" s="3463">
        <v>30.82</v>
      </c>
      <c r="H138" s="3471"/>
    </row>
    <row r="139" spans="2:8">
      <c r="B139">
        <v>135</v>
      </c>
      <c r="C139" s="3467" t="s">
        <v>3762</v>
      </c>
      <c r="D139" s="3457"/>
      <c r="E139" s="3463">
        <v>75.13</v>
      </c>
      <c r="F139" s="3470">
        <v>44.23</v>
      </c>
      <c r="G139" s="3463">
        <v>30.9</v>
      </c>
      <c r="H139" s="3471"/>
    </row>
    <row r="140" spans="2:8">
      <c r="B140">
        <v>136</v>
      </c>
      <c r="C140" s="3467" t="s">
        <v>3763</v>
      </c>
      <c r="D140" s="3457"/>
      <c r="E140" s="3463">
        <v>74.150000000000006</v>
      </c>
      <c r="F140" s="3470">
        <v>43.65</v>
      </c>
      <c r="G140" s="3463">
        <v>30.5</v>
      </c>
      <c r="H140" s="3471"/>
    </row>
    <row r="141" spans="2:8">
      <c r="B141">
        <v>137</v>
      </c>
      <c r="C141" s="3467" t="s">
        <v>3764</v>
      </c>
      <c r="D141" s="3457"/>
      <c r="E141" s="3463">
        <v>73.760000000000005</v>
      </c>
      <c r="F141" s="3470">
        <v>43.42</v>
      </c>
      <c r="G141" s="3463">
        <v>30.34</v>
      </c>
      <c r="H141" s="3471"/>
    </row>
    <row r="142" spans="2:8">
      <c r="B142">
        <v>138</v>
      </c>
      <c r="C142" s="3467" t="s">
        <v>3765</v>
      </c>
      <c r="D142" s="3457"/>
      <c r="E142" s="3463">
        <v>134.74</v>
      </c>
      <c r="F142" s="3470">
        <v>79.319999999999993</v>
      </c>
      <c r="G142" s="3463">
        <v>55.42</v>
      </c>
      <c r="H142" s="3471"/>
    </row>
    <row r="143" spans="2:8">
      <c r="B143">
        <v>139</v>
      </c>
      <c r="C143" s="3467" t="s">
        <v>3766</v>
      </c>
      <c r="D143" s="3457"/>
      <c r="E143" s="3463">
        <v>71.739999999999995</v>
      </c>
      <c r="F143" s="3470">
        <v>42.23</v>
      </c>
      <c r="G143" s="3463">
        <v>29.51</v>
      </c>
      <c r="H143" s="3471"/>
    </row>
    <row r="144" spans="2:8">
      <c r="B144">
        <v>140</v>
      </c>
      <c r="C144" s="3467" t="s">
        <v>3767</v>
      </c>
      <c r="D144" s="3457"/>
      <c r="E144" s="3463">
        <v>60.47</v>
      </c>
      <c r="F144" s="3470">
        <v>35.6</v>
      </c>
      <c r="G144" s="3463">
        <v>24.87</v>
      </c>
      <c r="H144" s="3471"/>
    </row>
    <row r="145" spans="2:8">
      <c r="B145">
        <v>141</v>
      </c>
      <c r="C145" s="3467" t="s">
        <v>3768</v>
      </c>
      <c r="D145" s="3457"/>
      <c r="E145" s="3463">
        <v>150.61000000000001</v>
      </c>
      <c r="F145" s="3470">
        <v>88.66</v>
      </c>
      <c r="G145" s="3463">
        <v>61.95</v>
      </c>
      <c r="H145" s="3471"/>
    </row>
    <row r="146" spans="2:8">
      <c r="B146">
        <v>142</v>
      </c>
      <c r="C146" s="3467" t="s">
        <v>3769</v>
      </c>
      <c r="D146" s="3457"/>
      <c r="E146" s="3463">
        <v>103.38</v>
      </c>
      <c r="F146" s="3470">
        <v>60.86</v>
      </c>
      <c r="G146" s="3463">
        <v>42.52</v>
      </c>
      <c r="H146" s="3471"/>
    </row>
    <row r="147" spans="2:8">
      <c r="B147">
        <v>143</v>
      </c>
      <c r="C147" s="3467" t="s">
        <v>3770</v>
      </c>
      <c r="D147" s="3457"/>
      <c r="E147" s="3463">
        <v>90.83</v>
      </c>
      <c r="F147" s="3470">
        <v>53.47</v>
      </c>
      <c r="G147" s="3463">
        <v>37.36</v>
      </c>
      <c r="H147" s="3471"/>
    </row>
    <row r="148" spans="2:8">
      <c r="B148">
        <v>144</v>
      </c>
      <c r="C148" s="3467" t="s">
        <v>3771</v>
      </c>
      <c r="D148" s="3457"/>
      <c r="E148" s="3463">
        <v>51.37</v>
      </c>
      <c r="F148" s="3470">
        <v>30.24</v>
      </c>
      <c r="G148" s="3463">
        <v>21.13</v>
      </c>
      <c r="H148" s="3471"/>
    </row>
    <row r="149" spans="2:8">
      <c r="B149">
        <v>145</v>
      </c>
      <c r="C149" s="3467" t="s">
        <v>3772</v>
      </c>
      <c r="D149" s="3457"/>
      <c r="E149" s="3463">
        <v>105.44</v>
      </c>
      <c r="F149" s="3470">
        <v>62.07</v>
      </c>
      <c r="G149" s="3463">
        <v>43.37</v>
      </c>
      <c r="H149" s="3471"/>
    </row>
    <row r="150" spans="2:8">
      <c r="B150">
        <v>146</v>
      </c>
      <c r="C150" s="3467" t="s">
        <v>3773</v>
      </c>
      <c r="D150" s="3457"/>
      <c r="E150" s="3463">
        <v>146.63</v>
      </c>
      <c r="F150" s="3470">
        <v>86.32</v>
      </c>
      <c r="G150" s="3463">
        <v>60.31</v>
      </c>
      <c r="H150" s="3471"/>
    </row>
    <row r="151" spans="2:8">
      <c r="B151">
        <v>147</v>
      </c>
      <c r="C151" s="3467" t="s">
        <v>3778</v>
      </c>
      <c r="D151" s="3457"/>
      <c r="E151" s="3463">
        <v>45.68</v>
      </c>
      <c r="F151" s="3470">
        <v>26.89</v>
      </c>
      <c r="G151" s="3463">
        <v>18.79</v>
      </c>
      <c r="H151" s="3471"/>
    </row>
    <row r="152" spans="2:8">
      <c r="B152">
        <v>148</v>
      </c>
      <c r="C152" s="3467" t="s">
        <v>3779</v>
      </c>
      <c r="D152" s="3457"/>
      <c r="E152" s="3463">
        <v>152.32</v>
      </c>
      <c r="F152" s="3470">
        <v>89.67</v>
      </c>
      <c r="G152" s="3463">
        <v>62.65</v>
      </c>
      <c r="H152" s="3471"/>
    </row>
    <row r="153" spans="2:8">
      <c r="B153">
        <v>149</v>
      </c>
      <c r="C153" s="3467" t="s">
        <v>3780</v>
      </c>
      <c r="D153" s="3457"/>
      <c r="E153" s="3463">
        <v>202.67</v>
      </c>
      <c r="F153" s="3470">
        <v>119.31</v>
      </c>
      <c r="G153" s="3463">
        <v>83.36</v>
      </c>
      <c r="H153" s="3471"/>
    </row>
    <row r="154" spans="2:8">
      <c r="B154">
        <v>150</v>
      </c>
      <c r="C154" s="3467" t="s">
        <v>3781</v>
      </c>
      <c r="D154" s="3457"/>
      <c r="E154" s="3463">
        <v>186.71</v>
      </c>
      <c r="F154" s="3470">
        <v>109.91</v>
      </c>
      <c r="G154" s="3463">
        <v>76.8</v>
      </c>
      <c r="H154" s="3471"/>
    </row>
    <row r="155" spans="2:8">
      <c r="B155">
        <v>151</v>
      </c>
      <c r="C155" s="3467" t="s">
        <v>3785</v>
      </c>
      <c r="D155" s="3457"/>
      <c r="E155" s="3463">
        <v>60.51</v>
      </c>
      <c r="F155" s="3470">
        <v>35.619999999999997</v>
      </c>
      <c r="G155" s="3463">
        <v>24.89</v>
      </c>
      <c r="H155" s="3471"/>
    </row>
    <row r="156" spans="2:8">
      <c r="B156">
        <v>152</v>
      </c>
      <c r="C156" s="3467" t="s">
        <v>3787</v>
      </c>
      <c r="D156" s="3457"/>
      <c r="E156" s="3463">
        <v>81.2</v>
      </c>
      <c r="F156" s="3470">
        <v>47.8</v>
      </c>
      <c r="G156" s="3463">
        <v>33.4</v>
      </c>
      <c r="H156" s="3471"/>
    </row>
    <row r="157" spans="2:8">
      <c r="B157">
        <v>153</v>
      </c>
      <c r="C157" s="3467" t="s">
        <v>3788</v>
      </c>
      <c r="D157" s="3457"/>
      <c r="E157" s="3463">
        <v>77.61</v>
      </c>
      <c r="F157" s="3470">
        <v>45.69</v>
      </c>
      <c r="G157" s="3463">
        <v>31.92</v>
      </c>
      <c r="H157" s="3471"/>
    </row>
    <row r="158" spans="2:8">
      <c r="B158">
        <v>154</v>
      </c>
      <c r="C158" s="3467" t="s">
        <v>3789</v>
      </c>
      <c r="D158" s="3457"/>
      <c r="E158" s="3463">
        <v>38.15</v>
      </c>
      <c r="F158" s="3470">
        <v>22.46</v>
      </c>
      <c r="G158" s="3463">
        <v>15.69</v>
      </c>
      <c r="H158" s="3471"/>
    </row>
    <row r="159" spans="2:8">
      <c r="B159">
        <v>155</v>
      </c>
      <c r="C159" s="3467" t="s">
        <v>3790</v>
      </c>
      <c r="D159" s="3457"/>
      <c r="E159" s="3463">
        <v>75.290000000000006</v>
      </c>
      <c r="F159" s="3470">
        <v>44.32</v>
      </c>
      <c r="G159" s="3463">
        <v>30.97</v>
      </c>
      <c r="H159" s="3471"/>
    </row>
    <row r="160" spans="2:8">
      <c r="B160">
        <v>156</v>
      </c>
      <c r="C160" s="3467" t="s">
        <v>3791</v>
      </c>
      <c r="D160" s="3457"/>
      <c r="E160" s="3463">
        <v>75</v>
      </c>
      <c r="F160" s="3470">
        <v>44.15</v>
      </c>
      <c r="G160" s="3463">
        <v>30.85</v>
      </c>
      <c r="H160" s="3471"/>
    </row>
    <row r="161" spans="2:8">
      <c r="B161">
        <v>157</v>
      </c>
      <c r="C161" s="3467" t="s">
        <v>3792</v>
      </c>
      <c r="D161" s="3457"/>
      <c r="E161" s="3463">
        <v>37.1</v>
      </c>
      <c r="F161" s="3470">
        <v>21.84</v>
      </c>
      <c r="G161" s="3463">
        <v>15.26</v>
      </c>
      <c r="H161" s="3471"/>
    </row>
    <row r="162" spans="2:8">
      <c r="B162">
        <v>158</v>
      </c>
      <c r="C162" s="3467" t="s">
        <v>3793</v>
      </c>
      <c r="D162" s="3457"/>
      <c r="E162" s="3463">
        <v>74.56</v>
      </c>
      <c r="F162" s="3470">
        <v>43.89</v>
      </c>
      <c r="G162" s="3463">
        <v>30.67</v>
      </c>
      <c r="H162" s="3471"/>
    </row>
    <row r="163" spans="2:8">
      <c r="B163">
        <v>159</v>
      </c>
      <c r="C163" s="3467" t="s">
        <v>3796</v>
      </c>
      <c r="D163" s="3457"/>
      <c r="E163" s="3463">
        <v>76.17</v>
      </c>
      <c r="F163" s="3470">
        <v>44.84</v>
      </c>
      <c r="G163" s="3463">
        <v>31.33</v>
      </c>
      <c r="H163" s="3471"/>
    </row>
    <row r="164" spans="2:8">
      <c r="B164">
        <v>160</v>
      </c>
      <c r="C164" s="3467" t="s">
        <v>3806</v>
      </c>
      <c r="D164" s="3457"/>
      <c r="E164" s="3463">
        <v>80.11</v>
      </c>
      <c r="F164" s="3470">
        <v>47.16</v>
      </c>
      <c r="G164" s="3463">
        <v>32.950000000000003</v>
      </c>
      <c r="H164" s="3471"/>
    </row>
    <row r="165" spans="2:8">
      <c r="B165">
        <v>161</v>
      </c>
      <c r="C165" s="3467" t="s">
        <v>3807</v>
      </c>
      <c r="D165" s="3457"/>
      <c r="E165" s="3463">
        <v>72.739999999999995</v>
      </c>
      <c r="F165" s="3470">
        <v>42.82</v>
      </c>
      <c r="G165" s="3463">
        <v>29.92</v>
      </c>
      <c r="H165" s="3471"/>
    </row>
    <row r="166" spans="2:8">
      <c r="B166">
        <v>162</v>
      </c>
      <c r="C166" s="3467" t="s">
        <v>3811</v>
      </c>
      <c r="D166" s="3457"/>
      <c r="E166" s="3463">
        <v>95.83</v>
      </c>
      <c r="F166" s="3470">
        <v>56.41</v>
      </c>
      <c r="G166" s="3463">
        <v>39.42</v>
      </c>
      <c r="H166" s="3471"/>
    </row>
    <row r="167" spans="2:8">
      <c r="B167">
        <v>163</v>
      </c>
      <c r="C167" s="3467" t="s">
        <v>3812</v>
      </c>
      <c r="D167" s="3457"/>
      <c r="E167" s="3463">
        <v>125.42</v>
      </c>
      <c r="F167" s="3470">
        <v>73.83</v>
      </c>
      <c r="G167" s="3463">
        <v>51.59</v>
      </c>
      <c r="H167" s="3471"/>
    </row>
    <row r="168" spans="2:8">
      <c r="B168">
        <v>164</v>
      </c>
      <c r="C168" s="3467" t="s">
        <v>3813</v>
      </c>
      <c r="D168" s="3457"/>
      <c r="E168" s="3463">
        <v>132.96</v>
      </c>
      <c r="F168" s="3470">
        <v>78.27</v>
      </c>
      <c r="G168" s="3463">
        <v>54.69</v>
      </c>
      <c r="H168" s="3471"/>
    </row>
    <row r="169" spans="2:8">
      <c r="B169">
        <v>165</v>
      </c>
      <c r="C169" s="3467" t="s">
        <v>3814</v>
      </c>
      <c r="D169" s="3457"/>
      <c r="E169" s="3463">
        <v>212.6</v>
      </c>
      <c r="F169" s="3470">
        <v>125.15</v>
      </c>
      <c r="G169" s="3463">
        <v>87.45</v>
      </c>
      <c r="H169" s="3471"/>
    </row>
    <row r="170" spans="2:8">
      <c r="B170">
        <v>166</v>
      </c>
      <c r="C170" s="3467" t="s">
        <v>3815</v>
      </c>
      <c r="D170" s="3457"/>
      <c r="E170" s="3463">
        <v>221.11</v>
      </c>
      <c r="F170" s="3470">
        <v>130.16</v>
      </c>
      <c r="G170" s="3463">
        <v>90.95</v>
      </c>
      <c r="H170" s="3471"/>
    </row>
    <row r="171" spans="2:8">
      <c r="B171">
        <v>167</v>
      </c>
      <c r="C171" s="3467" t="s">
        <v>3816</v>
      </c>
      <c r="D171" s="3457"/>
      <c r="E171" s="3463">
        <v>21.12</v>
      </c>
      <c r="F171" s="3470">
        <v>12.43</v>
      </c>
      <c r="G171" s="3463">
        <v>8.69</v>
      </c>
      <c r="H171" s="3471"/>
    </row>
    <row r="172" spans="2:8">
      <c r="B172">
        <v>168</v>
      </c>
      <c r="C172" s="3467" t="s">
        <v>3817</v>
      </c>
      <c r="D172" s="3457"/>
      <c r="E172" s="3463">
        <v>21.81</v>
      </c>
      <c r="F172" s="3470">
        <v>12.84</v>
      </c>
      <c r="G172" s="3463">
        <v>8.9700000000000006</v>
      </c>
      <c r="H172" s="3471"/>
    </row>
    <row r="173" spans="2:8">
      <c r="B173">
        <v>169</v>
      </c>
      <c r="C173" s="3467" t="s">
        <v>3818</v>
      </c>
      <c r="D173" s="3457"/>
      <c r="E173" s="3463">
        <v>38.07</v>
      </c>
      <c r="F173" s="3470">
        <v>22.41</v>
      </c>
      <c r="G173" s="3463">
        <v>15.66</v>
      </c>
      <c r="H173" s="3471"/>
    </row>
    <row r="174" spans="2:8">
      <c r="B174">
        <v>170</v>
      </c>
      <c r="C174" s="3467" t="s">
        <v>3819</v>
      </c>
      <c r="D174" s="3457"/>
      <c r="E174" s="3463">
        <v>25.51</v>
      </c>
      <c r="F174" s="3470">
        <v>15.77</v>
      </c>
      <c r="G174" s="3463">
        <v>9.74</v>
      </c>
      <c r="H174" s="3471"/>
    </row>
    <row r="175" spans="2:8">
      <c r="B175">
        <v>171</v>
      </c>
      <c r="C175" s="3467" t="s">
        <v>3820</v>
      </c>
      <c r="D175" s="3457"/>
      <c r="E175" s="3463">
        <v>23.18</v>
      </c>
      <c r="F175" s="3470">
        <v>14.33</v>
      </c>
      <c r="G175" s="3463">
        <v>8.85</v>
      </c>
      <c r="H175" s="3471"/>
    </row>
    <row r="176" spans="2:8">
      <c r="B176">
        <v>172</v>
      </c>
      <c r="C176" s="3467" t="s">
        <v>3821</v>
      </c>
      <c r="D176" s="3457"/>
      <c r="E176" s="3463">
        <v>32.19</v>
      </c>
      <c r="F176" s="3470">
        <v>19.899999999999999</v>
      </c>
      <c r="G176" s="3463">
        <v>12.29</v>
      </c>
      <c r="H176" s="3471"/>
    </row>
    <row r="177" spans="2:8">
      <c r="B177">
        <v>173</v>
      </c>
      <c r="C177" s="3467" t="s">
        <v>3822</v>
      </c>
      <c r="D177" s="3457"/>
      <c r="E177" s="3463">
        <v>24.18</v>
      </c>
      <c r="F177" s="3470">
        <v>14.95</v>
      </c>
      <c r="G177" s="3463">
        <v>9.23</v>
      </c>
      <c r="H177" s="3471"/>
    </row>
    <row r="178" spans="2:8">
      <c r="B178">
        <v>174</v>
      </c>
      <c r="C178" s="3467" t="s">
        <v>3823</v>
      </c>
      <c r="D178" s="3457"/>
      <c r="E178" s="3463">
        <v>23.97</v>
      </c>
      <c r="F178" s="3470">
        <v>14.82</v>
      </c>
      <c r="G178" s="3463">
        <v>9.15</v>
      </c>
      <c r="H178" s="3471"/>
    </row>
    <row r="179" spans="2:8">
      <c r="B179">
        <v>175</v>
      </c>
      <c r="C179" s="3467" t="s">
        <v>3824</v>
      </c>
      <c r="D179" s="3457"/>
      <c r="E179" s="3463">
        <v>23.76</v>
      </c>
      <c r="F179" s="3470">
        <v>14.69</v>
      </c>
      <c r="G179" s="3463">
        <v>9.07</v>
      </c>
      <c r="H179" s="3471"/>
    </row>
    <row r="180" spans="2:8">
      <c r="B180">
        <v>176</v>
      </c>
      <c r="C180" s="3467" t="s">
        <v>3825</v>
      </c>
      <c r="D180" s="3457"/>
      <c r="E180" s="3463">
        <v>42.03</v>
      </c>
      <c r="F180" s="3470">
        <v>25.98</v>
      </c>
      <c r="G180" s="3463">
        <v>16.05</v>
      </c>
      <c r="H180" s="3471"/>
    </row>
    <row r="181" spans="2:8">
      <c r="B181">
        <v>177</v>
      </c>
      <c r="C181" s="3467" t="s">
        <v>3827</v>
      </c>
      <c r="D181" s="3457"/>
      <c r="E181" s="3463">
        <v>35.33</v>
      </c>
      <c r="F181" s="3470">
        <v>21.84</v>
      </c>
      <c r="G181" s="3463">
        <v>13.49</v>
      </c>
      <c r="H181" s="3471"/>
    </row>
    <row r="182" spans="2:8">
      <c r="B182">
        <v>178</v>
      </c>
      <c r="C182" s="3467" t="s">
        <v>3828</v>
      </c>
      <c r="D182" s="3457"/>
      <c r="E182" s="3463">
        <v>26.08</v>
      </c>
      <c r="F182" s="3470">
        <v>16.12</v>
      </c>
      <c r="G182" s="3463">
        <v>9.9600000000000009</v>
      </c>
      <c r="H182" s="3471"/>
    </row>
    <row r="183" spans="2:8">
      <c r="B183">
        <v>179</v>
      </c>
      <c r="C183" s="3467" t="s">
        <v>3829</v>
      </c>
      <c r="D183" s="3457"/>
      <c r="E183" s="3463">
        <v>35.6</v>
      </c>
      <c r="F183" s="3470">
        <v>22.01</v>
      </c>
      <c r="G183" s="3463">
        <v>13.59</v>
      </c>
      <c r="H183" s="3471"/>
    </row>
    <row r="184" spans="2:8">
      <c r="B184">
        <v>180</v>
      </c>
      <c r="C184" s="3467" t="s">
        <v>3830</v>
      </c>
      <c r="D184" s="3457"/>
      <c r="E184" s="3463">
        <v>28.2</v>
      </c>
      <c r="F184" s="3470">
        <v>17.43</v>
      </c>
      <c r="G184" s="3463">
        <v>10.77</v>
      </c>
      <c r="H184" s="3471"/>
    </row>
    <row r="185" spans="2:8">
      <c r="B185">
        <v>181</v>
      </c>
      <c r="C185" s="3467" t="s">
        <v>3831</v>
      </c>
      <c r="D185" s="3457"/>
      <c r="E185" s="3463">
        <v>23.89</v>
      </c>
      <c r="F185" s="3470">
        <v>14.77</v>
      </c>
      <c r="G185" s="3463">
        <v>9.1199999999999992</v>
      </c>
      <c r="H185" s="3471"/>
    </row>
    <row r="186" spans="2:8">
      <c r="B186">
        <v>182</v>
      </c>
      <c r="C186" s="3467" t="s">
        <v>3833</v>
      </c>
      <c r="D186" s="3457"/>
      <c r="E186" s="3463">
        <v>30.7</v>
      </c>
      <c r="F186" s="3470">
        <v>18.98</v>
      </c>
      <c r="G186" s="3463">
        <v>11.72</v>
      </c>
      <c r="H186" s="3471"/>
    </row>
    <row r="187" spans="2:8">
      <c r="B187">
        <v>183</v>
      </c>
      <c r="C187" s="3467" t="s">
        <v>3834</v>
      </c>
      <c r="D187" s="3457"/>
      <c r="E187" s="3463">
        <v>24.39</v>
      </c>
      <c r="F187" s="3470">
        <v>15.08</v>
      </c>
      <c r="G187" s="3463">
        <v>9.31</v>
      </c>
      <c r="H187" s="3471"/>
    </row>
    <row r="188" spans="2:8">
      <c r="B188">
        <v>184</v>
      </c>
      <c r="C188" s="3467" t="s">
        <v>3835</v>
      </c>
      <c r="D188" s="3457"/>
      <c r="E188" s="3463">
        <v>29.85</v>
      </c>
      <c r="F188" s="3470">
        <v>18.45</v>
      </c>
      <c r="G188" s="3463">
        <v>11.4</v>
      </c>
      <c r="H188" s="3471"/>
    </row>
    <row r="189" spans="2:8">
      <c r="B189">
        <v>185</v>
      </c>
      <c r="C189" s="3467" t="s">
        <v>3836</v>
      </c>
      <c r="D189" s="3457"/>
      <c r="E189" s="3463">
        <v>29.73</v>
      </c>
      <c r="F189" s="3470">
        <v>18.38</v>
      </c>
      <c r="G189" s="3463">
        <v>11.35</v>
      </c>
      <c r="H189" s="3471"/>
    </row>
    <row r="190" spans="2:8">
      <c r="B190">
        <v>186</v>
      </c>
      <c r="C190" s="3467" t="s">
        <v>3837</v>
      </c>
      <c r="D190" s="3457"/>
      <c r="E190" s="3463">
        <v>27.03</v>
      </c>
      <c r="F190" s="3470">
        <v>16.71</v>
      </c>
      <c r="G190" s="3463">
        <v>10.32</v>
      </c>
      <c r="H190" s="3471"/>
    </row>
    <row r="191" spans="2:8">
      <c r="B191">
        <v>187</v>
      </c>
      <c r="C191" s="3467" t="s">
        <v>3838</v>
      </c>
      <c r="D191" s="3457"/>
      <c r="E191" s="3463">
        <v>34.04</v>
      </c>
      <c r="F191" s="3470">
        <v>21.04</v>
      </c>
      <c r="G191" s="3463">
        <v>13</v>
      </c>
      <c r="H191" s="3471"/>
    </row>
    <row r="192" spans="2:8">
      <c r="B192">
        <v>188</v>
      </c>
      <c r="C192" s="3467" t="s">
        <v>3839</v>
      </c>
      <c r="D192" s="3457"/>
      <c r="E192" s="3463">
        <v>33.700000000000003</v>
      </c>
      <c r="F192" s="3470">
        <v>20.83</v>
      </c>
      <c r="G192" s="3463">
        <v>12.87</v>
      </c>
      <c r="H192" s="3471"/>
    </row>
    <row r="193" spans="2:8">
      <c r="B193">
        <v>189</v>
      </c>
      <c r="C193" s="3467" t="s">
        <v>3840</v>
      </c>
      <c r="D193" s="3457"/>
      <c r="E193" s="3463">
        <v>27.71</v>
      </c>
      <c r="F193" s="3470">
        <v>17.13</v>
      </c>
      <c r="G193" s="3463">
        <v>10.58</v>
      </c>
      <c r="H193" s="3471"/>
    </row>
    <row r="194" spans="2:8">
      <c r="B194">
        <v>190</v>
      </c>
      <c r="C194" s="3467" t="s">
        <v>3841</v>
      </c>
      <c r="D194" s="3457"/>
      <c r="E194" s="3463">
        <v>20.3</v>
      </c>
      <c r="F194" s="3470">
        <v>12.55</v>
      </c>
      <c r="G194" s="3463">
        <v>7.75</v>
      </c>
      <c r="H194" s="3471"/>
    </row>
    <row r="195" spans="2:8">
      <c r="B195">
        <v>191</v>
      </c>
      <c r="C195" s="3467" t="s">
        <v>3844</v>
      </c>
      <c r="D195" s="3457"/>
      <c r="E195" s="3463">
        <v>20.62</v>
      </c>
      <c r="F195" s="3470">
        <v>12.75</v>
      </c>
      <c r="G195" s="3463">
        <v>7.87</v>
      </c>
      <c r="H195" s="3471"/>
    </row>
    <row r="196" spans="2:8">
      <c r="B196">
        <v>192</v>
      </c>
      <c r="C196" s="3467" t="s">
        <v>3846</v>
      </c>
      <c r="D196" s="3457"/>
      <c r="E196" s="3463">
        <v>31.19</v>
      </c>
      <c r="F196" s="3470">
        <v>19.28</v>
      </c>
      <c r="G196" s="3463">
        <v>11.91</v>
      </c>
      <c r="H196" s="3471"/>
    </row>
    <row r="197" spans="2:8">
      <c r="B197">
        <v>193</v>
      </c>
      <c r="C197" s="3467" t="s">
        <v>3847</v>
      </c>
      <c r="D197" s="3457"/>
      <c r="E197" s="3463">
        <v>11.19</v>
      </c>
      <c r="F197" s="3470">
        <v>6.92</v>
      </c>
      <c r="G197" s="3463">
        <v>4.2699999999999996</v>
      </c>
      <c r="H197" s="3471"/>
    </row>
    <row r="198" spans="2:8">
      <c r="B198">
        <v>194</v>
      </c>
      <c r="C198" s="3467" t="s">
        <v>3848</v>
      </c>
      <c r="D198" s="3457"/>
      <c r="E198" s="3463">
        <v>25.74</v>
      </c>
      <c r="F198" s="3470">
        <v>15.91</v>
      </c>
      <c r="G198" s="3463">
        <v>9.83</v>
      </c>
      <c r="H198" s="3471"/>
    </row>
    <row r="199" spans="2:8">
      <c r="B199">
        <v>195</v>
      </c>
      <c r="C199" s="3467" t="s">
        <v>3849</v>
      </c>
      <c r="D199" s="3457"/>
      <c r="E199" s="3463">
        <v>22.57</v>
      </c>
      <c r="F199" s="3470">
        <v>13.95</v>
      </c>
      <c r="G199" s="3463">
        <v>8.6199999999999992</v>
      </c>
      <c r="H199" s="3471"/>
    </row>
    <row r="200" spans="2:8">
      <c r="B200">
        <v>196</v>
      </c>
      <c r="C200" s="3467" t="s">
        <v>3850</v>
      </c>
      <c r="D200" s="3457"/>
      <c r="E200" s="3463">
        <v>32.299999999999997</v>
      </c>
      <c r="F200" s="3470">
        <v>19.97</v>
      </c>
      <c r="G200" s="3463">
        <v>12.33</v>
      </c>
      <c r="H200" s="3471"/>
    </row>
    <row r="201" spans="2:8">
      <c r="B201">
        <v>197</v>
      </c>
      <c r="C201" s="3467" t="s">
        <v>3851</v>
      </c>
      <c r="D201" s="3457"/>
      <c r="E201" s="3463">
        <v>19.3</v>
      </c>
      <c r="F201" s="3470">
        <v>11.93</v>
      </c>
      <c r="G201" s="3463">
        <v>7.37</v>
      </c>
      <c r="H201" s="3471"/>
    </row>
    <row r="202" spans="2:8">
      <c r="B202">
        <v>198</v>
      </c>
      <c r="C202" s="3467" t="s">
        <v>3852</v>
      </c>
      <c r="D202" s="3457"/>
      <c r="E202" s="3463">
        <v>27.55</v>
      </c>
      <c r="F202" s="3470">
        <v>17.03</v>
      </c>
      <c r="G202" s="3463">
        <v>10.52</v>
      </c>
      <c r="H202" s="3471"/>
    </row>
    <row r="203" spans="2:8">
      <c r="B203">
        <v>199</v>
      </c>
      <c r="C203" s="3467" t="s">
        <v>3853</v>
      </c>
      <c r="D203" s="3457"/>
      <c r="E203" s="3463">
        <v>51.6</v>
      </c>
      <c r="F203" s="3470">
        <v>31.9</v>
      </c>
      <c r="G203" s="3463">
        <v>19.7</v>
      </c>
      <c r="H203" s="3471"/>
    </row>
    <row r="204" spans="2:8">
      <c r="B204">
        <v>200</v>
      </c>
      <c r="C204" s="3467" t="s">
        <v>3854</v>
      </c>
      <c r="D204" s="3457"/>
      <c r="E204" s="3463">
        <v>32.090000000000003</v>
      </c>
      <c r="F204" s="3470">
        <v>19.84</v>
      </c>
      <c r="G204" s="3463">
        <v>12.25</v>
      </c>
      <c r="H204" s="3471"/>
    </row>
    <row r="205" spans="2:8">
      <c r="B205">
        <v>201</v>
      </c>
      <c r="C205" s="3467" t="s">
        <v>3855</v>
      </c>
      <c r="D205" s="3457"/>
      <c r="E205" s="3463">
        <v>32.090000000000003</v>
      </c>
      <c r="F205" s="3470">
        <v>19.84</v>
      </c>
      <c r="G205" s="3463">
        <v>12.25</v>
      </c>
      <c r="H205" s="3471"/>
    </row>
    <row r="206" spans="2:8">
      <c r="B206">
        <v>202</v>
      </c>
      <c r="C206" s="3467" t="s">
        <v>3856</v>
      </c>
      <c r="D206" s="3457"/>
      <c r="E206" s="3463">
        <v>38.29</v>
      </c>
      <c r="F206" s="3470">
        <v>23.67</v>
      </c>
      <c r="G206" s="3463">
        <v>14.62</v>
      </c>
      <c r="H206" s="3471"/>
    </row>
    <row r="207" spans="2:8">
      <c r="B207">
        <v>203</v>
      </c>
      <c r="C207" s="3467" t="s">
        <v>3857</v>
      </c>
      <c r="D207" s="3457"/>
      <c r="E207" s="3463">
        <v>37.35</v>
      </c>
      <c r="F207" s="3470">
        <v>23.09</v>
      </c>
      <c r="G207" s="3463">
        <v>14.26</v>
      </c>
      <c r="H207" s="3471"/>
    </row>
    <row r="208" spans="2:8">
      <c r="B208">
        <v>204</v>
      </c>
      <c r="C208" s="3467" t="s">
        <v>3858</v>
      </c>
      <c r="D208" s="3457"/>
      <c r="E208" s="3463">
        <v>28.05</v>
      </c>
      <c r="F208" s="3470">
        <v>17.34</v>
      </c>
      <c r="G208" s="3463">
        <v>10.71</v>
      </c>
      <c r="H208" s="3471"/>
    </row>
    <row r="209" spans="2:8">
      <c r="B209">
        <v>205</v>
      </c>
      <c r="C209" s="3467" t="s">
        <v>3859</v>
      </c>
      <c r="D209" s="3457"/>
      <c r="E209" s="3463">
        <v>61.31</v>
      </c>
      <c r="F209" s="3470">
        <v>37.9</v>
      </c>
      <c r="G209" s="3463">
        <v>23.41</v>
      </c>
      <c r="H209" s="3471"/>
    </row>
    <row r="210" spans="2:8">
      <c r="B210">
        <v>206</v>
      </c>
      <c r="C210" s="3467" t="s">
        <v>3860</v>
      </c>
      <c r="D210" s="3457"/>
      <c r="E210" s="3463">
        <v>44.08</v>
      </c>
      <c r="F210" s="3470">
        <v>27.25</v>
      </c>
      <c r="G210" s="3463">
        <v>16.829999999999998</v>
      </c>
      <c r="H210" s="3471"/>
    </row>
    <row r="211" spans="2:8">
      <c r="B211">
        <v>207</v>
      </c>
      <c r="C211" s="3467" t="s">
        <v>3861</v>
      </c>
      <c r="D211" s="3457"/>
      <c r="E211" s="3463">
        <v>53.92</v>
      </c>
      <c r="F211" s="3470">
        <v>33.33</v>
      </c>
      <c r="G211" s="3463">
        <v>20.59</v>
      </c>
      <c r="H211" s="3471"/>
    </row>
    <row r="212" spans="2:8">
      <c r="B212">
        <v>208</v>
      </c>
      <c r="C212" s="3467" t="s">
        <v>3862</v>
      </c>
      <c r="D212" s="3457"/>
      <c r="E212" s="3463">
        <v>47.43</v>
      </c>
      <c r="F212" s="3470">
        <v>29.32</v>
      </c>
      <c r="G212" s="3463">
        <v>18.11</v>
      </c>
      <c r="H212" s="3471"/>
    </row>
    <row r="213" spans="2:8">
      <c r="B213">
        <v>209</v>
      </c>
      <c r="C213" s="3467" t="s">
        <v>3863</v>
      </c>
      <c r="D213" s="3457"/>
      <c r="E213" s="3463">
        <v>35.04</v>
      </c>
      <c r="F213" s="3470">
        <v>21.66</v>
      </c>
      <c r="G213" s="3463">
        <v>13.38</v>
      </c>
      <c r="H213" s="3471"/>
    </row>
    <row r="214" spans="2:8">
      <c r="B214">
        <v>210</v>
      </c>
      <c r="C214" s="3467" t="s">
        <v>3864</v>
      </c>
      <c r="D214" s="3457"/>
      <c r="E214" s="3463">
        <v>28.28</v>
      </c>
      <c r="F214" s="3470">
        <v>17.48</v>
      </c>
      <c r="G214" s="3463">
        <v>10.8</v>
      </c>
      <c r="H214" s="3471"/>
    </row>
    <row r="215" spans="2:8">
      <c r="B215">
        <v>211</v>
      </c>
      <c r="C215" s="3467" t="s">
        <v>3865</v>
      </c>
      <c r="D215" s="3457"/>
      <c r="E215" s="3463">
        <v>23.68</v>
      </c>
      <c r="F215" s="3470">
        <v>14.64</v>
      </c>
      <c r="G215" s="3463">
        <v>9.0399999999999991</v>
      </c>
      <c r="H215" s="3471"/>
    </row>
    <row r="216" spans="2:8">
      <c r="B216">
        <v>212</v>
      </c>
      <c r="C216" s="3467" t="s">
        <v>3866</v>
      </c>
      <c r="D216" s="3457"/>
      <c r="E216" s="3463">
        <v>21.69</v>
      </c>
      <c r="F216" s="3470">
        <v>13.41</v>
      </c>
      <c r="G216" s="3463">
        <v>8.2799999999999994</v>
      </c>
      <c r="H216" s="3471"/>
    </row>
    <row r="217" spans="2:8">
      <c r="B217">
        <v>213</v>
      </c>
      <c r="C217" s="3467" t="s">
        <v>3867</v>
      </c>
      <c r="D217" s="3457"/>
      <c r="E217" s="3463">
        <v>23.37</v>
      </c>
      <c r="F217" s="3470">
        <v>14.45</v>
      </c>
      <c r="G217" s="3463">
        <v>8.92</v>
      </c>
      <c r="H217" s="3471"/>
    </row>
    <row r="218" spans="2:8">
      <c r="B218">
        <v>214</v>
      </c>
      <c r="C218" s="3467" t="s">
        <v>3868</v>
      </c>
      <c r="D218" s="3457"/>
      <c r="E218" s="3463">
        <v>20.32</v>
      </c>
      <c r="F218" s="3470">
        <v>12.56</v>
      </c>
      <c r="G218" s="3463">
        <v>7.76</v>
      </c>
      <c r="H218" s="3471"/>
    </row>
    <row r="219" spans="2:8">
      <c r="B219">
        <v>215</v>
      </c>
      <c r="C219" s="3467" t="s">
        <v>3869</v>
      </c>
      <c r="D219" s="3457"/>
      <c r="E219" s="3463">
        <v>20.45</v>
      </c>
      <c r="F219" s="3470">
        <v>12.64</v>
      </c>
      <c r="G219" s="3463">
        <v>7.81</v>
      </c>
      <c r="H219" s="3471"/>
    </row>
    <row r="220" spans="2:8">
      <c r="B220">
        <v>216</v>
      </c>
      <c r="C220" s="3467" t="s">
        <v>3870</v>
      </c>
      <c r="D220" s="3457"/>
      <c r="E220" s="3463">
        <v>21.11</v>
      </c>
      <c r="F220" s="3470">
        <v>13.05</v>
      </c>
      <c r="G220" s="3463">
        <v>8.06</v>
      </c>
      <c r="H220" s="3471"/>
    </row>
    <row r="221" spans="2:8">
      <c r="B221">
        <v>217</v>
      </c>
      <c r="C221" s="3467" t="s">
        <v>3871</v>
      </c>
      <c r="D221" s="3457"/>
      <c r="E221" s="3463">
        <v>20.66</v>
      </c>
      <c r="F221" s="3470">
        <v>12.77</v>
      </c>
      <c r="G221" s="3463">
        <v>7.89</v>
      </c>
      <c r="H221" s="3471"/>
    </row>
    <row r="222" spans="2:8">
      <c r="B222">
        <v>218</v>
      </c>
      <c r="C222" s="3467" t="s">
        <v>3872</v>
      </c>
      <c r="D222" s="3457"/>
      <c r="E222" s="3463">
        <v>19.91</v>
      </c>
      <c r="F222" s="3470">
        <v>12.31</v>
      </c>
      <c r="G222" s="3463">
        <v>7.6</v>
      </c>
      <c r="H222" s="3471"/>
    </row>
    <row r="223" spans="2:8">
      <c r="B223">
        <v>219</v>
      </c>
      <c r="C223" s="3467" t="s">
        <v>3873</v>
      </c>
      <c r="D223" s="3457"/>
      <c r="E223" s="3463">
        <v>31.58</v>
      </c>
      <c r="F223" s="3470">
        <v>19.52</v>
      </c>
      <c r="G223" s="3463">
        <v>12.06</v>
      </c>
      <c r="H223" s="3471"/>
    </row>
    <row r="224" spans="2:8">
      <c r="B224">
        <v>220</v>
      </c>
      <c r="C224" s="3467" t="s">
        <v>3874</v>
      </c>
      <c r="D224" s="3457"/>
      <c r="E224" s="3463">
        <v>37.43</v>
      </c>
      <c r="F224" s="3470">
        <v>23.14</v>
      </c>
      <c r="G224" s="3463">
        <v>14.29</v>
      </c>
      <c r="H224" s="3471"/>
    </row>
    <row r="225" spans="2:8">
      <c r="B225">
        <v>221</v>
      </c>
      <c r="C225" s="3467" t="s">
        <v>3875</v>
      </c>
      <c r="D225" s="3457"/>
      <c r="E225" s="3463">
        <v>23.05</v>
      </c>
      <c r="F225" s="3470">
        <v>14.25</v>
      </c>
      <c r="G225" s="3463">
        <v>8.8000000000000007</v>
      </c>
      <c r="H225" s="3471"/>
    </row>
    <row r="226" spans="2:8">
      <c r="B226">
        <v>222</v>
      </c>
      <c r="C226" s="3467" t="s">
        <v>3876</v>
      </c>
      <c r="D226" s="3457"/>
      <c r="E226" s="3463">
        <v>23.42</v>
      </c>
      <c r="F226" s="3470">
        <v>14.48</v>
      </c>
      <c r="G226" s="3463">
        <v>8.94</v>
      </c>
      <c r="H226" s="3471"/>
    </row>
    <row r="227" spans="2:8">
      <c r="B227">
        <v>223</v>
      </c>
      <c r="C227" s="3467" t="s">
        <v>3877</v>
      </c>
      <c r="D227" s="3457"/>
      <c r="E227" s="3463">
        <v>28.52</v>
      </c>
      <c r="F227" s="3470">
        <v>17.63</v>
      </c>
      <c r="G227" s="3463">
        <v>10.89</v>
      </c>
      <c r="H227" s="3471"/>
    </row>
    <row r="228" spans="2:8">
      <c r="B228">
        <v>224</v>
      </c>
      <c r="C228" s="3467" t="s">
        <v>3878</v>
      </c>
      <c r="D228" s="3457"/>
      <c r="E228" s="3463">
        <v>29.15</v>
      </c>
      <c r="F228" s="3470">
        <v>18.02</v>
      </c>
      <c r="G228" s="3463">
        <v>11.13</v>
      </c>
      <c r="H228" s="3471"/>
    </row>
    <row r="229" spans="2:8">
      <c r="B229">
        <v>225</v>
      </c>
      <c r="C229" s="3467" t="s">
        <v>3879</v>
      </c>
      <c r="D229" s="3457"/>
      <c r="E229" s="3463">
        <v>32.47</v>
      </c>
      <c r="F229" s="3470">
        <v>20.07</v>
      </c>
      <c r="G229" s="3463">
        <v>12.4</v>
      </c>
      <c r="H229" s="3471"/>
    </row>
    <row r="230" spans="2:8">
      <c r="B230">
        <v>226</v>
      </c>
      <c r="C230" s="3467" t="s">
        <v>3880</v>
      </c>
      <c r="D230" s="3457"/>
      <c r="E230" s="3463">
        <v>37.76</v>
      </c>
      <c r="F230" s="3470">
        <v>23.34</v>
      </c>
      <c r="G230" s="3463">
        <v>14.42</v>
      </c>
      <c r="H230" s="3471"/>
    </row>
    <row r="231" spans="2:8">
      <c r="B231">
        <v>227</v>
      </c>
      <c r="C231" s="3467" t="s">
        <v>3885</v>
      </c>
      <c r="D231" s="3457"/>
      <c r="E231" s="3463">
        <v>27.84</v>
      </c>
      <c r="F231" s="3470">
        <v>17.21</v>
      </c>
      <c r="G231" s="3463">
        <v>10.63</v>
      </c>
      <c r="H231" s="3471"/>
    </row>
    <row r="232" spans="2:8">
      <c r="B232">
        <v>228</v>
      </c>
      <c r="C232" s="3467" t="s">
        <v>3886</v>
      </c>
      <c r="D232" s="3457"/>
      <c r="E232" s="3463">
        <v>22.45</v>
      </c>
      <c r="F232" s="3470">
        <v>13.88</v>
      </c>
      <c r="G232" s="3463">
        <v>8.57</v>
      </c>
      <c r="H232" s="3471"/>
    </row>
    <row r="233" spans="2:8">
      <c r="B233">
        <v>229</v>
      </c>
      <c r="C233" s="3467" t="s">
        <v>3888</v>
      </c>
      <c r="D233" s="3457"/>
      <c r="E233" s="3463">
        <v>19.8</v>
      </c>
      <c r="F233" s="3470">
        <v>12.24</v>
      </c>
      <c r="G233" s="3463">
        <v>7.56</v>
      </c>
      <c r="H233" s="3471"/>
    </row>
    <row r="234" spans="2:8">
      <c r="B234">
        <v>230</v>
      </c>
      <c r="C234" s="3467" t="s">
        <v>3889</v>
      </c>
      <c r="D234" s="3457"/>
      <c r="E234" s="3463">
        <v>26.01</v>
      </c>
      <c r="F234" s="3470">
        <v>16.079999999999998</v>
      </c>
      <c r="G234" s="3463">
        <v>9.93</v>
      </c>
      <c r="H234" s="3471"/>
    </row>
    <row r="235" spans="2:8">
      <c r="B235">
        <v>231</v>
      </c>
      <c r="C235" s="3467" t="s">
        <v>3890</v>
      </c>
      <c r="D235" s="3457"/>
      <c r="E235" s="3463">
        <v>70.95</v>
      </c>
      <c r="F235" s="3470">
        <v>43.86</v>
      </c>
      <c r="G235" s="3463">
        <v>27.09</v>
      </c>
      <c r="H235" s="3471"/>
    </row>
    <row r="236" spans="2:8">
      <c r="B236">
        <v>232</v>
      </c>
      <c r="C236" s="3467" t="s">
        <v>3892</v>
      </c>
      <c r="D236" s="3457"/>
      <c r="E236" s="3463">
        <v>30.59</v>
      </c>
      <c r="F236" s="3470">
        <v>18.91</v>
      </c>
      <c r="G236" s="3463">
        <v>11.68</v>
      </c>
      <c r="H236" s="3471"/>
    </row>
    <row r="237" spans="2:8">
      <c r="B237">
        <v>233</v>
      </c>
      <c r="C237" s="3467" t="s">
        <v>3893</v>
      </c>
      <c r="D237" s="3457"/>
      <c r="E237" s="3463">
        <v>28.52</v>
      </c>
      <c r="F237" s="3470">
        <v>17.63</v>
      </c>
      <c r="G237" s="3463">
        <v>10.89</v>
      </c>
      <c r="H237" s="3471"/>
    </row>
    <row r="238" spans="2:8">
      <c r="B238">
        <v>234</v>
      </c>
      <c r="C238" s="3467" t="s">
        <v>3894</v>
      </c>
      <c r="D238" s="3457"/>
      <c r="E238" s="3463">
        <v>27.6</v>
      </c>
      <c r="F238" s="3470">
        <v>17.059999999999999</v>
      </c>
      <c r="G238" s="3463">
        <v>10.54</v>
      </c>
      <c r="H238" s="3471"/>
    </row>
    <row r="239" spans="2:8">
      <c r="B239">
        <v>235</v>
      </c>
      <c r="C239" s="3467" t="s">
        <v>3897</v>
      </c>
      <c r="D239" s="3457"/>
      <c r="E239" s="3463">
        <v>24.96</v>
      </c>
      <c r="F239" s="3470">
        <v>15.43</v>
      </c>
      <c r="G239" s="3463">
        <v>9.5299999999999994</v>
      </c>
      <c r="H239" s="3471"/>
    </row>
    <row r="240" spans="2:8">
      <c r="B240">
        <v>236</v>
      </c>
      <c r="C240" s="3467" t="s">
        <v>3898</v>
      </c>
      <c r="D240" s="3457"/>
      <c r="E240" s="3463">
        <v>22.5</v>
      </c>
      <c r="F240" s="3470">
        <v>13.91</v>
      </c>
      <c r="G240" s="3463">
        <v>8.59</v>
      </c>
      <c r="H240" s="3471"/>
    </row>
    <row r="241" spans="2:8">
      <c r="B241">
        <v>237</v>
      </c>
      <c r="C241" s="3467" t="s">
        <v>3899</v>
      </c>
      <c r="D241" s="3457"/>
      <c r="E241" s="3463">
        <v>24.02</v>
      </c>
      <c r="F241" s="3470">
        <v>14.85</v>
      </c>
      <c r="G241" s="3463">
        <v>9.17</v>
      </c>
      <c r="H241" s="3471"/>
    </row>
    <row r="242" spans="2:8">
      <c r="B242">
        <v>238</v>
      </c>
      <c r="C242" s="3467" t="s">
        <v>3900</v>
      </c>
      <c r="D242" s="3457"/>
      <c r="E242" s="3463">
        <v>18.850000000000001</v>
      </c>
      <c r="F242" s="3470">
        <v>11.65</v>
      </c>
      <c r="G242" s="3463">
        <v>7.2</v>
      </c>
      <c r="H242" s="3471"/>
    </row>
    <row r="243" spans="2:8">
      <c r="B243">
        <v>239</v>
      </c>
      <c r="C243" s="3467" t="s">
        <v>3901</v>
      </c>
      <c r="D243" s="3457"/>
      <c r="E243" s="3463">
        <v>18.73</v>
      </c>
      <c r="F243" s="3470">
        <v>11.58</v>
      </c>
      <c r="G243" s="3463">
        <v>7.15</v>
      </c>
      <c r="H243" s="3471"/>
    </row>
    <row r="244" spans="2:8">
      <c r="B244">
        <v>240</v>
      </c>
      <c r="C244" s="3467" t="s">
        <v>3903</v>
      </c>
      <c r="D244" s="3457"/>
      <c r="E244" s="3463">
        <v>26.67</v>
      </c>
      <c r="F244" s="3470">
        <v>16.489999999999998</v>
      </c>
      <c r="G244" s="3463">
        <v>10.18</v>
      </c>
      <c r="H244" s="3471"/>
    </row>
    <row r="245" spans="2:8">
      <c r="B245">
        <v>241</v>
      </c>
      <c r="C245" s="3467" t="s">
        <v>3905</v>
      </c>
      <c r="D245" s="3457"/>
      <c r="E245" s="3463">
        <v>18.02</v>
      </c>
      <c r="F245" s="3470">
        <v>11.14</v>
      </c>
      <c r="G245" s="3463">
        <v>6.88</v>
      </c>
      <c r="H245" s="3471"/>
    </row>
    <row r="246" spans="2:8">
      <c r="B246">
        <v>242</v>
      </c>
      <c r="C246" s="3467" t="s">
        <v>3906</v>
      </c>
      <c r="D246" s="3457"/>
      <c r="E246" s="3463">
        <v>24.72</v>
      </c>
      <c r="F246" s="3470">
        <v>15.28</v>
      </c>
      <c r="G246" s="3463">
        <v>9.44</v>
      </c>
      <c r="H246" s="3471"/>
    </row>
    <row r="247" spans="2:8">
      <c r="B247">
        <v>243</v>
      </c>
      <c r="C247" s="3467" t="s">
        <v>3907</v>
      </c>
      <c r="D247" s="3457"/>
      <c r="E247" s="3463">
        <v>27.48</v>
      </c>
      <c r="F247" s="3470">
        <v>16.989999999999998</v>
      </c>
      <c r="G247" s="3463">
        <v>10.49</v>
      </c>
      <c r="H247" s="3471"/>
    </row>
    <row r="248" spans="2:8">
      <c r="B248">
        <v>244</v>
      </c>
      <c r="C248" s="3467" t="s">
        <v>3908</v>
      </c>
      <c r="D248" s="3457"/>
      <c r="E248" s="3463">
        <v>27.45</v>
      </c>
      <c r="F248" s="3470">
        <v>16.97</v>
      </c>
      <c r="G248" s="3463">
        <v>10.48</v>
      </c>
      <c r="H248" s="3471"/>
    </row>
    <row r="249" spans="2:8">
      <c r="B249">
        <v>245</v>
      </c>
      <c r="C249" s="3467" t="s">
        <v>3909</v>
      </c>
      <c r="D249" s="3457"/>
      <c r="E249" s="3463">
        <v>24.73</v>
      </c>
      <c r="F249" s="3470">
        <v>15.29</v>
      </c>
      <c r="G249" s="3463">
        <v>9.44</v>
      </c>
      <c r="H249" s="3471"/>
    </row>
    <row r="250" spans="2:8">
      <c r="B250">
        <v>246</v>
      </c>
      <c r="C250" s="3467" t="s">
        <v>3910</v>
      </c>
      <c r="D250" s="3457"/>
      <c r="E250" s="3463">
        <v>27.74</v>
      </c>
      <c r="F250" s="3470">
        <v>17.149999999999999</v>
      </c>
      <c r="G250" s="3463">
        <v>10.59</v>
      </c>
      <c r="H250" s="3471"/>
    </row>
    <row r="251" spans="2:8">
      <c r="B251">
        <v>247</v>
      </c>
      <c r="C251" s="3467" t="s">
        <v>3911</v>
      </c>
      <c r="D251" s="3457"/>
      <c r="E251" s="3463">
        <v>27.18</v>
      </c>
      <c r="F251" s="3470">
        <v>16.8</v>
      </c>
      <c r="G251" s="3463">
        <v>10.38</v>
      </c>
      <c r="H251" s="3471"/>
    </row>
    <row r="252" spans="2:8">
      <c r="B252">
        <v>248</v>
      </c>
      <c r="C252" s="3467" t="s">
        <v>3912</v>
      </c>
      <c r="D252" s="3457"/>
      <c r="E252" s="3463">
        <v>27.31</v>
      </c>
      <c r="F252" s="3470">
        <v>16.88</v>
      </c>
      <c r="G252" s="3463">
        <v>10.43</v>
      </c>
      <c r="H252" s="3471"/>
    </row>
    <row r="253" spans="2:8">
      <c r="B253">
        <v>249</v>
      </c>
      <c r="C253" s="3467" t="s">
        <v>3913</v>
      </c>
      <c r="D253" s="3457"/>
      <c r="E253" s="3463">
        <v>27.53</v>
      </c>
      <c r="F253" s="3470">
        <v>17.02</v>
      </c>
      <c r="G253" s="3463">
        <v>10.51</v>
      </c>
      <c r="H253" s="3471"/>
    </row>
    <row r="254" spans="2:8">
      <c r="B254">
        <v>250</v>
      </c>
      <c r="C254" s="3467" t="s">
        <v>3914</v>
      </c>
      <c r="D254" s="3457"/>
      <c r="E254" s="3463">
        <v>27.74</v>
      </c>
      <c r="F254" s="3470">
        <v>17.149999999999999</v>
      </c>
      <c r="G254" s="3463">
        <v>10.59</v>
      </c>
      <c r="H254" s="3471"/>
    </row>
    <row r="255" spans="2:8">
      <c r="B255">
        <v>251</v>
      </c>
      <c r="C255" s="3467" t="s">
        <v>3915</v>
      </c>
      <c r="D255" s="3457"/>
      <c r="E255" s="3463">
        <v>27.97</v>
      </c>
      <c r="F255" s="3470">
        <v>17.29</v>
      </c>
      <c r="G255" s="3463">
        <v>10.68</v>
      </c>
      <c r="H255" s="3471"/>
    </row>
    <row r="256" spans="2:8">
      <c r="B256">
        <v>252</v>
      </c>
      <c r="C256" s="3467" t="s">
        <v>3916</v>
      </c>
      <c r="D256" s="3457"/>
      <c r="E256" s="3463">
        <v>28.2</v>
      </c>
      <c r="F256" s="3470">
        <v>17.43</v>
      </c>
      <c r="G256" s="3463">
        <v>10.77</v>
      </c>
      <c r="H256" s="3471"/>
    </row>
    <row r="257" spans="2:8">
      <c r="B257">
        <v>253</v>
      </c>
      <c r="C257" s="3467" t="s">
        <v>3917</v>
      </c>
      <c r="D257" s="3457"/>
      <c r="E257" s="3463">
        <v>28.23</v>
      </c>
      <c r="F257" s="3470">
        <v>17.45</v>
      </c>
      <c r="G257" s="3463">
        <v>10.78</v>
      </c>
      <c r="H257" s="3471"/>
    </row>
    <row r="258" spans="2:8">
      <c r="B258">
        <v>254</v>
      </c>
      <c r="C258" s="3467" t="s">
        <v>3918</v>
      </c>
      <c r="D258" s="3457"/>
      <c r="E258" s="3463">
        <v>26.58</v>
      </c>
      <c r="F258" s="3470">
        <v>16.43</v>
      </c>
      <c r="G258" s="3463">
        <v>10.15</v>
      </c>
      <c r="H258" s="3471"/>
    </row>
    <row r="259" spans="2:8">
      <c r="B259">
        <v>255</v>
      </c>
      <c r="C259" s="3467" t="s">
        <v>3919</v>
      </c>
      <c r="D259" s="3457"/>
      <c r="E259" s="3463">
        <v>40.299999999999997</v>
      </c>
      <c r="F259" s="3470">
        <v>24.91</v>
      </c>
      <c r="G259" s="3463">
        <v>15.39</v>
      </c>
      <c r="H259" s="3471"/>
    </row>
    <row r="260" spans="2:8">
      <c r="B260">
        <v>256</v>
      </c>
      <c r="C260" s="3467" t="s">
        <v>3921</v>
      </c>
      <c r="D260" s="3474"/>
      <c r="E260" s="3463">
        <v>18.57</v>
      </c>
      <c r="F260" s="3470">
        <v>11.48</v>
      </c>
      <c r="G260" s="3463">
        <v>7.09</v>
      </c>
      <c r="H260" s="3471"/>
    </row>
    <row r="261" spans="2:8">
      <c r="B261">
        <v>257</v>
      </c>
      <c r="C261" s="3467" t="s">
        <v>3924</v>
      </c>
      <c r="D261" s="3457"/>
      <c r="E261" s="3463">
        <v>19.96</v>
      </c>
      <c r="F261" s="3470">
        <v>12.34</v>
      </c>
      <c r="G261" s="3463">
        <v>7.62</v>
      </c>
      <c r="H261" s="3471"/>
    </row>
    <row r="262" spans="2:8">
      <c r="B262">
        <v>258</v>
      </c>
      <c r="C262" s="3467" t="s">
        <v>3925</v>
      </c>
      <c r="D262" s="3457"/>
      <c r="E262" s="3463">
        <v>53.16</v>
      </c>
      <c r="F262" s="3470">
        <v>32.86</v>
      </c>
      <c r="G262" s="3463">
        <v>20.3</v>
      </c>
      <c r="H262" s="3471"/>
    </row>
    <row r="263" spans="2:8">
      <c r="B263">
        <v>259</v>
      </c>
      <c r="C263" s="3467" t="s">
        <v>3926</v>
      </c>
      <c r="D263" s="3457"/>
      <c r="E263" s="3463">
        <v>53.16</v>
      </c>
      <c r="F263" s="3470">
        <v>32.86</v>
      </c>
      <c r="G263" s="3463">
        <v>20.3</v>
      </c>
      <c r="H263" s="3471"/>
    </row>
    <row r="264" spans="2:8">
      <c r="B264">
        <v>260</v>
      </c>
      <c r="C264" s="3467" t="s">
        <v>3927</v>
      </c>
      <c r="D264" s="3457"/>
      <c r="E264" s="3463">
        <v>23.41</v>
      </c>
      <c r="F264" s="3470">
        <v>14.47</v>
      </c>
      <c r="G264" s="3463">
        <v>8.94</v>
      </c>
      <c r="H264" s="3471"/>
    </row>
    <row r="265" spans="2:8">
      <c r="B265">
        <v>261</v>
      </c>
      <c r="C265" s="3467" t="s">
        <v>3928</v>
      </c>
      <c r="D265" s="3457"/>
      <c r="E265" s="3463">
        <v>29.75</v>
      </c>
      <c r="F265" s="3470">
        <v>18.39</v>
      </c>
      <c r="G265" s="3463">
        <v>11.36</v>
      </c>
      <c r="H265" s="3471"/>
    </row>
    <row r="266" spans="2:8">
      <c r="B266">
        <v>262</v>
      </c>
      <c r="C266" s="3467" t="s">
        <v>3930</v>
      </c>
      <c r="D266" s="3457"/>
      <c r="E266" s="3463">
        <v>20.27</v>
      </c>
      <c r="F266" s="3470">
        <v>12.53</v>
      </c>
      <c r="G266" s="3463">
        <v>7.74</v>
      </c>
      <c r="H266" s="3471"/>
    </row>
    <row r="267" spans="2:8">
      <c r="B267">
        <v>263</v>
      </c>
      <c r="C267" s="3467" t="s">
        <v>3931</v>
      </c>
      <c r="D267" s="3457"/>
      <c r="E267" s="3463">
        <v>25.41</v>
      </c>
      <c r="F267" s="3470">
        <v>15.71</v>
      </c>
      <c r="G267" s="3463">
        <v>9.6999999999999993</v>
      </c>
      <c r="H267" s="3471"/>
    </row>
    <row r="268" spans="2:8">
      <c r="B268">
        <v>264</v>
      </c>
      <c r="C268" s="3467" t="s">
        <v>3932</v>
      </c>
      <c r="D268" s="3457"/>
      <c r="E268" s="3463">
        <v>26.48</v>
      </c>
      <c r="F268" s="3470">
        <v>16.37</v>
      </c>
      <c r="G268" s="3463">
        <v>10.11</v>
      </c>
      <c r="H268" s="3471"/>
    </row>
    <row r="269" spans="2:8">
      <c r="B269">
        <v>265</v>
      </c>
      <c r="C269" s="3467" t="s">
        <v>3933</v>
      </c>
      <c r="D269" s="3457"/>
      <c r="E269" s="3463">
        <v>23.57</v>
      </c>
      <c r="F269" s="3470">
        <v>14.57</v>
      </c>
      <c r="G269" s="3463">
        <v>9</v>
      </c>
      <c r="H269" s="3471"/>
    </row>
    <row r="270" spans="2:8">
      <c r="B270">
        <v>266</v>
      </c>
      <c r="C270" s="3467" t="s">
        <v>3934</v>
      </c>
      <c r="D270" s="3457"/>
      <c r="E270" s="3463">
        <v>24.6</v>
      </c>
      <c r="F270" s="3470">
        <v>15.21</v>
      </c>
      <c r="G270" s="3463">
        <v>9.39</v>
      </c>
      <c r="H270" s="3471"/>
    </row>
    <row r="271" spans="2:8">
      <c r="B271">
        <v>267</v>
      </c>
      <c r="C271" s="3467" t="s">
        <v>3935</v>
      </c>
      <c r="D271" s="3457"/>
      <c r="E271" s="3463">
        <v>22.63</v>
      </c>
      <c r="F271" s="3470">
        <v>13.99</v>
      </c>
      <c r="G271" s="3463">
        <v>8.64</v>
      </c>
      <c r="H271" s="3471"/>
    </row>
    <row r="272" spans="2:8">
      <c r="B272">
        <v>268</v>
      </c>
      <c r="C272" s="3467" t="s">
        <v>3936</v>
      </c>
      <c r="D272" s="3457"/>
      <c r="E272" s="3463">
        <v>20.45</v>
      </c>
      <c r="F272" s="3470">
        <v>12.64</v>
      </c>
      <c r="G272" s="3463">
        <v>7.81</v>
      </c>
      <c r="H272" s="3471"/>
    </row>
    <row r="273" spans="2:8">
      <c r="B273">
        <v>269</v>
      </c>
      <c r="C273" s="3467" t="s">
        <v>3937</v>
      </c>
      <c r="D273" s="3457"/>
      <c r="E273" s="3463">
        <v>26.98</v>
      </c>
      <c r="F273" s="3470">
        <v>16.68</v>
      </c>
      <c r="G273" s="3463">
        <v>10.3</v>
      </c>
      <c r="H273" s="3471"/>
    </row>
    <row r="274" spans="2:8">
      <c r="B274">
        <v>270</v>
      </c>
      <c r="C274" s="3467" t="s">
        <v>3938</v>
      </c>
      <c r="D274" s="3457"/>
      <c r="E274" s="3463">
        <v>27.39</v>
      </c>
      <c r="F274" s="3470">
        <v>16.93</v>
      </c>
      <c r="G274" s="3463">
        <v>10.46</v>
      </c>
      <c r="H274" s="3471"/>
    </row>
    <row r="275" spans="2:8">
      <c r="B275">
        <v>271</v>
      </c>
      <c r="C275" s="3467" t="s">
        <v>3939</v>
      </c>
      <c r="D275" s="3457"/>
      <c r="E275" s="3463">
        <v>23.76</v>
      </c>
      <c r="F275" s="3470">
        <v>14.69</v>
      </c>
      <c r="G275" s="3463">
        <v>9.07</v>
      </c>
      <c r="H275" s="3471"/>
    </row>
    <row r="276" spans="2:8">
      <c r="B276">
        <v>272</v>
      </c>
      <c r="C276" s="3467" t="s">
        <v>3940</v>
      </c>
      <c r="D276" s="3457"/>
      <c r="E276" s="3463">
        <v>26.51</v>
      </c>
      <c r="F276" s="3470">
        <v>16.39</v>
      </c>
      <c r="G276" s="3463">
        <v>10.119999999999999</v>
      </c>
      <c r="H276" s="3471"/>
    </row>
    <row r="277" spans="2:8">
      <c r="B277">
        <v>273</v>
      </c>
      <c r="C277" s="3467" t="s">
        <v>3941</v>
      </c>
      <c r="D277" s="3457"/>
      <c r="E277" s="3463">
        <v>27</v>
      </c>
      <c r="F277" s="3470">
        <v>16.690000000000001</v>
      </c>
      <c r="G277" s="3463">
        <v>10.31</v>
      </c>
      <c r="H277" s="3471"/>
    </row>
    <row r="278" spans="2:8">
      <c r="B278">
        <v>274</v>
      </c>
      <c r="C278" s="3467" t="s">
        <v>3942</v>
      </c>
      <c r="D278" s="3457"/>
      <c r="E278" s="3463">
        <v>21.82</v>
      </c>
      <c r="F278" s="3470">
        <v>13.49</v>
      </c>
      <c r="G278" s="3463">
        <v>8.33</v>
      </c>
      <c r="H278" s="3471"/>
    </row>
    <row r="279" spans="2:8">
      <c r="B279">
        <v>275</v>
      </c>
      <c r="C279" s="3467" t="s">
        <v>3943</v>
      </c>
      <c r="D279" s="3457"/>
      <c r="E279" s="3463">
        <v>37.64</v>
      </c>
      <c r="F279" s="3470">
        <v>23.27</v>
      </c>
      <c r="G279" s="3463">
        <v>14.37</v>
      </c>
      <c r="H279" s="3471"/>
    </row>
    <row r="280" spans="2:8">
      <c r="B280">
        <v>276</v>
      </c>
      <c r="C280" s="3467" t="s">
        <v>3944</v>
      </c>
      <c r="D280" s="3457"/>
      <c r="E280" s="3463">
        <v>27.45</v>
      </c>
      <c r="F280" s="3470">
        <v>16.97</v>
      </c>
      <c r="G280" s="3463">
        <v>10.48</v>
      </c>
      <c r="H280" s="3471"/>
    </row>
    <row r="281" spans="2:8">
      <c r="B281">
        <v>277</v>
      </c>
      <c r="C281" s="3467" t="s">
        <v>3945</v>
      </c>
      <c r="D281" s="3457"/>
      <c r="E281" s="3463">
        <v>18.18</v>
      </c>
      <c r="F281" s="3470">
        <v>11.24</v>
      </c>
      <c r="G281" s="3463">
        <v>6.94</v>
      </c>
      <c r="H281" s="3471"/>
    </row>
    <row r="282" spans="2:8">
      <c r="B282">
        <v>278</v>
      </c>
      <c r="C282" s="3467" t="s">
        <v>3946</v>
      </c>
      <c r="D282" s="3457"/>
      <c r="E282" s="3463">
        <v>20.059999999999999</v>
      </c>
      <c r="F282" s="3470">
        <v>12.4</v>
      </c>
      <c r="G282" s="3463">
        <v>7.66</v>
      </c>
      <c r="H282" s="3471"/>
    </row>
    <row r="283" spans="2:8">
      <c r="B283">
        <v>279</v>
      </c>
      <c r="C283" s="3467" t="s">
        <v>3947</v>
      </c>
      <c r="D283" s="3457"/>
      <c r="E283" s="3463">
        <v>27.47</v>
      </c>
      <c r="F283" s="3470">
        <v>16.98</v>
      </c>
      <c r="G283" s="3463">
        <v>10.49</v>
      </c>
      <c r="H283" s="3471"/>
    </row>
    <row r="284" spans="2:8">
      <c r="B284">
        <v>280</v>
      </c>
      <c r="C284" s="3467" t="s">
        <v>3948</v>
      </c>
      <c r="D284" s="3457"/>
      <c r="E284" s="3463">
        <v>38.369999999999997</v>
      </c>
      <c r="F284" s="3470">
        <v>23.72</v>
      </c>
      <c r="G284" s="3463">
        <v>14.65</v>
      </c>
      <c r="H284" s="3471"/>
    </row>
    <row r="285" spans="2:8">
      <c r="B285">
        <v>281</v>
      </c>
      <c r="C285" s="3467" t="s">
        <v>3949</v>
      </c>
      <c r="D285" s="3457"/>
      <c r="E285" s="3463">
        <v>28.78</v>
      </c>
      <c r="F285" s="3470">
        <v>17.79</v>
      </c>
      <c r="G285" s="3463">
        <v>10.99</v>
      </c>
      <c r="H285" s="3471"/>
    </row>
    <row r="286" spans="2:8">
      <c r="B286">
        <v>282</v>
      </c>
      <c r="C286" s="3467" t="s">
        <v>3950</v>
      </c>
      <c r="D286" s="3457"/>
      <c r="E286" s="3463">
        <v>27.35</v>
      </c>
      <c r="F286" s="3470">
        <v>16.91</v>
      </c>
      <c r="G286" s="3463">
        <v>10.44</v>
      </c>
      <c r="H286" s="3471"/>
    </row>
    <row r="287" spans="2:8">
      <c r="B287">
        <v>283</v>
      </c>
      <c r="C287" s="3467" t="s">
        <v>3951</v>
      </c>
      <c r="D287" s="3457"/>
      <c r="E287" s="3463">
        <v>26.55</v>
      </c>
      <c r="F287" s="3470">
        <v>16.41</v>
      </c>
      <c r="G287" s="3463">
        <v>10.14</v>
      </c>
      <c r="H287" s="3471"/>
    </row>
    <row r="288" spans="2:8">
      <c r="B288">
        <v>284</v>
      </c>
      <c r="C288" s="3467" t="s">
        <v>3952</v>
      </c>
      <c r="D288" s="3457"/>
      <c r="E288" s="3463">
        <v>26.32</v>
      </c>
      <c r="F288" s="3470">
        <v>16.27</v>
      </c>
      <c r="G288" s="3463">
        <v>10.050000000000001</v>
      </c>
      <c r="H288" s="3471"/>
    </row>
    <row r="289" spans="2:8">
      <c r="B289">
        <v>285</v>
      </c>
      <c r="C289" s="3467" t="s">
        <v>3953</v>
      </c>
      <c r="D289" s="3457"/>
      <c r="E289" s="3463">
        <v>26.32</v>
      </c>
      <c r="F289" s="3470">
        <v>16.27</v>
      </c>
      <c r="G289" s="3463">
        <v>10.050000000000001</v>
      </c>
      <c r="H289" s="3471"/>
    </row>
    <row r="290" spans="2:8">
      <c r="B290">
        <v>286</v>
      </c>
      <c r="C290" s="3467" t="s">
        <v>3954</v>
      </c>
      <c r="D290" s="3457"/>
      <c r="E290" s="3463">
        <v>26.32</v>
      </c>
      <c r="F290" s="3470">
        <v>16.27</v>
      </c>
      <c r="G290" s="3463">
        <v>10.050000000000001</v>
      </c>
      <c r="H290" s="3471"/>
    </row>
    <row r="291" spans="2:8">
      <c r="B291">
        <v>287</v>
      </c>
      <c r="C291" s="3467" t="s">
        <v>3956</v>
      </c>
      <c r="D291" s="3457"/>
      <c r="E291" s="3463">
        <v>26.32</v>
      </c>
      <c r="F291" s="3470">
        <v>16.27</v>
      </c>
      <c r="G291" s="3463">
        <v>10.050000000000001</v>
      </c>
      <c r="H291" s="3471"/>
    </row>
    <row r="292" spans="2:8">
      <c r="B292">
        <v>288</v>
      </c>
      <c r="C292" s="3467" t="s">
        <v>3957</v>
      </c>
      <c r="D292" s="3457"/>
      <c r="E292" s="3463">
        <v>29.6</v>
      </c>
      <c r="F292" s="3470">
        <v>18.3</v>
      </c>
      <c r="G292" s="3463">
        <v>11.3</v>
      </c>
      <c r="H292" s="3471"/>
    </row>
    <row r="293" spans="2:8">
      <c r="B293">
        <v>289</v>
      </c>
      <c r="C293" s="3467" t="s">
        <v>3958</v>
      </c>
      <c r="D293" s="3457"/>
      <c r="E293" s="3463">
        <v>29.6</v>
      </c>
      <c r="F293" s="3470">
        <v>18.3</v>
      </c>
      <c r="G293" s="3463">
        <v>11.3</v>
      </c>
      <c r="H293" s="3471"/>
    </row>
    <row r="294" spans="2:8">
      <c r="B294">
        <v>290</v>
      </c>
      <c r="C294" s="3467" t="s">
        <v>3959</v>
      </c>
      <c r="D294" s="3457"/>
      <c r="E294" s="3463">
        <v>29.6</v>
      </c>
      <c r="F294" s="3470">
        <v>18.3</v>
      </c>
      <c r="G294" s="3463">
        <v>11.3</v>
      </c>
      <c r="H294" s="3471"/>
    </row>
    <row r="295" spans="2:8">
      <c r="B295">
        <v>291</v>
      </c>
      <c r="C295" s="3467" t="s">
        <v>3960</v>
      </c>
      <c r="D295" s="3457"/>
      <c r="E295" s="3463">
        <v>29.6</v>
      </c>
      <c r="F295" s="3470">
        <v>18.3</v>
      </c>
      <c r="G295" s="3463">
        <v>11.3</v>
      </c>
      <c r="H295" s="3471"/>
    </row>
    <row r="296" spans="2:8">
      <c r="B296">
        <v>292</v>
      </c>
      <c r="C296" s="3467" t="s">
        <v>3961</v>
      </c>
      <c r="D296" s="3457"/>
      <c r="E296" s="3463">
        <v>29.6</v>
      </c>
      <c r="F296" s="3470">
        <v>18.3</v>
      </c>
      <c r="G296" s="3463">
        <v>11.3</v>
      </c>
      <c r="H296" s="3471"/>
    </row>
    <row r="297" spans="2:8">
      <c r="B297">
        <v>293</v>
      </c>
      <c r="C297" s="3467" t="s">
        <v>3962</v>
      </c>
      <c r="D297" s="3457"/>
      <c r="E297" s="3463">
        <v>29.6</v>
      </c>
      <c r="F297" s="3470">
        <v>18.3</v>
      </c>
      <c r="G297" s="3463">
        <v>11.3</v>
      </c>
      <c r="H297" s="3471"/>
    </row>
    <row r="298" spans="2:8">
      <c r="B298">
        <v>294</v>
      </c>
      <c r="C298" s="3467" t="s">
        <v>3963</v>
      </c>
      <c r="D298" s="3457"/>
      <c r="E298" s="3463">
        <v>29.6</v>
      </c>
      <c r="F298" s="3470">
        <v>18.3</v>
      </c>
      <c r="G298" s="3463">
        <v>11.3</v>
      </c>
      <c r="H298" s="3471"/>
    </row>
    <row r="299" spans="2:8">
      <c r="B299">
        <v>295</v>
      </c>
      <c r="C299" s="3467" t="s">
        <v>3964</v>
      </c>
      <c r="D299" s="3457"/>
      <c r="E299" s="3463">
        <v>29.6</v>
      </c>
      <c r="F299" s="3470">
        <v>18.3</v>
      </c>
      <c r="G299" s="3463">
        <v>11.3</v>
      </c>
      <c r="H299" s="3471"/>
    </row>
    <row r="300" spans="2:8">
      <c r="B300">
        <v>296</v>
      </c>
      <c r="C300" s="3467" t="s">
        <v>3965</v>
      </c>
      <c r="D300" s="3457"/>
      <c r="E300" s="3463">
        <v>28.66</v>
      </c>
      <c r="F300" s="3470">
        <v>17.72</v>
      </c>
      <c r="G300" s="3463">
        <v>10.94</v>
      </c>
      <c r="H300" s="3471"/>
    </row>
    <row r="301" spans="2:8">
      <c r="B301">
        <v>297</v>
      </c>
      <c r="C301" s="3467" t="s">
        <v>3966</v>
      </c>
      <c r="D301" s="3457"/>
      <c r="E301" s="3463">
        <v>27.26</v>
      </c>
      <c r="F301" s="3470">
        <v>16.850000000000001</v>
      </c>
      <c r="G301" s="3463">
        <v>10.41</v>
      </c>
      <c r="H301" s="3471"/>
    </row>
    <row r="302" spans="2:8">
      <c r="B302">
        <v>298</v>
      </c>
      <c r="C302" s="3467" t="s">
        <v>3967</v>
      </c>
      <c r="D302" s="3457"/>
      <c r="E302" s="3463">
        <v>33.58</v>
      </c>
      <c r="F302" s="3470">
        <v>20.76</v>
      </c>
      <c r="G302" s="3463">
        <v>12.82</v>
      </c>
      <c r="H302" s="3471"/>
    </row>
    <row r="303" spans="2:8">
      <c r="B303">
        <v>299</v>
      </c>
      <c r="C303" s="3467" t="s">
        <v>3968</v>
      </c>
      <c r="D303" s="3457"/>
      <c r="E303" s="3463">
        <v>25.48</v>
      </c>
      <c r="F303" s="3470">
        <v>15.75</v>
      </c>
      <c r="G303" s="3463">
        <v>9.73</v>
      </c>
      <c r="H303" s="3471"/>
    </row>
    <row r="304" spans="2:8">
      <c r="B304">
        <v>300</v>
      </c>
      <c r="C304" s="3467" t="s">
        <v>3969</v>
      </c>
      <c r="D304" s="3457"/>
      <c r="E304" s="3463">
        <v>25.22</v>
      </c>
      <c r="F304" s="3470">
        <v>15.59</v>
      </c>
      <c r="G304" s="3463">
        <v>9.6300000000000008</v>
      </c>
      <c r="H304" s="3471"/>
    </row>
    <row r="305" spans="2:8">
      <c r="B305">
        <v>301</v>
      </c>
      <c r="C305" s="3467" t="s">
        <v>3970</v>
      </c>
      <c r="D305" s="3457"/>
      <c r="E305" s="3463">
        <v>24.46</v>
      </c>
      <c r="F305" s="3470">
        <v>15.12</v>
      </c>
      <c r="G305" s="3463">
        <v>9.34</v>
      </c>
      <c r="H305" s="3471"/>
    </row>
    <row r="306" spans="2:8">
      <c r="B306">
        <v>302</v>
      </c>
      <c r="C306" s="3467" t="s">
        <v>3971</v>
      </c>
      <c r="D306" s="3457"/>
      <c r="E306" s="3463">
        <v>25.36</v>
      </c>
      <c r="F306" s="3470">
        <v>15.68</v>
      </c>
      <c r="G306" s="3463">
        <v>9.68</v>
      </c>
      <c r="H306" s="3471"/>
    </row>
    <row r="307" spans="2:8">
      <c r="B307">
        <v>303</v>
      </c>
      <c r="C307" s="3467" t="s">
        <v>3972</v>
      </c>
      <c r="D307" s="3457"/>
      <c r="E307" s="3463">
        <v>20.84</v>
      </c>
      <c r="F307" s="3470">
        <v>12.88</v>
      </c>
      <c r="G307" s="3463">
        <v>7.96</v>
      </c>
      <c r="H307" s="3471"/>
    </row>
    <row r="308" spans="2:8">
      <c r="B308">
        <v>304</v>
      </c>
      <c r="C308" s="3467" t="s">
        <v>3973</v>
      </c>
      <c r="D308" s="3457"/>
      <c r="E308" s="3463">
        <v>21.98</v>
      </c>
      <c r="F308" s="3470">
        <v>13.59</v>
      </c>
      <c r="G308" s="3463">
        <v>8.39</v>
      </c>
      <c r="H308" s="3471"/>
    </row>
    <row r="309" spans="2:8">
      <c r="B309">
        <v>305</v>
      </c>
      <c r="C309" s="3467" t="s">
        <v>3974</v>
      </c>
      <c r="D309" s="3457"/>
      <c r="E309" s="3463">
        <v>21.98</v>
      </c>
      <c r="F309" s="3470">
        <v>13.59</v>
      </c>
      <c r="G309" s="3463">
        <v>8.39</v>
      </c>
      <c r="H309" s="3471"/>
    </row>
    <row r="310" spans="2:8">
      <c r="B310">
        <v>306</v>
      </c>
      <c r="C310" s="3467" t="s">
        <v>3975</v>
      </c>
      <c r="D310" s="3457"/>
      <c r="E310" s="3463">
        <v>21.98</v>
      </c>
      <c r="F310" s="3470">
        <v>13.59</v>
      </c>
      <c r="G310" s="3463">
        <v>8.39</v>
      </c>
      <c r="H310" s="3471"/>
    </row>
    <row r="311" spans="2:8">
      <c r="B311">
        <v>307</v>
      </c>
      <c r="C311" s="3467" t="s">
        <v>3976</v>
      </c>
      <c r="D311" s="3457"/>
      <c r="E311" s="3463">
        <v>21.98</v>
      </c>
      <c r="F311" s="3470">
        <v>13.59</v>
      </c>
      <c r="G311" s="3463">
        <v>8.39</v>
      </c>
      <c r="H311" s="3471"/>
    </row>
    <row r="312" spans="2:8">
      <c r="B312">
        <v>308</v>
      </c>
      <c r="C312" s="3467" t="s">
        <v>3977</v>
      </c>
      <c r="D312" s="3457"/>
      <c r="E312" s="3463">
        <v>21.98</v>
      </c>
      <c r="F312" s="3470">
        <v>13.59</v>
      </c>
      <c r="G312" s="3463">
        <v>8.39</v>
      </c>
      <c r="H312" s="3471"/>
    </row>
    <row r="313" spans="2:8">
      <c r="B313">
        <v>309</v>
      </c>
      <c r="C313" s="3467" t="s">
        <v>3978</v>
      </c>
      <c r="D313" s="3457"/>
      <c r="E313" s="3463">
        <v>21.98</v>
      </c>
      <c r="F313" s="3470">
        <v>13.59</v>
      </c>
      <c r="G313" s="3463">
        <v>8.39</v>
      </c>
      <c r="H313" s="3471"/>
    </row>
    <row r="314" spans="2:8">
      <c r="B314">
        <v>310</v>
      </c>
      <c r="C314" s="3467" t="s">
        <v>3979</v>
      </c>
      <c r="D314" s="3457"/>
      <c r="E314" s="3463">
        <v>21.35</v>
      </c>
      <c r="F314" s="3470">
        <v>13.2</v>
      </c>
      <c r="G314" s="3463">
        <v>8.15</v>
      </c>
      <c r="H314" s="3471"/>
    </row>
    <row r="315" spans="2:8">
      <c r="B315">
        <v>311</v>
      </c>
      <c r="C315" s="3467" t="s">
        <v>3980</v>
      </c>
      <c r="D315" s="3457"/>
      <c r="E315" s="3463">
        <v>37.06</v>
      </c>
      <c r="F315" s="3470">
        <v>22.91</v>
      </c>
      <c r="G315" s="3463">
        <v>14.15</v>
      </c>
      <c r="H315" s="3471"/>
    </row>
    <row r="316" spans="2:8">
      <c r="B316">
        <v>312</v>
      </c>
      <c r="C316" s="3467" t="s">
        <v>3981</v>
      </c>
      <c r="D316" s="3457"/>
      <c r="E316" s="3463">
        <v>23.97</v>
      </c>
      <c r="F316" s="3470">
        <v>14.82</v>
      </c>
      <c r="G316" s="3463">
        <v>9.15</v>
      </c>
      <c r="H316" s="3471"/>
    </row>
    <row r="317" spans="2:8">
      <c r="B317">
        <v>313</v>
      </c>
      <c r="C317" s="3467" t="s">
        <v>3982</v>
      </c>
      <c r="D317" s="3457"/>
      <c r="E317" s="3463">
        <v>24.18</v>
      </c>
      <c r="F317" s="3470">
        <v>14.95</v>
      </c>
      <c r="G317" s="3463">
        <v>9.23</v>
      </c>
      <c r="H317" s="3471"/>
    </row>
    <row r="318" spans="2:8">
      <c r="B318">
        <v>314</v>
      </c>
      <c r="C318" s="3467" t="s">
        <v>3983</v>
      </c>
      <c r="D318" s="3457"/>
      <c r="E318" s="3463">
        <v>24.18</v>
      </c>
      <c r="F318" s="3470">
        <v>14.95</v>
      </c>
      <c r="G318" s="3463">
        <v>9.23</v>
      </c>
      <c r="H318" s="3471"/>
    </row>
    <row r="319" spans="2:8">
      <c r="B319">
        <v>315</v>
      </c>
      <c r="C319" s="3467" t="s">
        <v>3984</v>
      </c>
      <c r="D319" s="3457"/>
      <c r="E319" s="3463">
        <v>24.18</v>
      </c>
      <c r="F319" s="3470">
        <v>14.95</v>
      </c>
      <c r="G319" s="3463">
        <v>9.23</v>
      </c>
      <c r="H319" s="3471"/>
    </row>
    <row r="320" spans="2:8">
      <c r="B320">
        <v>316</v>
      </c>
      <c r="C320" s="3467" t="s">
        <v>3985</v>
      </c>
      <c r="D320" s="3457"/>
      <c r="E320" s="3463">
        <v>25.91</v>
      </c>
      <c r="F320" s="3470">
        <v>16.02</v>
      </c>
      <c r="G320" s="3463">
        <v>9.89</v>
      </c>
      <c r="H320" s="3471"/>
    </row>
    <row r="321" spans="2:8">
      <c r="B321">
        <v>317</v>
      </c>
      <c r="C321" s="3467" t="s">
        <v>3987</v>
      </c>
      <c r="D321" s="3468"/>
      <c r="E321" s="3463">
        <v>38.19</v>
      </c>
      <c r="F321" s="3470">
        <v>23.61</v>
      </c>
      <c r="G321" s="3463">
        <v>14.58</v>
      </c>
      <c r="H321" s="3471"/>
    </row>
    <row r="322" spans="2:8">
      <c r="B322">
        <v>318</v>
      </c>
      <c r="C322" s="3467" t="s">
        <v>3988</v>
      </c>
      <c r="D322" s="3468"/>
      <c r="E322" s="3463">
        <v>19.64</v>
      </c>
      <c r="F322" s="3470">
        <v>12.14</v>
      </c>
      <c r="G322" s="3463">
        <v>7.5</v>
      </c>
      <c r="H322" s="3471"/>
    </row>
    <row r="323" spans="2:8">
      <c r="B323">
        <v>319</v>
      </c>
      <c r="C323" s="3467" t="s">
        <v>3989</v>
      </c>
      <c r="D323" s="3468"/>
      <c r="E323" s="3463">
        <v>20.87</v>
      </c>
      <c r="F323" s="3470">
        <v>12.9</v>
      </c>
      <c r="G323" s="3463">
        <v>7.97</v>
      </c>
      <c r="H323" s="3471"/>
    </row>
    <row r="324" spans="2:8">
      <c r="B324">
        <v>320</v>
      </c>
      <c r="C324" s="3467" t="s">
        <v>3990</v>
      </c>
      <c r="D324" s="3468"/>
      <c r="E324" s="3463">
        <v>37.17</v>
      </c>
      <c r="F324" s="3470">
        <v>22.98</v>
      </c>
      <c r="G324" s="3463">
        <v>14.19</v>
      </c>
      <c r="H324" s="3471"/>
    </row>
    <row r="325" spans="2:8">
      <c r="B325">
        <v>321</v>
      </c>
      <c r="C325" s="3467" t="s">
        <v>3991</v>
      </c>
      <c r="D325" s="3468"/>
      <c r="E325" s="3463">
        <v>25.15</v>
      </c>
      <c r="F325" s="3470">
        <v>15.55</v>
      </c>
      <c r="G325" s="3463">
        <v>9.6</v>
      </c>
      <c r="H325" s="3471"/>
    </row>
    <row r="326" spans="2:8">
      <c r="B326">
        <v>322</v>
      </c>
      <c r="C326" s="3467" t="s">
        <v>3992</v>
      </c>
      <c r="D326" s="3468"/>
      <c r="E326" s="3463">
        <v>28.66</v>
      </c>
      <c r="F326" s="3470">
        <v>17.72</v>
      </c>
      <c r="G326" s="3463">
        <v>10.94</v>
      </c>
      <c r="H326" s="3471"/>
    </row>
    <row r="327" spans="2:8">
      <c r="B327">
        <v>323</v>
      </c>
      <c r="C327" s="3467" t="s">
        <v>3993</v>
      </c>
      <c r="D327" s="3468"/>
      <c r="E327" s="3463">
        <v>22.79</v>
      </c>
      <c r="F327" s="3470">
        <v>14.09</v>
      </c>
      <c r="G327" s="3463">
        <v>8.6999999999999993</v>
      </c>
      <c r="H327" s="3471"/>
    </row>
    <row r="328" spans="2:8">
      <c r="B328">
        <v>324</v>
      </c>
      <c r="C328" s="3467" t="s">
        <v>3994</v>
      </c>
      <c r="D328" s="3468"/>
      <c r="E328" s="3463">
        <v>36.79</v>
      </c>
      <c r="F328" s="3470">
        <v>22.74</v>
      </c>
      <c r="G328" s="3463">
        <v>14.05</v>
      </c>
      <c r="H328" s="3471"/>
    </row>
    <row r="329" spans="2:8">
      <c r="B329">
        <v>325</v>
      </c>
      <c r="C329" s="3467" t="s">
        <v>3995</v>
      </c>
      <c r="D329" s="3468"/>
      <c r="E329" s="3463">
        <v>47.27</v>
      </c>
      <c r="F329" s="3470">
        <v>29.22</v>
      </c>
      <c r="G329" s="3463">
        <v>18.05</v>
      </c>
      <c r="H329" s="3471"/>
    </row>
    <row r="330" spans="2:8">
      <c r="B330">
        <v>326</v>
      </c>
      <c r="C330" s="3467" t="s">
        <v>3996</v>
      </c>
      <c r="D330" s="3468"/>
      <c r="E330" s="3463">
        <v>24.22</v>
      </c>
      <c r="F330" s="3470">
        <v>14.97</v>
      </c>
      <c r="G330" s="3463">
        <v>9.25</v>
      </c>
      <c r="H330" s="3471"/>
    </row>
    <row r="331" spans="2:8">
      <c r="B331">
        <v>327</v>
      </c>
      <c r="C331" s="3467" t="s">
        <v>3997</v>
      </c>
      <c r="D331" s="3468"/>
      <c r="E331" s="3463">
        <v>31.37</v>
      </c>
      <c r="F331" s="3470">
        <v>19.39</v>
      </c>
      <c r="G331" s="3463">
        <v>11.98</v>
      </c>
      <c r="H331" s="3471"/>
    </row>
    <row r="332" spans="2:8">
      <c r="B332">
        <v>328</v>
      </c>
      <c r="C332" s="3467" t="s">
        <v>3998</v>
      </c>
      <c r="D332" s="3468"/>
      <c r="E332" s="3463">
        <v>20.61</v>
      </c>
      <c r="F332" s="3470">
        <v>12.74</v>
      </c>
      <c r="G332" s="3463">
        <v>7.87</v>
      </c>
      <c r="H332" s="3471"/>
    </row>
    <row r="333" spans="2:8">
      <c r="B333">
        <v>329</v>
      </c>
      <c r="C333" s="3467" t="s">
        <v>3999</v>
      </c>
      <c r="D333" s="3468"/>
      <c r="E333" s="3463">
        <v>32.39</v>
      </c>
      <c r="F333" s="3470">
        <v>20.02</v>
      </c>
      <c r="G333" s="3463">
        <v>12.37</v>
      </c>
      <c r="H333" s="3471"/>
    </row>
    <row r="334" spans="2:8">
      <c r="B334">
        <v>330</v>
      </c>
      <c r="C334" s="3467" t="s">
        <v>4000</v>
      </c>
      <c r="D334" s="3468"/>
      <c r="E334" s="3463">
        <v>18.8</v>
      </c>
      <c r="F334" s="3470">
        <v>11.62</v>
      </c>
      <c r="G334" s="3463">
        <v>7.18</v>
      </c>
      <c r="H334" s="3471"/>
    </row>
    <row r="335" spans="2:8">
      <c r="B335">
        <v>331</v>
      </c>
      <c r="C335" s="3467" t="s">
        <v>4001</v>
      </c>
      <c r="D335" s="3468"/>
      <c r="E335" s="3463">
        <v>16.37</v>
      </c>
      <c r="F335" s="3470">
        <v>10.119999999999999</v>
      </c>
      <c r="G335" s="3463">
        <v>6.25</v>
      </c>
      <c r="H335" s="3471"/>
    </row>
    <row r="336" spans="2:8">
      <c r="B336">
        <v>332</v>
      </c>
      <c r="C336" s="3467" t="s">
        <v>4002</v>
      </c>
      <c r="D336" s="3468"/>
      <c r="E336" s="3463">
        <v>13.96</v>
      </c>
      <c r="F336" s="3470">
        <v>8.6300000000000008</v>
      </c>
      <c r="G336" s="3463">
        <v>5.33</v>
      </c>
      <c r="H336" s="3471"/>
    </row>
    <row r="337" spans="2:8">
      <c r="B337">
        <v>333</v>
      </c>
      <c r="C337" s="3467" t="s">
        <v>4003</v>
      </c>
      <c r="D337" s="3468"/>
      <c r="E337" s="3463">
        <v>16.66</v>
      </c>
      <c r="F337" s="3470">
        <v>10.3</v>
      </c>
      <c r="G337" s="3463">
        <v>6.36</v>
      </c>
      <c r="H337" s="3471"/>
    </row>
    <row r="338" spans="2:8">
      <c r="B338">
        <v>334</v>
      </c>
      <c r="C338" s="3467" t="s">
        <v>4004</v>
      </c>
      <c r="D338" s="3468"/>
      <c r="E338" s="3463">
        <v>20.79</v>
      </c>
      <c r="F338" s="3470">
        <v>12.85</v>
      </c>
      <c r="G338" s="3463">
        <v>7.94</v>
      </c>
      <c r="H338" s="3471"/>
    </row>
    <row r="339" spans="2:8">
      <c r="B339">
        <v>335</v>
      </c>
      <c r="C339" s="3467" t="s">
        <v>4005</v>
      </c>
      <c r="D339" s="3468"/>
      <c r="E339" s="3463">
        <v>22.97</v>
      </c>
      <c r="F339" s="3470">
        <v>14.2</v>
      </c>
      <c r="G339" s="3463">
        <v>8.77</v>
      </c>
      <c r="H339" s="3471"/>
    </row>
    <row r="340" spans="2:8">
      <c r="B340">
        <v>336</v>
      </c>
      <c r="C340" s="3467" t="s">
        <v>4006</v>
      </c>
      <c r="D340" s="3468"/>
      <c r="E340" s="3463">
        <v>18.649999999999999</v>
      </c>
      <c r="F340" s="3470">
        <v>11.53</v>
      </c>
      <c r="G340" s="3463">
        <v>7.12</v>
      </c>
      <c r="H340" s="3471"/>
    </row>
    <row r="341" spans="2:8">
      <c r="B341">
        <v>337</v>
      </c>
      <c r="C341" s="3467" t="s">
        <v>4007</v>
      </c>
      <c r="D341" s="3468"/>
      <c r="E341" s="3463">
        <v>27.95</v>
      </c>
      <c r="F341" s="3470">
        <v>17.28</v>
      </c>
      <c r="G341" s="3463">
        <v>10.67</v>
      </c>
      <c r="H341" s="3471"/>
    </row>
    <row r="342" spans="2:8">
      <c r="B342">
        <v>338</v>
      </c>
      <c r="C342" s="3467" t="s">
        <v>4008</v>
      </c>
      <c r="D342" s="3468"/>
      <c r="E342" s="3463">
        <v>27.21</v>
      </c>
      <c r="F342" s="3470">
        <v>16.82</v>
      </c>
      <c r="G342" s="3463">
        <v>10.39</v>
      </c>
      <c r="H342" s="3471"/>
    </row>
    <row r="343" spans="2:8">
      <c r="B343">
        <v>339</v>
      </c>
      <c r="C343" s="3467" t="s">
        <v>4009</v>
      </c>
      <c r="D343" s="3468"/>
      <c r="E343" s="3463">
        <v>33.31</v>
      </c>
      <c r="F343" s="3470">
        <v>20.59</v>
      </c>
      <c r="G343" s="3463">
        <v>12.72</v>
      </c>
      <c r="H343" s="3471"/>
    </row>
    <row r="344" spans="2:8">
      <c r="B344">
        <v>340</v>
      </c>
      <c r="C344" s="3467" t="s">
        <v>4010</v>
      </c>
      <c r="D344" s="3468"/>
      <c r="E344" s="3463">
        <v>41.4</v>
      </c>
      <c r="F344" s="3470">
        <v>25.59</v>
      </c>
      <c r="G344" s="3463">
        <v>15.81</v>
      </c>
      <c r="H344" s="3471"/>
    </row>
    <row r="345" spans="2:8">
      <c r="B345">
        <v>341</v>
      </c>
      <c r="C345" s="3467" t="s">
        <v>4011</v>
      </c>
      <c r="D345" s="3468"/>
      <c r="E345" s="3463">
        <v>24.25</v>
      </c>
      <c r="F345" s="3470">
        <v>14.99</v>
      </c>
      <c r="G345" s="3463">
        <v>9.26</v>
      </c>
      <c r="H345" s="3471"/>
    </row>
    <row r="346" spans="2:8">
      <c r="B346">
        <v>342</v>
      </c>
      <c r="C346" s="3467" t="s">
        <v>4012</v>
      </c>
      <c r="D346" s="3468"/>
      <c r="E346" s="3463">
        <v>20.82</v>
      </c>
      <c r="F346" s="3470">
        <v>12.87</v>
      </c>
      <c r="G346" s="3463">
        <v>7.95</v>
      </c>
      <c r="H346" s="3471"/>
    </row>
    <row r="347" spans="2:8">
      <c r="B347">
        <v>343</v>
      </c>
      <c r="C347" s="3467" t="s">
        <v>4013</v>
      </c>
      <c r="D347" s="3468"/>
      <c r="E347" s="3463">
        <v>26.98</v>
      </c>
      <c r="F347" s="3470">
        <v>16.68</v>
      </c>
      <c r="G347" s="3463">
        <v>10.3</v>
      </c>
      <c r="H347" s="3471"/>
    </row>
    <row r="348" spans="2:8">
      <c r="B348">
        <v>344</v>
      </c>
      <c r="C348" s="3467" t="s">
        <v>4014</v>
      </c>
      <c r="D348" s="3468"/>
      <c r="E348" s="3463">
        <v>29.51</v>
      </c>
      <c r="F348" s="3470">
        <v>18.239999999999998</v>
      </c>
      <c r="G348" s="3463">
        <v>11.27</v>
      </c>
      <c r="H348" s="3471"/>
    </row>
    <row r="349" spans="2:8">
      <c r="B349">
        <v>345</v>
      </c>
      <c r="C349" s="3467" t="s">
        <v>4015</v>
      </c>
      <c r="D349" s="3468"/>
      <c r="E349" s="3463">
        <v>32.6</v>
      </c>
      <c r="F349" s="3470">
        <v>20.149999999999999</v>
      </c>
      <c r="G349" s="3463">
        <v>12.45</v>
      </c>
      <c r="H349" s="3471"/>
    </row>
    <row r="350" spans="2:8">
      <c r="B350">
        <v>346</v>
      </c>
      <c r="C350" s="3467" t="s">
        <v>4016</v>
      </c>
      <c r="D350" s="3468"/>
      <c r="E350" s="3463">
        <v>29.28</v>
      </c>
      <c r="F350" s="3470">
        <v>18.100000000000001</v>
      </c>
      <c r="G350" s="3463">
        <v>11.18</v>
      </c>
      <c r="H350" s="3471"/>
    </row>
    <row r="351" spans="2:8">
      <c r="B351">
        <v>347</v>
      </c>
      <c r="C351" s="3467" t="s">
        <v>4017</v>
      </c>
      <c r="D351" s="3468"/>
      <c r="E351" s="3463">
        <v>18.12</v>
      </c>
      <c r="F351" s="3470">
        <v>11.2</v>
      </c>
      <c r="G351" s="3463">
        <v>6.92</v>
      </c>
      <c r="H351" s="3471"/>
    </row>
    <row r="352" spans="2:8">
      <c r="B352">
        <v>348</v>
      </c>
      <c r="C352" s="3467" t="s">
        <v>4018</v>
      </c>
      <c r="D352" s="3468"/>
      <c r="E352" s="3463">
        <v>18.12</v>
      </c>
      <c r="F352" s="3470">
        <v>11.2</v>
      </c>
      <c r="G352" s="3463">
        <v>6.92</v>
      </c>
      <c r="H352" s="3471"/>
    </row>
    <row r="353" spans="2:8">
      <c r="B353">
        <v>349</v>
      </c>
      <c r="C353" s="3467" t="s">
        <v>4019</v>
      </c>
      <c r="D353" s="3468"/>
      <c r="E353" s="3463">
        <v>27.14</v>
      </c>
      <c r="F353" s="3470">
        <v>16.78</v>
      </c>
      <c r="G353" s="3463">
        <v>10.36</v>
      </c>
      <c r="H353" s="3471"/>
    </row>
    <row r="354" spans="2:8">
      <c r="B354">
        <v>350</v>
      </c>
      <c r="C354" s="3467" t="s">
        <v>4020</v>
      </c>
      <c r="D354" s="3468"/>
      <c r="E354" s="3463">
        <v>16.95</v>
      </c>
      <c r="F354" s="3470">
        <v>10.48</v>
      </c>
      <c r="G354" s="3463">
        <v>6.47</v>
      </c>
      <c r="H354" s="3471"/>
    </row>
    <row r="355" spans="2:8">
      <c r="B355">
        <v>351</v>
      </c>
      <c r="C355" s="3467" t="s">
        <v>4021</v>
      </c>
      <c r="D355" s="3468"/>
      <c r="E355" s="3463">
        <v>20.38</v>
      </c>
      <c r="F355" s="3470">
        <v>12.6</v>
      </c>
      <c r="G355" s="3463">
        <v>7.78</v>
      </c>
      <c r="H355" s="3471"/>
    </row>
    <row r="356" spans="2:8">
      <c r="B356">
        <v>352</v>
      </c>
      <c r="C356" s="3467" t="s">
        <v>4022</v>
      </c>
      <c r="D356" s="3468"/>
      <c r="E356" s="3463">
        <v>20.38</v>
      </c>
      <c r="F356" s="3470">
        <v>12.6</v>
      </c>
      <c r="G356" s="3463">
        <v>7.78</v>
      </c>
      <c r="H356" s="3471"/>
    </row>
    <row r="357" spans="2:8">
      <c r="B357">
        <v>353</v>
      </c>
      <c r="C357" s="3467" t="s">
        <v>4023</v>
      </c>
      <c r="D357" s="3468"/>
      <c r="E357" s="3463">
        <v>20.38</v>
      </c>
      <c r="F357" s="3470">
        <v>12.6</v>
      </c>
      <c r="G357" s="3463">
        <v>7.78</v>
      </c>
      <c r="H357" s="3471"/>
    </row>
    <row r="358" spans="2:8">
      <c r="B358">
        <v>354</v>
      </c>
      <c r="C358" s="3467" t="s">
        <v>4024</v>
      </c>
      <c r="D358" s="3468"/>
      <c r="E358" s="3463">
        <v>20.38</v>
      </c>
      <c r="F358" s="3470">
        <v>12.6</v>
      </c>
      <c r="G358" s="3463">
        <v>7.78</v>
      </c>
      <c r="H358" s="3471"/>
    </row>
    <row r="359" spans="2:8">
      <c r="B359">
        <v>355</v>
      </c>
      <c r="C359" s="3467" t="s">
        <v>4025</v>
      </c>
      <c r="D359" s="3468"/>
      <c r="E359" s="3463">
        <v>26.72</v>
      </c>
      <c r="F359" s="3470">
        <v>16.52</v>
      </c>
      <c r="G359" s="3463">
        <v>10.199999999999999</v>
      </c>
      <c r="H359" s="3471"/>
    </row>
    <row r="360" spans="2:8">
      <c r="B360">
        <v>356</v>
      </c>
      <c r="C360" s="3467" t="s">
        <v>4026</v>
      </c>
      <c r="D360" s="3468"/>
      <c r="E360" s="3463">
        <v>29.96</v>
      </c>
      <c r="F360" s="3470">
        <v>18.52</v>
      </c>
      <c r="G360" s="3463">
        <v>11.44</v>
      </c>
      <c r="H360" s="3471"/>
    </row>
    <row r="361" spans="2:8">
      <c r="B361">
        <v>357</v>
      </c>
      <c r="C361" s="3467" t="s">
        <v>4027</v>
      </c>
      <c r="D361" s="3468"/>
      <c r="E361" s="3463">
        <v>21.82</v>
      </c>
      <c r="F361" s="3470">
        <v>13.49</v>
      </c>
      <c r="G361" s="3463">
        <v>8.33</v>
      </c>
      <c r="H361" s="3471"/>
    </row>
    <row r="362" spans="2:8">
      <c r="B362">
        <v>358</v>
      </c>
      <c r="C362" s="3467" t="s">
        <v>4028</v>
      </c>
      <c r="D362" s="3468"/>
      <c r="E362" s="3463">
        <v>23.31</v>
      </c>
      <c r="F362" s="3470">
        <v>14.41</v>
      </c>
      <c r="G362" s="3463">
        <v>8.9</v>
      </c>
      <c r="H362" s="3471"/>
    </row>
    <row r="363" spans="2:8">
      <c r="B363">
        <v>359</v>
      </c>
      <c r="C363" s="3467" t="s">
        <v>4029</v>
      </c>
      <c r="D363" s="3468"/>
      <c r="E363" s="3463">
        <v>25.64</v>
      </c>
      <c r="F363" s="3470">
        <v>15.85</v>
      </c>
      <c r="G363" s="3463">
        <v>9.7899999999999991</v>
      </c>
      <c r="H363" s="3471"/>
    </row>
    <row r="364" spans="2:8">
      <c r="B364">
        <v>360</v>
      </c>
      <c r="C364" s="3467" t="s">
        <v>4030</v>
      </c>
      <c r="D364" s="3468"/>
      <c r="E364" s="3463">
        <v>18.93</v>
      </c>
      <c r="F364" s="3470">
        <v>11.7</v>
      </c>
      <c r="G364" s="3463">
        <v>7.23</v>
      </c>
      <c r="H364" s="3471"/>
    </row>
    <row r="365" spans="2:8">
      <c r="B365">
        <v>361</v>
      </c>
      <c r="C365" s="3467" t="s">
        <v>4031</v>
      </c>
      <c r="D365" s="3468"/>
      <c r="E365" s="3463">
        <v>2497.06</v>
      </c>
      <c r="F365" s="3470">
        <v>2248.21</v>
      </c>
      <c r="G365" s="3463">
        <v>248.85</v>
      </c>
      <c r="H365" s="3480" t="s">
        <v>4032</v>
      </c>
    </row>
    <row r="366" spans="2:8">
      <c r="B366">
        <v>362</v>
      </c>
      <c r="C366" s="3467" t="s">
        <v>4033</v>
      </c>
      <c r="D366" s="3468"/>
      <c r="E366" s="3463">
        <v>303.44</v>
      </c>
      <c r="F366" s="3470">
        <v>273.2</v>
      </c>
      <c r="G366" s="3463">
        <v>30.24</v>
      </c>
      <c r="H366" s="3480" t="s">
        <v>4032</v>
      </c>
    </row>
    <row r="367" spans="2:8">
      <c r="B367">
        <v>363</v>
      </c>
      <c r="C367" s="3467" t="s">
        <v>4034</v>
      </c>
      <c r="D367" s="3468"/>
      <c r="E367" s="3463">
        <v>338.9</v>
      </c>
      <c r="F367" s="3470">
        <v>305.13</v>
      </c>
      <c r="G367" s="3463">
        <v>33.770000000000003</v>
      </c>
      <c r="H367" s="3480" t="s">
        <v>4032</v>
      </c>
    </row>
    <row r="368" spans="2:8">
      <c r="B368">
        <v>364</v>
      </c>
      <c r="C368" s="3467" t="s">
        <v>4035</v>
      </c>
      <c r="D368" s="3468"/>
      <c r="E368" s="3463">
        <v>142.26</v>
      </c>
      <c r="F368" s="3470">
        <v>128.08000000000001</v>
      </c>
      <c r="G368" s="3463">
        <v>14.18</v>
      </c>
      <c r="H368" s="3480" t="s">
        <v>4032</v>
      </c>
    </row>
    <row r="369" spans="2:8">
      <c r="B369">
        <v>365</v>
      </c>
      <c r="C369" s="3467" t="s">
        <v>4036</v>
      </c>
      <c r="D369" s="3468"/>
      <c r="E369" s="3463">
        <v>107.53</v>
      </c>
      <c r="F369" s="3470">
        <v>96.81</v>
      </c>
      <c r="G369" s="3463">
        <v>10.72</v>
      </c>
      <c r="H369" s="3480"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3"/>
      <c r="B3" s="3533"/>
      <c r="C3" s="3533"/>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86463</v>
      </c>
      <c r="E4" s="854">
        <f ca="1">结果表!E118</f>
        <v>28207</v>
      </c>
      <c r="F4" s="854">
        <f ca="1">结果表!F118</f>
        <v>25826</v>
      </c>
      <c r="G4" s="854">
        <f ca="1">结果表!G118</f>
        <v>8425</v>
      </c>
      <c r="H4" s="854">
        <f ca="1">结果表!H118</f>
        <v>112289</v>
      </c>
      <c r="I4" s="854">
        <f ca="1">结果表!I118</f>
        <v>36632</v>
      </c>
    </row>
    <row r="5" spans="1:9" ht="30" customHeight="1">
      <c r="A5" s="3533" t="s">
        <v>927</v>
      </c>
      <c r="B5" s="3533"/>
      <c r="C5" s="3533"/>
      <c r="D5" s="3533" t="str">
        <f ca="1">结果表!D119</f>
        <v>捌亿陆仟肆佰陆拾叁万元整</v>
      </c>
      <c r="E5" s="3533"/>
      <c r="F5" s="3533" t="str">
        <f ca="1">结果表!F119</f>
        <v>贰亿伍仟捌佰贰拾陆万元整</v>
      </c>
      <c r="G5" s="3533"/>
      <c r="H5" s="3533" t="str">
        <f ca="1">结果表!H119</f>
        <v>壹拾壹亿贰仟贰佰捌拾玖万元整</v>
      </c>
      <c r="I5" s="3533"/>
    </row>
    <row r="6" spans="1:9" ht="15.75">
      <c r="A6" s="3532" t="str">
        <f>结果表!A120</f>
        <v>估价师知悉的法定优先受偿款</v>
      </c>
      <c r="B6" s="3532"/>
      <c r="C6" s="3532"/>
      <c r="D6" s="3532">
        <f>结果表!D120</f>
        <v>0</v>
      </c>
      <c r="E6" s="3532"/>
      <c r="F6" s="3532"/>
      <c r="G6" s="3532"/>
      <c r="H6" s="3532"/>
      <c r="I6" s="3532"/>
    </row>
    <row r="7" spans="1:9" ht="15">
      <c r="A7" s="3533" t="s">
        <v>927</v>
      </c>
      <c r="B7" s="3533"/>
      <c r="C7" s="3533"/>
      <c r="D7" s="3534" t="str">
        <f>结果表!D121</f>
        <v>零元整</v>
      </c>
      <c r="E7" s="3535"/>
      <c r="F7" s="3535"/>
      <c r="G7" s="3535"/>
      <c r="H7" s="3535"/>
      <c r="I7" s="3536"/>
    </row>
    <row r="8" spans="1:9" ht="15.75">
      <c r="A8" s="3532" t="str">
        <f>结果表!A122</f>
        <v>房地产抵押价值</v>
      </c>
      <c r="B8" s="3532"/>
      <c r="C8" s="3532"/>
      <c r="D8" s="3532">
        <f ca="1">结果表!D122</f>
        <v>112289</v>
      </c>
      <c r="E8" s="3532"/>
      <c r="F8" s="3532"/>
      <c r="G8" s="3532"/>
      <c r="H8" s="3532"/>
      <c r="I8" s="3532"/>
    </row>
    <row r="9" spans="1:9" ht="15">
      <c r="A9" s="3533" t="s">
        <v>927</v>
      </c>
      <c r="B9" s="3533"/>
      <c r="C9" s="3533"/>
      <c r="D9" s="3533" t="str">
        <f ca="1">结果表!D123</f>
        <v>壹拾壹亿贰仟贰佰捌拾玖万元整</v>
      </c>
      <c r="E9" s="3533"/>
      <c r="F9" s="3533"/>
      <c r="G9" s="3533"/>
      <c r="H9" s="3533"/>
      <c r="I9" s="3533"/>
    </row>
    <row r="10" spans="1:9" ht="15.75">
      <c r="A10" s="3532" t="str">
        <f>结果表!A124</f>
        <v/>
      </c>
      <c r="B10" s="3532"/>
      <c r="C10" s="3532"/>
      <c r="D10" s="3532" t="str">
        <f>结果表!D124</f>
        <v>——</v>
      </c>
      <c r="E10" s="3532"/>
      <c r="F10" s="3532"/>
      <c r="G10" s="3532"/>
      <c r="H10" s="3532"/>
      <c r="I10" s="3532"/>
    </row>
    <row r="11" spans="1:9" ht="15">
      <c r="A11" s="3533" t="s">
        <v>927</v>
      </c>
      <c r="B11" s="3533"/>
      <c r="C11" s="3533"/>
      <c r="D11" s="3533" t="e">
        <f>结果表!D125</f>
        <v>#VALUE!</v>
      </c>
      <c r="E11" s="3533"/>
      <c r="F11" s="3533"/>
      <c r="G11" s="3533"/>
      <c r="H11" s="3533"/>
      <c r="I11" s="3533"/>
    </row>
    <row r="12" spans="1:9" ht="15.75">
      <c r="A12" s="3532" t="str">
        <f>结果表!A126</f>
        <v/>
      </c>
      <c r="B12" s="3532"/>
      <c r="C12" s="3532"/>
      <c r="D12" s="3532" t="str">
        <f>结果表!D126</f>
        <v>——</v>
      </c>
      <c r="E12" s="3532"/>
      <c r="F12" s="3532"/>
      <c r="G12" s="3532"/>
      <c r="H12" s="3532"/>
      <c r="I12" s="3532"/>
    </row>
    <row r="13" spans="1:9" ht="15.75" thickBot="1">
      <c r="A13" s="3530" t="s">
        <v>927</v>
      </c>
      <c r="B13" s="3530"/>
      <c r="C13" s="3530"/>
      <c r="D13" s="3530" t="e">
        <f>结果表!D127</f>
        <v>#VALUE!</v>
      </c>
      <c r="E13" s="3530"/>
      <c r="F13" s="3530"/>
      <c r="G13" s="3530"/>
      <c r="H13" s="3530"/>
      <c r="I13" s="3530"/>
    </row>
    <row r="14" spans="1:9" ht="15" thickTop="1">
      <c r="A14" s="3531" t="s">
        <v>932</v>
      </c>
      <c r="B14" s="3531"/>
      <c r="C14" s="3531"/>
      <c r="D14" s="3531"/>
      <c r="E14" s="3531"/>
      <c r="F14" s="3531"/>
      <c r="G14" s="3531"/>
      <c r="H14" s="3531"/>
      <c r="I14" s="353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3.5"/>
  <sheetData>
    <row r="1" spans="1:6" ht="26.25" thickBot="1">
      <c r="A1" s="3502" t="s">
        <v>4067</v>
      </c>
      <c r="B1" s="3503" t="s">
        <v>4068</v>
      </c>
      <c r="C1" s="3504" t="s">
        <v>4069</v>
      </c>
      <c r="D1" s="3504" t="s">
        <v>4070</v>
      </c>
      <c r="E1" s="3503" t="s">
        <v>4071</v>
      </c>
      <c r="F1" s="3504" t="s">
        <v>672</v>
      </c>
    </row>
    <row r="2" spans="1:6" ht="26.25" thickBot="1">
      <c r="A2" s="3505">
        <v>1</v>
      </c>
      <c r="B2" s="3506" t="s">
        <v>4072</v>
      </c>
      <c r="C2" s="3507" t="s">
        <v>4073</v>
      </c>
      <c r="D2" s="3507" t="s">
        <v>3442</v>
      </c>
      <c r="E2" s="3508">
        <v>103.76</v>
      </c>
      <c r="F2" s="3509" t="s">
        <v>673</v>
      </c>
    </row>
    <row r="3" spans="1:6" ht="26.25" thickBot="1">
      <c r="A3" s="3505">
        <v>2</v>
      </c>
      <c r="B3" s="3506" t="s">
        <v>4072</v>
      </c>
      <c r="C3" s="3507" t="s">
        <v>4073</v>
      </c>
      <c r="D3" s="3507" t="s">
        <v>3443</v>
      </c>
      <c r="E3" s="3508">
        <v>131.41999999999999</v>
      </c>
      <c r="F3" s="3509" t="s">
        <v>673</v>
      </c>
    </row>
    <row r="4" spans="1:6" ht="26.25" thickBot="1">
      <c r="A4" s="3505">
        <v>3</v>
      </c>
      <c r="B4" s="3506" t="s">
        <v>4072</v>
      </c>
      <c r="C4" s="3507" t="s">
        <v>4073</v>
      </c>
      <c r="D4" s="3507" t="s">
        <v>3444</v>
      </c>
      <c r="E4" s="3508">
        <v>207.41</v>
      </c>
      <c r="F4" s="3509" t="s">
        <v>673</v>
      </c>
    </row>
    <row r="5" spans="1:6" ht="26.25" thickBot="1">
      <c r="A5" s="3505">
        <v>4</v>
      </c>
      <c r="B5" s="3506" t="s">
        <v>4072</v>
      </c>
      <c r="C5" s="3507" t="s">
        <v>4073</v>
      </c>
      <c r="D5" s="3507" t="s">
        <v>3445</v>
      </c>
      <c r="E5" s="3508">
        <v>233.04</v>
      </c>
      <c r="F5" s="3509" t="s">
        <v>673</v>
      </c>
    </row>
    <row r="6" spans="1:6" ht="26.25" thickBot="1">
      <c r="A6" s="3505">
        <v>5</v>
      </c>
      <c r="B6" s="3506" t="s">
        <v>4072</v>
      </c>
      <c r="C6" s="3507" t="s">
        <v>4073</v>
      </c>
      <c r="D6" s="3507" t="s">
        <v>3446</v>
      </c>
      <c r="E6" s="3508">
        <v>131.44</v>
      </c>
      <c r="F6" s="3509" t="s">
        <v>673</v>
      </c>
    </row>
    <row r="7" spans="1:6" ht="26.25" thickBot="1">
      <c r="A7" s="3505">
        <v>6</v>
      </c>
      <c r="B7" s="3506" t="s">
        <v>4072</v>
      </c>
      <c r="C7" s="3507" t="s">
        <v>4073</v>
      </c>
      <c r="D7" s="3507" t="s">
        <v>3447</v>
      </c>
      <c r="E7" s="3508">
        <v>141.63</v>
      </c>
      <c r="F7" s="3509" t="s">
        <v>673</v>
      </c>
    </row>
    <row r="8" spans="1:6" ht="26.25" thickBot="1">
      <c r="A8" s="3505">
        <v>7</v>
      </c>
      <c r="B8" s="3506" t="s">
        <v>4072</v>
      </c>
      <c r="C8" s="3507" t="s">
        <v>4073</v>
      </c>
      <c r="D8" s="3507" t="s">
        <v>3459</v>
      </c>
      <c r="E8" s="3508">
        <v>110.76</v>
      </c>
      <c r="F8" s="3509" t="s">
        <v>673</v>
      </c>
    </row>
    <row r="9" spans="1:6" ht="26.25" thickBot="1">
      <c r="A9" s="3505">
        <v>8</v>
      </c>
      <c r="B9" s="3506" t="s">
        <v>4072</v>
      </c>
      <c r="C9" s="3507" t="s">
        <v>4073</v>
      </c>
      <c r="D9" s="3507" t="s">
        <v>3460</v>
      </c>
      <c r="E9" s="3508">
        <v>110.09</v>
      </c>
      <c r="F9" s="3509" t="s">
        <v>673</v>
      </c>
    </row>
    <row r="10" spans="1:6" ht="26.25" thickBot="1">
      <c r="A10" s="3505">
        <v>9</v>
      </c>
      <c r="B10" s="3506" t="s">
        <v>4072</v>
      </c>
      <c r="C10" s="3507" t="s">
        <v>4073</v>
      </c>
      <c r="D10" s="3507" t="s">
        <v>3461</v>
      </c>
      <c r="E10" s="3508">
        <v>110.24</v>
      </c>
      <c r="F10" s="3509" t="s">
        <v>673</v>
      </c>
    </row>
    <row r="11" spans="1:6" ht="26.25" thickBot="1">
      <c r="A11" s="3505">
        <v>10</v>
      </c>
      <c r="B11" s="3506" t="s">
        <v>4072</v>
      </c>
      <c r="C11" s="3507" t="s">
        <v>4073</v>
      </c>
      <c r="D11" s="3507" t="s">
        <v>3462</v>
      </c>
      <c r="E11" s="3508">
        <v>111.38</v>
      </c>
      <c r="F11" s="3509" t="s">
        <v>673</v>
      </c>
    </row>
    <row r="12" spans="1:6" ht="26.25" thickBot="1">
      <c r="A12" s="3505">
        <v>11</v>
      </c>
      <c r="B12" s="3506" t="s">
        <v>4072</v>
      </c>
      <c r="C12" s="3507" t="s">
        <v>4073</v>
      </c>
      <c r="D12" s="3507" t="s">
        <v>3463</v>
      </c>
      <c r="E12" s="3508">
        <v>113.73</v>
      </c>
      <c r="F12" s="3509" t="s">
        <v>673</v>
      </c>
    </row>
    <row r="13" spans="1:6" ht="26.25" thickBot="1">
      <c r="A13" s="3505">
        <v>12</v>
      </c>
      <c r="B13" s="3506" t="s">
        <v>4072</v>
      </c>
      <c r="C13" s="3507" t="s">
        <v>4073</v>
      </c>
      <c r="D13" s="3507" t="s">
        <v>3464</v>
      </c>
      <c r="E13" s="3508">
        <v>118.5</v>
      </c>
      <c r="F13" s="3509" t="s">
        <v>673</v>
      </c>
    </row>
    <row r="14" spans="1:6" ht="26.25" thickBot="1">
      <c r="A14" s="3505">
        <v>13</v>
      </c>
      <c r="B14" s="3506" t="s">
        <v>4072</v>
      </c>
      <c r="C14" s="3507" t="s">
        <v>4073</v>
      </c>
      <c r="D14" s="3507" t="s">
        <v>3465</v>
      </c>
      <c r="E14" s="3508">
        <v>119.87</v>
      </c>
      <c r="F14" s="3509" t="s">
        <v>673</v>
      </c>
    </row>
    <row r="15" spans="1:6" ht="26.25" thickBot="1">
      <c r="A15" s="3505">
        <v>14</v>
      </c>
      <c r="B15" s="3506" t="s">
        <v>4072</v>
      </c>
      <c r="C15" s="3507" t="s">
        <v>4073</v>
      </c>
      <c r="D15" s="3507" t="s">
        <v>3466</v>
      </c>
      <c r="E15" s="3508">
        <v>210.32</v>
      </c>
      <c r="F15" s="3509" t="s">
        <v>673</v>
      </c>
    </row>
    <row r="16" spans="1:6" ht="26.25" thickBot="1">
      <c r="A16" s="3505">
        <v>15</v>
      </c>
      <c r="B16" s="3506" t="s">
        <v>4072</v>
      </c>
      <c r="C16" s="3507" t="s">
        <v>4073</v>
      </c>
      <c r="D16" s="3507" t="s">
        <v>3467</v>
      </c>
      <c r="E16" s="3508">
        <v>201.91</v>
      </c>
      <c r="F16" s="3509" t="s">
        <v>673</v>
      </c>
    </row>
    <row r="17" spans="1:6" ht="26.25" thickBot="1">
      <c r="A17" s="3505">
        <v>16</v>
      </c>
      <c r="B17" s="3506" t="s">
        <v>4072</v>
      </c>
      <c r="C17" s="3507" t="s">
        <v>4073</v>
      </c>
      <c r="D17" s="3507" t="s">
        <v>3468</v>
      </c>
      <c r="E17" s="3508">
        <v>151.43</v>
      </c>
      <c r="F17" s="3509" t="s">
        <v>673</v>
      </c>
    </row>
    <row r="18" spans="1:6" ht="26.25" thickBot="1">
      <c r="A18" s="3505">
        <v>17</v>
      </c>
      <c r="B18" s="3506" t="s">
        <v>4072</v>
      </c>
      <c r="C18" s="3507" t="s">
        <v>4073</v>
      </c>
      <c r="D18" s="3507" t="s">
        <v>3469</v>
      </c>
      <c r="E18" s="3508">
        <v>145.43</v>
      </c>
      <c r="F18" s="3509" t="s">
        <v>673</v>
      </c>
    </row>
    <row r="19" spans="1:6" ht="26.25" thickBot="1">
      <c r="A19" s="3505">
        <v>18</v>
      </c>
      <c r="B19" s="3506" t="s">
        <v>4072</v>
      </c>
      <c r="C19" s="3507" t="s">
        <v>4073</v>
      </c>
      <c r="D19" s="3507" t="s">
        <v>3470</v>
      </c>
      <c r="E19" s="3508">
        <v>97.88</v>
      </c>
      <c r="F19" s="3509" t="s">
        <v>673</v>
      </c>
    </row>
    <row r="20" spans="1:6" ht="26.25" thickBot="1">
      <c r="A20" s="3505">
        <v>19</v>
      </c>
      <c r="B20" s="3506" t="s">
        <v>4072</v>
      </c>
      <c r="C20" s="3507" t="s">
        <v>4073</v>
      </c>
      <c r="D20" s="3507" t="s">
        <v>3473</v>
      </c>
      <c r="E20" s="3508">
        <v>93.4</v>
      </c>
      <c r="F20" s="3509" t="s">
        <v>673</v>
      </c>
    </row>
    <row r="21" spans="1:6" ht="26.25" thickBot="1">
      <c r="A21" s="3505">
        <v>20</v>
      </c>
      <c r="B21" s="3506" t="s">
        <v>4072</v>
      </c>
      <c r="C21" s="3507" t="s">
        <v>4073</v>
      </c>
      <c r="D21" s="3507" t="s">
        <v>3476</v>
      </c>
      <c r="E21" s="3508">
        <v>79.53</v>
      </c>
      <c r="F21" s="3509" t="s">
        <v>673</v>
      </c>
    </row>
    <row r="22" spans="1:6" ht="26.25" thickBot="1">
      <c r="A22" s="3505">
        <v>21</v>
      </c>
      <c r="B22" s="3506" t="s">
        <v>4072</v>
      </c>
      <c r="C22" s="3507" t="s">
        <v>4073</v>
      </c>
      <c r="D22" s="3507" t="s">
        <v>3477</v>
      </c>
      <c r="E22" s="3508">
        <v>326.7</v>
      </c>
      <c r="F22" s="3509" t="s">
        <v>673</v>
      </c>
    </row>
    <row r="23" spans="1:6" ht="26.25" thickBot="1">
      <c r="A23" s="3505">
        <v>22</v>
      </c>
      <c r="B23" s="3506" t="s">
        <v>4072</v>
      </c>
      <c r="C23" s="3507" t="s">
        <v>4073</v>
      </c>
      <c r="D23" s="3507" t="s">
        <v>3482</v>
      </c>
      <c r="E23" s="3508">
        <v>29.65</v>
      </c>
      <c r="F23" s="3509" t="s">
        <v>673</v>
      </c>
    </row>
    <row r="24" spans="1:6" ht="26.25" thickBot="1">
      <c r="A24" s="3505">
        <v>23</v>
      </c>
      <c r="B24" s="3506" t="s">
        <v>4072</v>
      </c>
      <c r="C24" s="3507" t="s">
        <v>4073</v>
      </c>
      <c r="D24" s="3507" t="s">
        <v>3483</v>
      </c>
      <c r="E24" s="3508">
        <v>38.31</v>
      </c>
      <c r="F24" s="3509" t="s">
        <v>673</v>
      </c>
    </row>
    <row r="25" spans="1:6" ht="26.25" thickBot="1">
      <c r="A25" s="3505">
        <v>24</v>
      </c>
      <c r="B25" s="3506" t="s">
        <v>4072</v>
      </c>
      <c r="C25" s="3507" t="s">
        <v>4073</v>
      </c>
      <c r="D25" s="3507" t="s">
        <v>3484</v>
      </c>
      <c r="E25" s="3508">
        <v>171.57</v>
      </c>
      <c r="F25" s="3509" t="s">
        <v>673</v>
      </c>
    </row>
    <row r="26" spans="1:6" ht="26.25" thickBot="1">
      <c r="A26" s="3505">
        <v>25</v>
      </c>
      <c r="B26" s="3506" t="s">
        <v>4072</v>
      </c>
      <c r="C26" s="3507" t="s">
        <v>4073</v>
      </c>
      <c r="D26" s="3507" t="s">
        <v>3487</v>
      </c>
      <c r="E26" s="3508">
        <v>118.36</v>
      </c>
      <c r="F26" s="3509" t="s">
        <v>673</v>
      </c>
    </row>
    <row r="27" spans="1:6" ht="26.25" thickBot="1">
      <c r="A27" s="3505">
        <v>26</v>
      </c>
      <c r="B27" s="3506" t="s">
        <v>4072</v>
      </c>
      <c r="C27" s="3507" t="s">
        <v>4073</v>
      </c>
      <c r="D27" s="3507" t="s">
        <v>3489</v>
      </c>
      <c r="E27" s="3508">
        <v>115.1</v>
      </c>
      <c r="F27" s="3509" t="s">
        <v>673</v>
      </c>
    </row>
    <row r="28" spans="1:6" ht="26.25" thickBot="1">
      <c r="A28" s="3505">
        <v>27</v>
      </c>
      <c r="B28" s="3506" t="s">
        <v>4072</v>
      </c>
      <c r="C28" s="3507" t="s">
        <v>4073</v>
      </c>
      <c r="D28" s="3507" t="s">
        <v>3490</v>
      </c>
      <c r="E28" s="3508">
        <v>114.54</v>
      </c>
      <c r="F28" s="3509" t="s">
        <v>673</v>
      </c>
    </row>
    <row r="29" spans="1:6" ht="26.25" thickBot="1">
      <c r="A29" s="3505">
        <v>28</v>
      </c>
      <c r="B29" s="3506" t="s">
        <v>4072</v>
      </c>
      <c r="C29" s="3507" t="s">
        <v>4073</v>
      </c>
      <c r="D29" s="3507" t="s">
        <v>3493</v>
      </c>
      <c r="E29" s="3508">
        <v>114.49</v>
      </c>
      <c r="F29" s="3509" t="s">
        <v>673</v>
      </c>
    </row>
    <row r="30" spans="1:6" ht="26.25" thickBot="1">
      <c r="A30" s="3505">
        <v>29</v>
      </c>
      <c r="B30" s="3506" t="s">
        <v>4072</v>
      </c>
      <c r="C30" s="3507" t="s">
        <v>4073</v>
      </c>
      <c r="D30" s="3507" t="s">
        <v>3503</v>
      </c>
      <c r="E30" s="3508">
        <v>235.42</v>
      </c>
      <c r="F30" s="3509" t="s">
        <v>673</v>
      </c>
    </row>
    <row r="31" spans="1:6" ht="26.25" thickBot="1">
      <c r="A31" s="3505">
        <v>30</v>
      </c>
      <c r="B31" s="3506" t="s">
        <v>4072</v>
      </c>
      <c r="C31" s="3507" t="s">
        <v>4073</v>
      </c>
      <c r="D31" s="3507" t="s">
        <v>3542</v>
      </c>
      <c r="E31" s="3508">
        <v>77.569999999999993</v>
      </c>
      <c r="F31" s="3509" t="s">
        <v>673</v>
      </c>
    </row>
    <row r="32" spans="1:6" ht="26.25" thickBot="1">
      <c r="A32" s="3505">
        <v>31</v>
      </c>
      <c r="B32" s="3506" t="s">
        <v>4072</v>
      </c>
      <c r="C32" s="3507" t="s">
        <v>4073</v>
      </c>
      <c r="D32" s="3509" t="s">
        <v>3543</v>
      </c>
      <c r="E32" s="3508">
        <v>3076.77</v>
      </c>
      <c r="F32" s="3509" t="s">
        <v>673</v>
      </c>
    </row>
    <row r="33" spans="1:6" ht="26.25" thickBot="1">
      <c r="A33" s="3505">
        <v>32</v>
      </c>
      <c r="B33" s="3506" t="s">
        <v>4072</v>
      </c>
      <c r="C33" s="3507" t="s">
        <v>4074</v>
      </c>
      <c r="D33" s="3507" t="s">
        <v>3561</v>
      </c>
      <c r="E33" s="3508">
        <v>84.63</v>
      </c>
      <c r="F33" s="3509" t="s">
        <v>673</v>
      </c>
    </row>
    <row r="34" spans="1:6" ht="26.25" thickBot="1">
      <c r="A34" s="3505">
        <v>33</v>
      </c>
      <c r="B34" s="3506" t="s">
        <v>4072</v>
      </c>
      <c r="C34" s="3507" t="s">
        <v>4074</v>
      </c>
      <c r="D34" s="3507" t="s">
        <v>3576</v>
      </c>
      <c r="E34" s="3508">
        <v>76.319999999999993</v>
      </c>
      <c r="F34" s="3509" t="s">
        <v>673</v>
      </c>
    </row>
    <row r="35" spans="1:6" ht="26.25" thickBot="1">
      <c r="A35" s="3505">
        <v>34</v>
      </c>
      <c r="B35" s="3506" t="s">
        <v>4072</v>
      </c>
      <c r="C35" s="3507" t="s">
        <v>4074</v>
      </c>
      <c r="D35" s="3507" t="s">
        <v>3577</v>
      </c>
      <c r="E35" s="3508">
        <v>72.78</v>
      </c>
      <c r="F35" s="3509" t="s">
        <v>673</v>
      </c>
    </row>
    <row r="36" spans="1:6" ht="26.25" thickBot="1">
      <c r="A36" s="3505">
        <v>35</v>
      </c>
      <c r="B36" s="3506" t="s">
        <v>4072</v>
      </c>
      <c r="C36" s="3507" t="s">
        <v>4074</v>
      </c>
      <c r="D36" s="3507" t="s">
        <v>3578</v>
      </c>
      <c r="E36" s="3508">
        <v>85.99</v>
      </c>
      <c r="F36" s="3509" t="s">
        <v>673</v>
      </c>
    </row>
    <row r="37" spans="1:6" ht="26.25" thickBot="1">
      <c r="A37" s="3505">
        <v>36</v>
      </c>
      <c r="B37" s="3506" t="s">
        <v>4072</v>
      </c>
      <c r="C37" s="3507" t="s">
        <v>4074</v>
      </c>
      <c r="D37" s="3507" t="s">
        <v>3579</v>
      </c>
      <c r="E37" s="3508">
        <v>161.41</v>
      </c>
      <c r="F37" s="3509" t="s">
        <v>673</v>
      </c>
    </row>
    <row r="38" spans="1:6" ht="26.25" thickBot="1">
      <c r="A38" s="3505">
        <v>37</v>
      </c>
      <c r="B38" s="3506" t="s">
        <v>4072</v>
      </c>
      <c r="C38" s="3507" t="s">
        <v>4074</v>
      </c>
      <c r="D38" s="3507" t="s">
        <v>3580</v>
      </c>
      <c r="E38" s="3508">
        <v>112.51</v>
      </c>
      <c r="F38" s="3509" t="s">
        <v>673</v>
      </c>
    </row>
    <row r="39" spans="1:6" ht="26.25" thickBot="1">
      <c r="A39" s="3505">
        <v>38</v>
      </c>
      <c r="B39" s="3506" t="s">
        <v>4072</v>
      </c>
      <c r="C39" s="3507" t="s">
        <v>4074</v>
      </c>
      <c r="D39" s="3507" t="s">
        <v>3581</v>
      </c>
      <c r="E39" s="3508">
        <v>119.68</v>
      </c>
      <c r="F39" s="3509" t="s">
        <v>673</v>
      </c>
    </row>
    <row r="40" spans="1:6" ht="26.25" thickBot="1">
      <c r="A40" s="3505">
        <v>39</v>
      </c>
      <c r="B40" s="3506" t="s">
        <v>4072</v>
      </c>
      <c r="C40" s="3507" t="s">
        <v>4074</v>
      </c>
      <c r="D40" s="3507" t="s">
        <v>3582</v>
      </c>
      <c r="E40" s="3508">
        <v>120.73</v>
      </c>
      <c r="F40" s="3509" t="s">
        <v>673</v>
      </c>
    </row>
    <row r="41" spans="1:6" ht="26.25" thickBot="1">
      <c r="A41" s="3505">
        <v>40</v>
      </c>
      <c r="B41" s="3506" t="s">
        <v>4072</v>
      </c>
      <c r="C41" s="3507" t="s">
        <v>4074</v>
      </c>
      <c r="D41" s="3507" t="s">
        <v>3583</v>
      </c>
      <c r="E41" s="3508">
        <v>177.17</v>
      </c>
      <c r="F41" s="3509" t="s">
        <v>673</v>
      </c>
    </row>
    <row r="42" spans="1:6" ht="26.25" thickBot="1">
      <c r="A42" s="3505">
        <v>41</v>
      </c>
      <c r="B42" s="3506" t="s">
        <v>4072</v>
      </c>
      <c r="C42" s="3507" t="s">
        <v>4074</v>
      </c>
      <c r="D42" s="3507" t="s">
        <v>3584</v>
      </c>
      <c r="E42" s="3508">
        <v>117.46</v>
      </c>
      <c r="F42" s="3509" t="s">
        <v>673</v>
      </c>
    </row>
    <row r="43" spans="1:6" ht="26.25" thickBot="1">
      <c r="A43" s="3505">
        <v>42</v>
      </c>
      <c r="B43" s="3506" t="s">
        <v>4072</v>
      </c>
      <c r="C43" s="3507" t="s">
        <v>4074</v>
      </c>
      <c r="D43" s="3507" t="s">
        <v>3589</v>
      </c>
      <c r="E43" s="3508">
        <v>43.72</v>
      </c>
      <c r="F43" s="3509" t="s">
        <v>673</v>
      </c>
    </row>
    <row r="44" spans="1:6" ht="26.25" thickBot="1">
      <c r="A44" s="3505">
        <v>43</v>
      </c>
      <c r="B44" s="3506" t="s">
        <v>4072</v>
      </c>
      <c r="C44" s="3507" t="s">
        <v>4074</v>
      </c>
      <c r="D44" s="3507" t="s">
        <v>3590</v>
      </c>
      <c r="E44" s="3508">
        <v>111.29</v>
      </c>
      <c r="F44" s="3509" t="s">
        <v>673</v>
      </c>
    </row>
    <row r="45" spans="1:6" ht="26.25" thickBot="1">
      <c r="A45" s="3505">
        <v>44</v>
      </c>
      <c r="B45" s="3506" t="s">
        <v>4072</v>
      </c>
      <c r="C45" s="3507" t="s">
        <v>4074</v>
      </c>
      <c r="D45" s="3507" t="s">
        <v>3593</v>
      </c>
      <c r="E45" s="3508">
        <v>85.74</v>
      </c>
      <c r="F45" s="3509" t="s">
        <v>673</v>
      </c>
    </row>
    <row r="46" spans="1:6" ht="26.25" thickBot="1">
      <c r="A46" s="3505">
        <v>45</v>
      </c>
      <c r="B46" s="3506" t="s">
        <v>4072</v>
      </c>
      <c r="C46" s="3507" t="s">
        <v>4074</v>
      </c>
      <c r="D46" s="3507" t="s">
        <v>3595</v>
      </c>
      <c r="E46" s="3508">
        <v>43.99</v>
      </c>
      <c r="F46" s="3509" t="s">
        <v>673</v>
      </c>
    </row>
    <row r="47" spans="1:6" ht="26.25" thickBot="1">
      <c r="A47" s="3505">
        <v>46</v>
      </c>
      <c r="B47" s="3506" t="s">
        <v>4072</v>
      </c>
      <c r="C47" s="3507" t="s">
        <v>4074</v>
      </c>
      <c r="D47" s="3507" t="s">
        <v>3597</v>
      </c>
      <c r="E47" s="3508">
        <v>82.66</v>
      </c>
      <c r="F47" s="3509" t="s">
        <v>673</v>
      </c>
    </row>
    <row r="48" spans="1:6" ht="26.25" thickBot="1">
      <c r="A48" s="3505">
        <v>47</v>
      </c>
      <c r="B48" s="3506" t="s">
        <v>4072</v>
      </c>
      <c r="C48" s="3507" t="s">
        <v>4074</v>
      </c>
      <c r="D48" s="3507" t="s">
        <v>3599</v>
      </c>
      <c r="E48" s="3508">
        <v>100.45</v>
      </c>
      <c r="F48" s="3509" t="s">
        <v>673</v>
      </c>
    </row>
    <row r="49" spans="1:6" ht="26.25" thickBot="1">
      <c r="A49" s="3505">
        <v>48</v>
      </c>
      <c r="B49" s="3506" t="s">
        <v>4072</v>
      </c>
      <c r="C49" s="3507" t="s">
        <v>4074</v>
      </c>
      <c r="D49" s="3507" t="s">
        <v>3604</v>
      </c>
      <c r="E49" s="3508">
        <v>77.66</v>
      </c>
      <c r="F49" s="3509" t="s">
        <v>673</v>
      </c>
    </row>
    <row r="50" spans="1:6" ht="26.25" thickBot="1">
      <c r="A50" s="3505">
        <v>49</v>
      </c>
      <c r="B50" s="3506" t="s">
        <v>4072</v>
      </c>
      <c r="C50" s="3507" t="s">
        <v>4074</v>
      </c>
      <c r="D50" s="3507" t="s">
        <v>3605</v>
      </c>
      <c r="E50" s="3508">
        <v>130.63999999999999</v>
      </c>
      <c r="F50" s="3509" t="s">
        <v>673</v>
      </c>
    </row>
    <row r="51" spans="1:6" ht="26.25" thickBot="1">
      <c r="A51" s="3505">
        <v>50</v>
      </c>
      <c r="B51" s="3506" t="s">
        <v>4072</v>
      </c>
      <c r="C51" s="3507" t="s">
        <v>4074</v>
      </c>
      <c r="D51" s="3507" t="s">
        <v>3611</v>
      </c>
      <c r="E51" s="3508">
        <v>141.13</v>
      </c>
      <c r="F51" s="3509" t="s">
        <v>673</v>
      </c>
    </row>
    <row r="52" spans="1:6" ht="26.25" thickBot="1">
      <c r="A52" s="3505">
        <v>51</v>
      </c>
      <c r="B52" s="3506" t="s">
        <v>4072</v>
      </c>
      <c r="C52" s="3507" t="s">
        <v>4074</v>
      </c>
      <c r="D52" s="3507" t="s">
        <v>3612</v>
      </c>
      <c r="E52" s="3508">
        <v>290.66000000000003</v>
      </c>
      <c r="F52" s="3509" t="s">
        <v>673</v>
      </c>
    </row>
    <row r="53" spans="1:6" ht="26.25" thickBot="1">
      <c r="A53" s="3505">
        <v>52</v>
      </c>
      <c r="B53" s="3506" t="s">
        <v>4072</v>
      </c>
      <c r="C53" s="3507" t="s">
        <v>4074</v>
      </c>
      <c r="D53" s="3507" t="s">
        <v>3613</v>
      </c>
      <c r="E53" s="3508">
        <v>218.77</v>
      </c>
      <c r="F53" s="3509" t="s">
        <v>673</v>
      </c>
    </row>
    <row r="54" spans="1:6" ht="26.25" thickBot="1">
      <c r="A54" s="3505">
        <v>53</v>
      </c>
      <c r="B54" s="3506" t="s">
        <v>4072</v>
      </c>
      <c r="C54" s="3507" t="s">
        <v>4074</v>
      </c>
      <c r="D54" s="3507" t="s">
        <v>3614</v>
      </c>
      <c r="E54" s="3508">
        <v>130.09</v>
      </c>
      <c r="F54" s="3509" t="s">
        <v>673</v>
      </c>
    </row>
    <row r="55" spans="1:6" ht="26.25" thickBot="1">
      <c r="A55" s="3505">
        <v>54</v>
      </c>
      <c r="B55" s="3506" t="s">
        <v>4072</v>
      </c>
      <c r="C55" s="3507" t="s">
        <v>4074</v>
      </c>
      <c r="D55" s="3507" t="s">
        <v>3615</v>
      </c>
      <c r="E55" s="3508">
        <v>65.94</v>
      </c>
      <c r="F55" s="3509" t="s">
        <v>673</v>
      </c>
    </row>
    <row r="56" spans="1:6" ht="26.25" thickBot="1">
      <c r="A56" s="3505">
        <v>55</v>
      </c>
      <c r="B56" s="3506" t="s">
        <v>4072</v>
      </c>
      <c r="C56" s="3507" t="s">
        <v>4074</v>
      </c>
      <c r="D56" s="3507" t="s">
        <v>3616</v>
      </c>
      <c r="E56" s="3508">
        <v>117.96</v>
      </c>
      <c r="F56" s="3509" t="s">
        <v>673</v>
      </c>
    </row>
    <row r="57" spans="1:6" ht="26.25" thickBot="1">
      <c r="A57" s="3505">
        <v>56</v>
      </c>
      <c r="B57" s="3506" t="s">
        <v>4072</v>
      </c>
      <c r="C57" s="3507" t="s">
        <v>4074</v>
      </c>
      <c r="D57" s="3507" t="s">
        <v>3617</v>
      </c>
      <c r="E57" s="3508">
        <v>107.48</v>
      </c>
      <c r="F57" s="3509" t="s">
        <v>673</v>
      </c>
    </row>
    <row r="58" spans="1:6" ht="26.25" thickBot="1">
      <c r="A58" s="3505">
        <v>57</v>
      </c>
      <c r="B58" s="3506" t="s">
        <v>4072</v>
      </c>
      <c r="C58" s="3507" t="s">
        <v>4074</v>
      </c>
      <c r="D58" s="3507" t="s">
        <v>3618</v>
      </c>
      <c r="E58" s="3508">
        <v>81.67</v>
      </c>
      <c r="F58" s="3509" t="s">
        <v>673</v>
      </c>
    </row>
    <row r="59" spans="1:6" ht="26.25" thickBot="1">
      <c r="A59" s="3505">
        <v>58</v>
      </c>
      <c r="B59" s="3506" t="s">
        <v>4072</v>
      </c>
      <c r="C59" s="3507" t="s">
        <v>4074</v>
      </c>
      <c r="D59" s="3507" t="s">
        <v>3619</v>
      </c>
      <c r="E59" s="3508">
        <v>108.86</v>
      </c>
      <c r="F59" s="3509" t="s">
        <v>673</v>
      </c>
    </row>
    <row r="60" spans="1:6" ht="26.25" thickBot="1">
      <c r="A60" s="3505">
        <v>59</v>
      </c>
      <c r="B60" s="3506" t="s">
        <v>4072</v>
      </c>
      <c r="C60" s="3507" t="s">
        <v>4074</v>
      </c>
      <c r="D60" s="3507" t="s">
        <v>3620</v>
      </c>
      <c r="E60" s="3508">
        <v>197.03</v>
      </c>
      <c r="F60" s="3509" t="s">
        <v>673</v>
      </c>
    </row>
    <row r="61" spans="1:6" ht="26.25" thickBot="1">
      <c r="A61" s="3505">
        <v>60</v>
      </c>
      <c r="B61" s="3506" t="s">
        <v>4072</v>
      </c>
      <c r="C61" s="3507" t="s">
        <v>4074</v>
      </c>
      <c r="D61" s="3509" t="s">
        <v>3543</v>
      </c>
      <c r="E61" s="3508">
        <v>964.42</v>
      </c>
      <c r="F61" s="3509" t="s">
        <v>673</v>
      </c>
    </row>
    <row r="62" spans="1:6" ht="26.25" thickBot="1">
      <c r="A62" s="3505">
        <v>61</v>
      </c>
      <c r="B62" s="3506" t="s">
        <v>4072</v>
      </c>
      <c r="C62" s="3507" t="s">
        <v>4075</v>
      </c>
      <c r="D62" s="3507" t="s">
        <v>3639</v>
      </c>
      <c r="E62" s="3508">
        <v>160.07</v>
      </c>
      <c r="F62" s="3509" t="s">
        <v>673</v>
      </c>
    </row>
    <row r="63" spans="1:6" ht="26.25" thickBot="1">
      <c r="A63" s="3505">
        <v>62</v>
      </c>
      <c r="B63" s="3506" t="s">
        <v>4072</v>
      </c>
      <c r="C63" s="3507" t="s">
        <v>4075</v>
      </c>
      <c r="D63" s="3507" t="s">
        <v>3640</v>
      </c>
      <c r="E63" s="3508">
        <v>159.93</v>
      </c>
      <c r="F63" s="3509" t="s">
        <v>673</v>
      </c>
    </row>
    <row r="64" spans="1:6" ht="26.25" thickBot="1">
      <c r="A64" s="3505">
        <v>63</v>
      </c>
      <c r="B64" s="3506" t="s">
        <v>4072</v>
      </c>
      <c r="C64" s="3507" t="s">
        <v>4075</v>
      </c>
      <c r="D64" s="3507" t="s">
        <v>3642</v>
      </c>
      <c r="E64" s="3508">
        <v>147.41</v>
      </c>
      <c r="F64" s="3509" t="s">
        <v>673</v>
      </c>
    </row>
    <row r="65" spans="1:6" ht="26.25" thickBot="1">
      <c r="A65" s="3505">
        <v>64</v>
      </c>
      <c r="B65" s="3506" t="s">
        <v>4072</v>
      </c>
      <c r="C65" s="3507" t="s">
        <v>4075</v>
      </c>
      <c r="D65" s="3508" t="s">
        <v>3644</v>
      </c>
      <c r="E65" s="3508">
        <v>153.85</v>
      </c>
      <c r="F65" s="3509" t="s">
        <v>673</v>
      </c>
    </row>
    <row r="66" spans="1:6" ht="26.25" thickBot="1">
      <c r="A66" s="3505">
        <v>65</v>
      </c>
      <c r="B66" s="3506" t="s">
        <v>4072</v>
      </c>
      <c r="C66" s="3507" t="s">
        <v>4075</v>
      </c>
      <c r="D66" s="3507" t="s">
        <v>3645</v>
      </c>
      <c r="E66" s="3508">
        <v>105.51</v>
      </c>
      <c r="F66" s="3509" t="s">
        <v>673</v>
      </c>
    </row>
    <row r="67" spans="1:6" ht="26.25" thickBot="1">
      <c r="A67" s="3505">
        <v>66</v>
      </c>
      <c r="B67" s="3506" t="s">
        <v>4072</v>
      </c>
      <c r="C67" s="3507" t="s">
        <v>4075</v>
      </c>
      <c r="D67" s="3507" t="s">
        <v>3647</v>
      </c>
      <c r="E67" s="3508">
        <v>105.44</v>
      </c>
      <c r="F67" s="3509" t="s">
        <v>673</v>
      </c>
    </row>
    <row r="68" spans="1:6" ht="26.25" thickBot="1">
      <c r="A68" s="3505">
        <v>67</v>
      </c>
      <c r="B68" s="3506" t="s">
        <v>4072</v>
      </c>
      <c r="C68" s="3507" t="s">
        <v>4075</v>
      </c>
      <c r="D68" s="3507" t="s">
        <v>3651</v>
      </c>
      <c r="E68" s="3508">
        <v>179.7</v>
      </c>
      <c r="F68" s="3509" t="s">
        <v>673</v>
      </c>
    </row>
    <row r="69" spans="1:6" ht="26.25" thickBot="1">
      <c r="A69" s="3505">
        <v>68</v>
      </c>
      <c r="B69" s="3506" t="s">
        <v>4072</v>
      </c>
      <c r="C69" s="3507" t="s">
        <v>4075</v>
      </c>
      <c r="D69" s="3507" t="s">
        <v>3653</v>
      </c>
      <c r="E69" s="3508">
        <v>256.01</v>
      </c>
      <c r="F69" s="3509" t="s">
        <v>673</v>
      </c>
    </row>
    <row r="70" spans="1:6" ht="26.25" thickBot="1">
      <c r="A70" s="3505">
        <v>69</v>
      </c>
      <c r="B70" s="3506" t="s">
        <v>4072</v>
      </c>
      <c r="C70" s="3507" t="s">
        <v>4076</v>
      </c>
      <c r="D70" s="3507" t="s">
        <v>3655</v>
      </c>
      <c r="E70" s="3508">
        <v>97.5</v>
      </c>
      <c r="F70" s="3509" t="s">
        <v>673</v>
      </c>
    </row>
    <row r="71" spans="1:6" ht="26.25" thickBot="1">
      <c r="A71" s="3505">
        <v>70</v>
      </c>
      <c r="B71" s="3506" t="s">
        <v>4072</v>
      </c>
      <c r="C71" s="3507" t="s">
        <v>4076</v>
      </c>
      <c r="D71" s="3507" t="s">
        <v>3656</v>
      </c>
      <c r="E71" s="3508">
        <v>63.31</v>
      </c>
      <c r="F71" s="3509" t="s">
        <v>673</v>
      </c>
    </row>
    <row r="72" spans="1:6" ht="26.25" thickBot="1">
      <c r="A72" s="3505">
        <v>71</v>
      </c>
      <c r="B72" s="3506" t="s">
        <v>4072</v>
      </c>
      <c r="C72" s="3507" t="s">
        <v>4076</v>
      </c>
      <c r="D72" s="3507" t="s">
        <v>3657</v>
      </c>
      <c r="E72" s="3508">
        <v>125.55</v>
      </c>
      <c r="F72" s="3509" t="s">
        <v>673</v>
      </c>
    </row>
    <row r="73" spans="1:6" ht="26.25" thickBot="1">
      <c r="A73" s="3505">
        <v>72</v>
      </c>
      <c r="B73" s="3506" t="s">
        <v>4072</v>
      </c>
      <c r="C73" s="3507" t="s">
        <v>4076</v>
      </c>
      <c r="D73" s="3507" t="s">
        <v>3658</v>
      </c>
      <c r="E73" s="3508">
        <v>93.8</v>
      </c>
      <c r="F73" s="3509" t="s">
        <v>673</v>
      </c>
    </row>
    <row r="74" spans="1:6" ht="26.25" thickBot="1">
      <c r="A74" s="3505">
        <v>73</v>
      </c>
      <c r="B74" s="3506" t="s">
        <v>4072</v>
      </c>
      <c r="C74" s="3507" t="s">
        <v>4076</v>
      </c>
      <c r="D74" s="3507" t="s">
        <v>3659</v>
      </c>
      <c r="E74" s="3508">
        <v>111.13</v>
      </c>
      <c r="F74" s="3509" t="s">
        <v>673</v>
      </c>
    </row>
    <row r="75" spans="1:6" ht="26.25" thickBot="1">
      <c r="A75" s="3505">
        <v>74</v>
      </c>
      <c r="B75" s="3506" t="s">
        <v>4072</v>
      </c>
      <c r="C75" s="3507" t="s">
        <v>4076</v>
      </c>
      <c r="D75" s="3507" t="s">
        <v>3660</v>
      </c>
      <c r="E75" s="3508">
        <v>43.8</v>
      </c>
      <c r="F75" s="3509" t="s">
        <v>673</v>
      </c>
    </row>
    <row r="76" spans="1:6" ht="26.25" thickBot="1">
      <c r="A76" s="3505">
        <v>75</v>
      </c>
      <c r="B76" s="3506" t="s">
        <v>4072</v>
      </c>
      <c r="C76" s="3507" t="s">
        <v>4076</v>
      </c>
      <c r="D76" s="3507" t="s">
        <v>3661</v>
      </c>
      <c r="E76" s="3508">
        <v>55.95</v>
      </c>
      <c r="F76" s="3509" t="s">
        <v>673</v>
      </c>
    </row>
    <row r="77" spans="1:6" ht="26.25" thickBot="1">
      <c r="A77" s="3505">
        <v>76</v>
      </c>
      <c r="B77" s="3506" t="s">
        <v>4072</v>
      </c>
      <c r="C77" s="3507" t="s">
        <v>4076</v>
      </c>
      <c r="D77" s="3507" t="s">
        <v>3663</v>
      </c>
      <c r="E77" s="3508">
        <v>74.010000000000005</v>
      </c>
      <c r="F77" s="3509" t="s">
        <v>673</v>
      </c>
    </row>
    <row r="78" spans="1:6" ht="26.25" thickBot="1">
      <c r="A78" s="3505">
        <v>77</v>
      </c>
      <c r="B78" s="3506" t="s">
        <v>4072</v>
      </c>
      <c r="C78" s="3507" t="s">
        <v>4076</v>
      </c>
      <c r="D78" s="3507" t="s">
        <v>3664</v>
      </c>
      <c r="E78" s="3508">
        <v>74.849999999999994</v>
      </c>
      <c r="F78" s="3509" t="s">
        <v>673</v>
      </c>
    </row>
    <row r="79" spans="1:6" ht="26.25" thickBot="1">
      <c r="A79" s="3505">
        <v>78</v>
      </c>
      <c r="B79" s="3506" t="s">
        <v>4072</v>
      </c>
      <c r="C79" s="3507" t="s">
        <v>4076</v>
      </c>
      <c r="D79" s="3507" t="s">
        <v>3666</v>
      </c>
      <c r="E79" s="3508">
        <v>92.03</v>
      </c>
      <c r="F79" s="3509" t="s">
        <v>673</v>
      </c>
    </row>
    <row r="80" spans="1:6" ht="26.25" thickBot="1">
      <c r="A80" s="3505">
        <v>79</v>
      </c>
      <c r="B80" s="3506" t="s">
        <v>4072</v>
      </c>
      <c r="C80" s="3507" t="s">
        <v>4076</v>
      </c>
      <c r="D80" s="3507" t="s">
        <v>3673</v>
      </c>
      <c r="E80" s="3508">
        <v>68.09</v>
      </c>
      <c r="F80" s="3509" t="s">
        <v>673</v>
      </c>
    </row>
    <row r="81" spans="1:6" ht="26.25" thickBot="1">
      <c r="A81" s="3505">
        <v>80</v>
      </c>
      <c r="B81" s="3506" t="s">
        <v>4072</v>
      </c>
      <c r="C81" s="3507" t="s">
        <v>4076</v>
      </c>
      <c r="D81" s="3507" t="s">
        <v>3674</v>
      </c>
      <c r="E81" s="3508">
        <v>119.47</v>
      </c>
      <c r="F81" s="3509" t="s">
        <v>673</v>
      </c>
    </row>
    <row r="82" spans="1:6" ht="26.25" thickBot="1">
      <c r="A82" s="3505">
        <v>81</v>
      </c>
      <c r="B82" s="3506" t="s">
        <v>4072</v>
      </c>
      <c r="C82" s="3507" t="s">
        <v>4076</v>
      </c>
      <c r="D82" s="3507" t="s">
        <v>3675</v>
      </c>
      <c r="E82" s="3508">
        <v>82.53</v>
      </c>
      <c r="F82" s="3509" t="s">
        <v>673</v>
      </c>
    </row>
    <row r="83" spans="1:6" ht="26.25" thickBot="1">
      <c r="A83" s="3505">
        <v>82</v>
      </c>
      <c r="B83" s="3506" t="s">
        <v>4072</v>
      </c>
      <c r="C83" s="3507" t="s">
        <v>4076</v>
      </c>
      <c r="D83" s="3507" t="s">
        <v>3676</v>
      </c>
      <c r="E83" s="3508">
        <v>28.67</v>
      </c>
      <c r="F83" s="3509" t="s">
        <v>673</v>
      </c>
    </row>
    <row r="84" spans="1:6" ht="26.25" thickBot="1">
      <c r="A84" s="3505">
        <v>83</v>
      </c>
      <c r="B84" s="3506" t="s">
        <v>4072</v>
      </c>
      <c r="C84" s="3507" t="s">
        <v>4076</v>
      </c>
      <c r="D84" s="3507" t="s">
        <v>3679</v>
      </c>
      <c r="E84" s="3508">
        <v>81.680000000000007</v>
      </c>
      <c r="F84" s="3509" t="s">
        <v>673</v>
      </c>
    </row>
    <row r="85" spans="1:6" ht="26.25" thickBot="1">
      <c r="A85" s="3505">
        <v>84</v>
      </c>
      <c r="B85" s="3506" t="s">
        <v>4072</v>
      </c>
      <c r="C85" s="3507" t="s">
        <v>4076</v>
      </c>
      <c r="D85" s="3507" t="s">
        <v>3680</v>
      </c>
      <c r="E85" s="3508">
        <v>81.59</v>
      </c>
      <c r="F85" s="3509" t="s">
        <v>673</v>
      </c>
    </row>
    <row r="86" spans="1:6" ht="26.25" thickBot="1">
      <c r="A86" s="3505">
        <v>85</v>
      </c>
      <c r="B86" s="3506" t="s">
        <v>4072</v>
      </c>
      <c r="C86" s="3507" t="s">
        <v>4076</v>
      </c>
      <c r="D86" s="3507" t="s">
        <v>3681</v>
      </c>
      <c r="E86" s="3508">
        <v>147.46</v>
      </c>
      <c r="F86" s="3509" t="s">
        <v>673</v>
      </c>
    </row>
    <row r="87" spans="1:6" ht="26.25" thickBot="1">
      <c r="A87" s="3505">
        <v>86</v>
      </c>
      <c r="B87" s="3506" t="s">
        <v>4072</v>
      </c>
      <c r="C87" s="3507" t="s">
        <v>4076</v>
      </c>
      <c r="D87" s="3507" t="s">
        <v>3682</v>
      </c>
      <c r="E87" s="3508">
        <v>81.459999999999994</v>
      </c>
      <c r="F87" s="3509" t="s">
        <v>673</v>
      </c>
    </row>
    <row r="88" spans="1:6" ht="26.25" thickBot="1">
      <c r="A88" s="3505">
        <v>87</v>
      </c>
      <c r="B88" s="3506" t="s">
        <v>4072</v>
      </c>
      <c r="C88" s="3507" t="s">
        <v>4076</v>
      </c>
      <c r="D88" s="3507" t="s">
        <v>3684</v>
      </c>
      <c r="E88" s="3508">
        <v>77.709999999999994</v>
      </c>
      <c r="F88" s="3509" t="s">
        <v>673</v>
      </c>
    </row>
    <row r="89" spans="1:6" ht="26.25" thickBot="1">
      <c r="A89" s="3505">
        <v>88</v>
      </c>
      <c r="B89" s="3506" t="s">
        <v>4072</v>
      </c>
      <c r="C89" s="3507" t="s">
        <v>4076</v>
      </c>
      <c r="D89" s="3507" t="s">
        <v>3685</v>
      </c>
      <c r="E89" s="3508">
        <v>165.16</v>
      </c>
      <c r="F89" s="3509" t="s">
        <v>673</v>
      </c>
    </row>
    <row r="90" spans="1:6" ht="26.25" thickBot="1">
      <c r="A90" s="3505">
        <v>89</v>
      </c>
      <c r="B90" s="3506" t="s">
        <v>4072</v>
      </c>
      <c r="C90" s="3507" t="s">
        <v>4076</v>
      </c>
      <c r="D90" s="3507" t="s">
        <v>3686</v>
      </c>
      <c r="E90" s="3508">
        <v>65.930000000000007</v>
      </c>
      <c r="F90" s="3509" t="s">
        <v>673</v>
      </c>
    </row>
    <row r="91" spans="1:6" ht="26.25" thickBot="1">
      <c r="A91" s="3505">
        <v>90</v>
      </c>
      <c r="B91" s="3506" t="s">
        <v>4072</v>
      </c>
      <c r="C91" s="3507" t="s">
        <v>4076</v>
      </c>
      <c r="D91" s="3507" t="s">
        <v>3687</v>
      </c>
      <c r="E91" s="3508">
        <v>112.84</v>
      </c>
      <c r="F91" s="3509" t="s">
        <v>673</v>
      </c>
    </row>
    <row r="92" spans="1:6" ht="26.25" thickBot="1">
      <c r="A92" s="3505">
        <v>91</v>
      </c>
      <c r="B92" s="3506" t="s">
        <v>4072</v>
      </c>
      <c r="C92" s="3507" t="s">
        <v>4076</v>
      </c>
      <c r="D92" s="3507" t="s">
        <v>3688</v>
      </c>
      <c r="E92" s="3508">
        <v>99.34</v>
      </c>
      <c r="F92" s="3509" t="s">
        <v>673</v>
      </c>
    </row>
    <row r="93" spans="1:6" ht="26.25" thickBot="1">
      <c r="A93" s="3505">
        <v>92</v>
      </c>
      <c r="B93" s="3506" t="s">
        <v>4072</v>
      </c>
      <c r="C93" s="3507" t="s">
        <v>4076</v>
      </c>
      <c r="D93" s="3507" t="s">
        <v>3689</v>
      </c>
      <c r="E93" s="3508">
        <v>56.08</v>
      </c>
      <c r="F93" s="3509" t="s">
        <v>673</v>
      </c>
    </row>
    <row r="94" spans="1:6" ht="26.25" thickBot="1">
      <c r="A94" s="3505">
        <v>93</v>
      </c>
      <c r="B94" s="3506" t="s">
        <v>4072</v>
      </c>
      <c r="C94" s="3507" t="s">
        <v>4076</v>
      </c>
      <c r="D94" s="3507" t="s">
        <v>3690</v>
      </c>
      <c r="E94" s="3508">
        <v>114.59</v>
      </c>
      <c r="F94" s="3509" t="s">
        <v>673</v>
      </c>
    </row>
    <row r="95" spans="1:6" ht="26.25" thickBot="1">
      <c r="A95" s="3505">
        <v>94</v>
      </c>
      <c r="B95" s="3506" t="s">
        <v>4072</v>
      </c>
      <c r="C95" s="3507" t="s">
        <v>4076</v>
      </c>
      <c r="D95" s="3507" t="s">
        <v>3691</v>
      </c>
      <c r="E95" s="3508">
        <v>159.08000000000001</v>
      </c>
      <c r="F95" s="3509" t="s">
        <v>673</v>
      </c>
    </row>
    <row r="96" spans="1:6" ht="26.25" thickBot="1">
      <c r="A96" s="3505">
        <v>95</v>
      </c>
      <c r="B96" s="3506" t="s">
        <v>4072</v>
      </c>
      <c r="C96" s="3507" t="s">
        <v>4076</v>
      </c>
      <c r="D96" s="3507" t="s">
        <v>3692</v>
      </c>
      <c r="E96" s="3508">
        <v>56.68</v>
      </c>
      <c r="F96" s="3509" t="s">
        <v>673</v>
      </c>
    </row>
    <row r="97" spans="1:6" ht="26.25" thickBot="1">
      <c r="A97" s="3505">
        <v>96</v>
      </c>
      <c r="B97" s="3506" t="s">
        <v>4072</v>
      </c>
      <c r="C97" s="3507" t="s">
        <v>4076</v>
      </c>
      <c r="D97" s="3507" t="s">
        <v>3693</v>
      </c>
      <c r="E97" s="3508">
        <v>56.01</v>
      </c>
      <c r="F97" s="3509" t="s">
        <v>673</v>
      </c>
    </row>
    <row r="98" spans="1:6" ht="26.25" thickBot="1">
      <c r="A98" s="3505">
        <v>97</v>
      </c>
      <c r="B98" s="3506" t="s">
        <v>4072</v>
      </c>
      <c r="C98" s="3507" t="s">
        <v>4076</v>
      </c>
      <c r="D98" s="3507" t="s">
        <v>3696</v>
      </c>
      <c r="E98" s="3508">
        <v>48.68</v>
      </c>
      <c r="F98" s="3509" t="s">
        <v>673</v>
      </c>
    </row>
    <row r="99" spans="1:6" ht="26.25" thickBot="1">
      <c r="A99" s="3505">
        <v>98</v>
      </c>
      <c r="B99" s="3506" t="s">
        <v>4072</v>
      </c>
      <c r="C99" s="3507" t="s">
        <v>4076</v>
      </c>
      <c r="D99" s="3507" t="s">
        <v>3697</v>
      </c>
      <c r="E99" s="3508">
        <v>167.21</v>
      </c>
      <c r="F99" s="3509" t="s">
        <v>673</v>
      </c>
    </row>
    <row r="100" spans="1:6" ht="26.25" thickBot="1">
      <c r="A100" s="3505">
        <v>99</v>
      </c>
      <c r="B100" s="3506" t="s">
        <v>4072</v>
      </c>
      <c r="C100" s="3507" t="s">
        <v>4076</v>
      </c>
      <c r="D100" s="3507" t="s">
        <v>3698</v>
      </c>
      <c r="E100" s="3508">
        <v>201.57</v>
      </c>
      <c r="F100" s="3509" t="s">
        <v>673</v>
      </c>
    </row>
    <row r="101" spans="1:6" ht="26.25" thickBot="1">
      <c r="A101" s="3505">
        <v>100</v>
      </c>
      <c r="B101" s="3506" t="s">
        <v>4072</v>
      </c>
      <c r="C101" s="3507" t="s">
        <v>4076</v>
      </c>
      <c r="D101" s="3507" t="s">
        <v>3699</v>
      </c>
      <c r="E101" s="3508">
        <v>174.86</v>
      </c>
      <c r="F101" s="3509" t="s">
        <v>673</v>
      </c>
    </row>
    <row r="102" spans="1:6" ht="26.25" thickBot="1">
      <c r="A102" s="3505">
        <v>101</v>
      </c>
      <c r="B102" s="3506" t="s">
        <v>4072</v>
      </c>
      <c r="C102" s="3507" t="s">
        <v>4076</v>
      </c>
      <c r="D102" s="3507" t="s">
        <v>3704</v>
      </c>
      <c r="E102" s="3508">
        <v>63.96</v>
      </c>
      <c r="F102" s="3509" t="s">
        <v>673</v>
      </c>
    </row>
    <row r="103" spans="1:6" ht="26.25" thickBot="1">
      <c r="A103" s="3505">
        <v>102</v>
      </c>
      <c r="B103" s="3506" t="s">
        <v>4072</v>
      </c>
      <c r="C103" s="3507" t="s">
        <v>4076</v>
      </c>
      <c r="D103" s="3507" t="s">
        <v>3705</v>
      </c>
      <c r="E103" s="3508">
        <v>82.4</v>
      </c>
      <c r="F103" s="3509" t="s">
        <v>673</v>
      </c>
    </row>
    <row r="104" spans="1:6" ht="26.25" thickBot="1">
      <c r="A104" s="3505">
        <v>103</v>
      </c>
      <c r="B104" s="3506" t="s">
        <v>4072</v>
      </c>
      <c r="C104" s="3507" t="s">
        <v>4076</v>
      </c>
      <c r="D104" s="3507" t="s">
        <v>3706</v>
      </c>
      <c r="E104" s="3508">
        <v>87.32</v>
      </c>
      <c r="F104" s="3509" t="s">
        <v>673</v>
      </c>
    </row>
    <row r="105" spans="1:6" ht="26.25" thickBot="1">
      <c r="A105" s="3505">
        <v>104</v>
      </c>
      <c r="B105" s="3506" t="s">
        <v>4072</v>
      </c>
      <c r="C105" s="3507" t="s">
        <v>4076</v>
      </c>
      <c r="D105" s="3507" t="s">
        <v>3707</v>
      </c>
      <c r="E105" s="3508">
        <v>41.81</v>
      </c>
      <c r="F105" s="3509" t="s">
        <v>673</v>
      </c>
    </row>
    <row r="106" spans="1:6" ht="26.25" thickBot="1">
      <c r="A106" s="3505">
        <v>105</v>
      </c>
      <c r="B106" s="3506" t="s">
        <v>4072</v>
      </c>
      <c r="C106" s="3507" t="s">
        <v>4076</v>
      </c>
      <c r="D106" s="3507" t="s">
        <v>3708</v>
      </c>
      <c r="E106" s="3508">
        <v>80.790000000000006</v>
      </c>
      <c r="F106" s="3509" t="s">
        <v>673</v>
      </c>
    </row>
    <row r="107" spans="1:6" ht="26.25" thickBot="1">
      <c r="A107" s="3505">
        <v>106</v>
      </c>
      <c r="B107" s="3506" t="s">
        <v>4072</v>
      </c>
      <c r="C107" s="3507" t="s">
        <v>4076</v>
      </c>
      <c r="D107" s="3507" t="s">
        <v>3709</v>
      </c>
      <c r="E107" s="3508">
        <v>84.45</v>
      </c>
      <c r="F107" s="3509" t="s">
        <v>673</v>
      </c>
    </row>
    <row r="108" spans="1:6" ht="26.25" thickBot="1">
      <c r="A108" s="3505">
        <v>107</v>
      </c>
      <c r="B108" s="3506" t="s">
        <v>4072</v>
      </c>
      <c r="C108" s="3507" t="s">
        <v>4076</v>
      </c>
      <c r="D108" s="3507" t="s">
        <v>3714</v>
      </c>
      <c r="E108" s="3508">
        <v>83.2</v>
      </c>
      <c r="F108" s="3509" t="s">
        <v>673</v>
      </c>
    </row>
    <row r="109" spans="1:6" ht="26.25" thickBot="1">
      <c r="A109" s="3505">
        <v>108</v>
      </c>
      <c r="B109" s="3506" t="s">
        <v>4072</v>
      </c>
      <c r="C109" s="3507" t="s">
        <v>4076</v>
      </c>
      <c r="D109" s="3507" t="s">
        <v>3715</v>
      </c>
      <c r="E109" s="3508">
        <v>70.400000000000006</v>
      </c>
      <c r="F109" s="3509" t="s">
        <v>673</v>
      </c>
    </row>
    <row r="110" spans="1:6" ht="26.25" thickBot="1">
      <c r="A110" s="3505">
        <v>109</v>
      </c>
      <c r="B110" s="3506" t="s">
        <v>4072</v>
      </c>
      <c r="C110" s="3507" t="s">
        <v>4076</v>
      </c>
      <c r="D110" s="3507" t="s">
        <v>3723</v>
      </c>
      <c r="E110" s="3508">
        <v>88.64</v>
      </c>
      <c r="F110" s="3509" t="s">
        <v>673</v>
      </c>
    </row>
    <row r="111" spans="1:6" ht="26.25" thickBot="1">
      <c r="A111" s="3505">
        <v>110</v>
      </c>
      <c r="B111" s="3506" t="s">
        <v>4072</v>
      </c>
      <c r="C111" s="3507" t="s">
        <v>4076</v>
      </c>
      <c r="D111" s="3507" t="s">
        <v>3724</v>
      </c>
      <c r="E111" s="3508">
        <v>42.59</v>
      </c>
      <c r="F111" s="3509" t="s">
        <v>673</v>
      </c>
    </row>
    <row r="112" spans="1:6" ht="26.25" thickBot="1">
      <c r="A112" s="3505">
        <v>111</v>
      </c>
      <c r="B112" s="3506" t="s">
        <v>4072</v>
      </c>
      <c r="C112" s="3507" t="s">
        <v>4076</v>
      </c>
      <c r="D112" s="3507" t="s">
        <v>3725</v>
      </c>
      <c r="E112" s="3508">
        <v>80.900000000000006</v>
      </c>
      <c r="F112" s="3509" t="s">
        <v>673</v>
      </c>
    </row>
    <row r="113" spans="1:6" ht="26.25" thickBot="1">
      <c r="A113" s="3505">
        <v>112</v>
      </c>
      <c r="B113" s="3506" t="s">
        <v>4072</v>
      </c>
      <c r="C113" s="3507" t="s">
        <v>4076</v>
      </c>
      <c r="D113" s="3507" t="s">
        <v>3728</v>
      </c>
      <c r="E113" s="3508">
        <v>101.48</v>
      </c>
      <c r="F113" s="3509" t="s">
        <v>673</v>
      </c>
    </row>
    <row r="114" spans="1:6" ht="26.25" thickBot="1">
      <c r="A114" s="3505">
        <v>113</v>
      </c>
      <c r="B114" s="3506" t="s">
        <v>4072</v>
      </c>
      <c r="C114" s="3507" t="s">
        <v>4076</v>
      </c>
      <c r="D114" s="3507" t="s">
        <v>3729</v>
      </c>
      <c r="E114" s="3508">
        <v>143.85</v>
      </c>
      <c r="F114" s="3509" t="s">
        <v>673</v>
      </c>
    </row>
    <row r="115" spans="1:6" ht="26.25" thickBot="1">
      <c r="A115" s="3505">
        <v>114</v>
      </c>
      <c r="B115" s="3506" t="s">
        <v>4072</v>
      </c>
      <c r="C115" s="3507" t="s">
        <v>4076</v>
      </c>
      <c r="D115" s="3507" t="s">
        <v>3730</v>
      </c>
      <c r="E115" s="3508">
        <v>147.37</v>
      </c>
      <c r="F115" s="3509" t="s">
        <v>673</v>
      </c>
    </row>
    <row r="116" spans="1:6" ht="26.25" thickBot="1">
      <c r="A116" s="3505">
        <v>115</v>
      </c>
      <c r="B116" s="3506" t="s">
        <v>4072</v>
      </c>
      <c r="C116" s="3507" t="s">
        <v>4076</v>
      </c>
      <c r="D116" s="3507" t="s">
        <v>3731</v>
      </c>
      <c r="E116" s="3508">
        <v>137.87</v>
      </c>
      <c r="F116" s="3509" t="s">
        <v>673</v>
      </c>
    </row>
    <row r="117" spans="1:6" ht="26.25" thickBot="1">
      <c r="A117" s="3505">
        <v>116</v>
      </c>
      <c r="B117" s="3506" t="s">
        <v>4072</v>
      </c>
      <c r="C117" s="3507" t="s">
        <v>4076</v>
      </c>
      <c r="D117" s="3507" t="s">
        <v>3732</v>
      </c>
      <c r="E117" s="3508">
        <v>94.88</v>
      </c>
      <c r="F117" s="3509" t="s">
        <v>673</v>
      </c>
    </row>
    <row r="118" spans="1:6" ht="26.25" thickBot="1">
      <c r="A118" s="3505">
        <v>117</v>
      </c>
      <c r="B118" s="3506" t="s">
        <v>4072</v>
      </c>
      <c r="C118" s="3507" t="s">
        <v>4076</v>
      </c>
      <c r="D118" s="3507" t="s">
        <v>3733</v>
      </c>
      <c r="E118" s="3508">
        <v>223.44</v>
      </c>
      <c r="F118" s="3509" t="s">
        <v>673</v>
      </c>
    </row>
    <row r="119" spans="1:6" ht="26.25" thickBot="1">
      <c r="A119" s="3505">
        <v>118</v>
      </c>
      <c r="B119" s="3506" t="s">
        <v>4072</v>
      </c>
      <c r="C119" s="3507" t="s">
        <v>4076</v>
      </c>
      <c r="D119" s="3507" t="s">
        <v>3734</v>
      </c>
      <c r="E119" s="3508">
        <v>42.37</v>
      </c>
      <c r="F119" s="3509" t="s">
        <v>673</v>
      </c>
    </row>
    <row r="120" spans="1:6" ht="26.25" thickBot="1">
      <c r="A120" s="3505">
        <v>119</v>
      </c>
      <c r="B120" s="3506" t="s">
        <v>4072</v>
      </c>
      <c r="C120" s="3507" t="s">
        <v>4076</v>
      </c>
      <c r="D120" s="3507" t="s">
        <v>3735</v>
      </c>
      <c r="E120" s="3508">
        <v>37.15</v>
      </c>
      <c r="F120" s="3509" t="s">
        <v>673</v>
      </c>
    </row>
    <row r="121" spans="1:6" ht="26.25" thickBot="1">
      <c r="A121" s="3505">
        <v>120</v>
      </c>
      <c r="B121" s="3506" t="s">
        <v>4072</v>
      </c>
      <c r="C121" s="3507" t="s">
        <v>4077</v>
      </c>
      <c r="D121" s="3507" t="s">
        <v>3736</v>
      </c>
      <c r="E121" s="3508">
        <v>126.23</v>
      </c>
      <c r="F121" s="3509" t="s">
        <v>673</v>
      </c>
    </row>
    <row r="122" spans="1:6" ht="26.25" thickBot="1">
      <c r="A122" s="3505">
        <v>121</v>
      </c>
      <c r="B122" s="3506" t="s">
        <v>4072</v>
      </c>
      <c r="C122" s="3507" t="s">
        <v>4077</v>
      </c>
      <c r="D122" s="3507" t="s">
        <v>3737</v>
      </c>
      <c r="E122" s="3508">
        <v>90.41</v>
      </c>
      <c r="F122" s="3509" t="s">
        <v>673</v>
      </c>
    </row>
    <row r="123" spans="1:6" ht="26.25" thickBot="1">
      <c r="A123" s="3505">
        <v>122</v>
      </c>
      <c r="B123" s="3506" t="s">
        <v>4072</v>
      </c>
      <c r="C123" s="3507" t="s">
        <v>4077</v>
      </c>
      <c r="D123" s="3507" t="s">
        <v>3738</v>
      </c>
      <c r="E123" s="3508">
        <v>57.82</v>
      </c>
      <c r="F123" s="3509" t="s">
        <v>673</v>
      </c>
    </row>
    <row r="124" spans="1:6" ht="26.25" thickBot="1">
      <c r="A124" s="3505">
        <v>123</v>
      </c>
      <c r="B124" s="3506" t="s">
        <v>4072</v>
      </c>
      <c r="C124" s="3507" t="s">
        <v>4077</v>
      </c>
      <c r="D124" s="3507" t="s">
        <v>3739</v>
      </c>
      <c r="E124" s="3508">
        <v>114.32</v>
      </c>
      <c r="F124" s="3509" t="s">
        <v>673</v>
      </c>
    </row>
    <row r="125" spans="1:6" ht="26.25" thickBot="1">
      <c r="A125" s="3505">
        <v>124</v>
      </c>
      <c r="B125" s="3506" t="s">
        <v>4072</v>
      </c>
      <c r="C125" s="3507" t="s">
        <v>4077</v>
      </c>
      <c r="D125" s="3507" t="s">
        <v>3740</v>
      </c>
      <c r="E125" s="3508">
        <v>85.6</v>
      </c>
      <c r="F125" s="3509" t="s">
        <v>673</v>
      </c>
    </row>
    <row r="126" spans="1:6" ht="26.25" thickBot="1">
      <c r="A126" s="3505">
        <v>125</v>
      </c>
      <c r="B126" s="3506" t="s">
        <v>4072</v>
      </c>
      <c r="C126" s="3507" t="s">
        <v>4077</v>
      </c>
      <c r="D126" s="3507" t="s">
        <v>3741</v>
      </c>
      <c r="E126" s="3508">
        <v>141.22999999999999</v>
      </c>
      <c r="F126" s="3509" t="s">
        <v>673</v>
      </c>
    </row>
    <row r="127" spans="1:6" ht="26.25" thickBot="1">
      <c r="A127" s="3505">
        <v>126</v>
      </c>
      <c r="B127" s="3506" t="s">
        <v>4072</v>
      </c>
      <c r="C127" s="3507" t="s">
        <v>4077</v>
      </c>
      <c r="D127" s="3507" t="s">
        <v>3742</v>
      </c>
      <c r="E127" s="3508">
        <v>51.1</v>
      </c>
      <c r="F127" s="3509" t="s">
        <v>673</v>
      </c>
    </row>
    <row r="128" spans="1:6" ht="26.25" thickBot="1">
      <c r="A128" s="3505">
        <v>127</v>
      </c>
      <c r="B128" s="3506" t="s">
        <v>4072</v>
      </c>
      <c r="C128" s="3507" t="s">
        <v>4077</v>
      </c>
      <c r="D128" s="3507" t="s">
        <v>3743</v>
      </c>
      <c r="E128" s="3508">
        <v>67.069999999999993</v>
      </c>
      <c r="F128" s="3509" t="s">
        <v>673</v>
      </c>
    </row>
    <row r="129" spans="1:6" ht="26.25" thickBot="1">
      <c r="A129" s="3505">
        <v>128</v>
      </c>
      <c r="B129" s="3506" t="s">
        <v>4072</v>
      </c>
      <c r="C129" s="3507" t="s">
        <v>4077</v>
      </c>
      <c r="D129" s="3507" t="s">
        <v>3744</v>
      </c>
      <c r="E129" s="3508">
        <v>68.36</v>
      </c>
      <c r="F129" s="3509" t="s">
        <v>673</v>
      </c>
    </row>
    <row r="130" spans="1:6" ht="26.25" thickBot="1">
      <c r="A130" s="3505">
        <v>129</v>
      </c>
      <c r="B130" s="3506" t="s">
        <v>4072</v>
      </c>
      <c r="C130" s="3507" t="s">
        <v>4077</v>
      </c>
      <c r="D130" s="3507" t="s">
        <v>3747</v>
      </c>
      <c r="E130" s="3508">
        <v>82.42</v>
      </c>
      <c r="F130" s="3509" t="s">
        <v>673</v>
      </c>
    </row>
    <row r="131" spans="1:6" ht="26.25" thickBot="1">
      <c r="A131" s="3505">
        <v>130</v>
      </c>
      <c r="B131" s="3506" t="s">
        <v>4072</v>
      </c>
      <c r="C131" s="3507" t="s">
        <v>4077</v>
      </c>
      <c r="D131" s="3507" t="s">
        <v>3753</v>
      </c>
      <c r="E131" s="3508">
        <v>68.489999999999995</v>
      </c>
      <c r="F131" s="3509" t="s">
        <v>673</v>
      </c>
    </row>
    <row r="132" spans="1:6" ht="26.25" thickBot="1">
      <c r="A132" s="3505">
        <v>131</v>
      </c>
      <c r="B132" s="3506" t="s">
        <v>4072</v>
      </c>
      <c r="C132" s="3507" t="s">
        <v>4077</v>
      </c>
      <c r="D132" s="3507" t="s">
        <v>3754</v>
      </c>
      <c r="E132" s="3508">
        <v>61.95</v>
      </c>
      <c r="F132" s="3509" t="s">
        <v>673</v>
      </c>
    </row>
    <row r="133" spans="1:6" ht="26.25" thickBot="1">
      <c r="A133" s="3505">
        <v>132</v>
      </c>
      <c r="B133" s="3506" t="s">
        <v>4072</v>
      </c>
      <c r="C133" s="3507" t="s">
        <v>4077</v>
      </c>
      <c r="D133" s="3507" t="s">
        <v>3755</v>
      </c>
      <c r="E133" s="3508">
        <v>26.16</v>
      </c>
      <c r="F133" s="3509" t="s">
        <v>673</v>
      </c>
    </row>
    <row r="134" spans="1:6" ht="26.25" thickBot="1">
      <c r="A134" s="3505">
        <v>133</v>
      </c>
      <c r="B134" s="3506" t="s">
        <v>4072</v>
      </c>
      <c r="C134" s="3507" t="s">
        <v>4077</v>
      </c>
      <c r="D134" s="3507" t="s">
        <v>3756</v>
      </c>
      <c r="E134" s="3508">
        <v>108.94</v>
      </c>
      <c r="F134" s="3509" t="s">
        <v>673</v>
      </c>
    </row>
    <row r="135" spans="1:6" ht="26.25" thickBot="1">
      <c r="A135" s="3505">
        <v>134</v>
      </c>
      <c r="B135" s="3506" t="s">
        <v>4072</v>
      </c>
      <c r="C135" s="3507" t="s">
        <v>4077</v>
      </c>
      <c r="D135" s="3507" t="s">
        <v>3757</v>
      </c>
      <c r="E135" s="3508">
        <v>74.930000000000007</v>
      </c>
      <c r="F135" s="3509" t="s">
        <v>673</v>
      </c>
    </row>
    <row r="136" spans="1:6" ht="26.25" thickBot="1">
      <c r="A136" s="3505">
        <v>135</v>
      </c>
      <c r="B136" s="3506" t="s">
        <v>4072</v>
      </c>
      <c r="C136" s="3507" t="s">
        <v>4077</v>
      </c>
      <c r="D136" s="3507" t="s">
        <v>3762</v>
      </c>
      <c r="E136" s="3508">
        <v>75.13</v>
      </c>
      <c r="F136" s="3509" t="s">
        <v>673</v>
      </c>
    </row>
    <row r="137" spans="1:6" ht="26.25" thickBot="1">
      <c r="A137" s="3505">
        <v>136</v>
      </c>
      <c r="B137" s="3506" t="s">
        <v>4072</v>
      </c>
      <c r="C137" s="3507" t="s">
        <v>4077</v>
      </c>
      <c r="D137" s="3507" t="s">
        <v>3763</v>
      </c>
      <c r="E137" s="3508">
        <v>74.150000000000006</v>
      </c>
      <c r="F137" s="3509" t="s">
        <v>673</v>
      </c>
    </row>
    <row r="138" spans="1:6" ht="26.25" thickBot="1">
      <c r="A138" s="3505">
        <v>137</v>
      </c>
      <c r="B138" s="3506" t="s">
        <v>4072</v>
      </c>
      <c r="C138" s="3507" t="s">
        <v>4077</v>
      </c>
      <c r="D138" s="3507" t="s">
        <v>3764</v>
      </c>
      <c r="E138" s="3508">
        <v>73.760000000000005</v>
      </c>
      <c r="F138" s="3509" t="s">
        <v>673</v>
      </c>
    </row>
    <row r="139" spans="1:6" ht="26.25" thickBot="1">
      <c r="A139" s="3505">
        <v>138</v>
      </c>
      <c r="B139" s="3506" t="s">
        <v>4072</v>
      </c>
      <c r="C139" s="3507" t="s">
        <v>4077</v>
      </c>
      <c r="D139" s="3507" t="s">
        <v>3765</v>
      </c>
      <c r="E139" s="3508">
        <v>134.74</v>
      </c>
      <c r="F139" s="3509" t="s">
        <v>673</v>
      </c>
    </row>
    <row r="140" spans="1:6" ht="26.25" thickBot="1">
      <c r="A140" s="3505">
        <v>139</v>
      </c>
      <c r="B140" s="3506" t="s">
        <v>4072</v>
      </c>
      <c r="C140" s="3507" t="s">
        <v>4077</v>
      </c>
      <c r="D140" s="3507" t="s">
        <v>3766</v>
      </c>
      <c r="E140" s="3508">
        <v>71.739999999999995</v>
      </c>
      <c r="F140" s="3509" t="s">
        <v>673</v>
      </c>
    </row>
    <row r="141" spans="1:6" ht="26.25" thickBot="1">
      <c r="A141" s="3505">
        <v>140</v>
      </c>
      <c r="B141" s="3506" t="s">
        <v>4072</v>
      </c>
      <c r="C141" s="3507" t="s">
        <v>4077</v>
      </c>
      <c r="D141" s="3507" t="s">
        <v>3767</v>
      </c>
      <c r="E141" s="3508">
        <v>60.47</v>
      </c>
      <c r="F141" s="3509" t="s">
        <v>673</v>
      </c>
    </row>
    <row r="142" spans="1:6" ht="26.25" thickBot="1">
      <c r="A142" s="3505">
        <v>141</v>
      </c>
      <c r="B142" s="3506" t="s">
        <v>4072</v>
      </c>
      <c r="C142" s="3507" t="s">
        <v>4077</v>
      </c>
      <c r="D142" s="3507" t="s">
        <v>3768</v>
      </c>
      <c r="E142" s="3508">
        <v>150.61000000000001</v>
      </c>
      <c r="F142" s="3509" t="s">
        <v>673</v>
      </c>
    </row>
    <row r="143" spans="1:6" ht="26.25" thickBot="1">
      <c r="A143" s="3505">
        <v>142</v>
      </c>
      <c r="B143" s="3506" t="s">
        <v>4072</v>
      </c>
      <c r="C143" s="3507" t="s">
        <v>4077</v>
      </c>
      <c r="D143" s="3507" t="s">
        <v>3769</v>
      </c>
      <c r="E143" s="3508">
        <v>103.38</v>
      </c>
      <c r="F143" s="3509" t="s">
        <v>673</v>
      </c>
    </row>
    <row r="144" spans="1:6" ht="26.25" thickBot="1">
      <c r="A144" s="3505">
        <v>143</v>
      </c>
      <c r="B144" s="3506" t="s">
        <v>4072</v>
      </c>
      <c r="C144" s="3507" t="s">
        <v>4077</v>
      </c>
      <c r="D144" s="3507" t="s">
        <v>3770</v>
      </c>
      <c r="E144" s="3508">
        <v>90.83</v>
      </c>
      <c r="F144" s="3509" t="s">
        <v>673</v>
      </c>
    </row>
    <row r="145" spans="1:6" ht="26.25" thickBot="1">
      <c r="A145" s="3505">
        <v>144</v>
      </c>
      <c r="B145" s="3506" t="s">
        <v>4072</v>
      </c>
      <c r="C145" s="3507" t="s">
        <v>4077</v>
      </c>
      <c r="D145" s="3507" t="s">
        <v>3771</v>
      </c>
      <c r="E145" s="3508">
        <v>51.37</v>
      </c>
      <c r="F145" s="3509" t="s">
        <v>673</v>
      </c>
    </row>
    <row r="146" spans="1:6" ht="26.25" thickBot="1">
      <c r="A146" s="3505">
        <v>145</v>
      </c>
      <c r="B146" s="3506" t="s">
        <v>4072</v>
      </c>
      <c r="C146" s="3507" t="s">
        <v>4077</v>
      </c>
      <c r="D146" s="3507" t="s">
        <v>3772</v>
      </c>
      <c r="E146" s="3508">
        <v>105.44</v>
      </c>
      <c r="F146" s="3509" t="s">
        <v>673</v>
      </c>
    </row>
    <row r="147" spans="1:6" ht="26.25" thickBot="1">
      <c r="A147" s="3505">
        <v>146</v>
      </c>
      <c r="B147" s="3506" t="s">
        <v>4072</v>
      </c>
      <c r="C147" s="3507" t="s">
        <v>4077</v>
      </c>
      <c r="D147" s="3507" t="s">
        <v>3773</v>
      </c>
      <c r="E147" s="3508">
        <v>146.63</v>
      </c>
      <c r="F147" s="3509" t="s">
        <v>673</v>
      </c>
    </row>
    <row r="148" spans="1:6" ht="26.25" thickBot="1">
      <c r="A148" s="3505">
        <v>147</v>
      </c>
      <c r="B148" s="3506" t="s">
        <v>4072</v>
      </c>
      <c r="C148" s="3507" t="s">
        <v>4077</v>
      </c>
      <c r="D148" s="3507" t="s">
        <v>3778</v>
      </c>
      <c r="E148" s="3508">
        <v>45.68</v>
      </c>
      <c r="F148" s="3509" t="s">
        <v>673</v>
      </c>
    </row>
    <row r="149" spans="1:6" ht="26.25" thickBot="1">
      <c r="A149" s="3505">
        <v>148</v>
      </c>
      <c r="B149" s="3506" t="s">
        <v>4072</v>
      </c>
      <c r="C149" s="3507" t="s">
        <v>4077</v>
      </c>
      <c r="D149" s="3507" t="s">
        <v>3779</v>
      </c>
      <c r="E149" s="3508">
        <v>152.32</v>
      </c>
      <c r="F149" s="3509" t="s">
        <v>673</v>
      </c>
    </row>
    <row r="150" spans="1:6" ht="26.25" thickBot="1">
      <c r="A150" s="3505">
        <v>149</v>
      </c>
      <c r="B150" s="3506" t="s">
        <v>4072</v>
      </c>
      <c r="C150" s="3507" t="s">
        <v>4077</v>
      </c>
      <c r="D150" s="3507" t="s">
        <v>3780</v>
      </c>
      <c r="E150" s="3508">
        <v>202.67</v>
      </c>
      <c r="F150" s="3509" t="s">
        <v>673</v>
      </c>
    </row>
    <row r="151" spans="1:6" ht="26.25" thickBot="1">
      <c r="A151" s="3505">
        <v>150</v>
      </c>
      <c r="B151" s="3506" t="s">
        <v>4072</v>
      </c>
      <c r="C151" s="3507" t="s">
        <v>4077</v>
      </c>
      <c r="D151" s="3507" t="s">
        <v>3781</v>
      </c>
      <c r="E151" s="3508">
        <v>186.71</v>
      </c>
      <c r="F151" s="3509" t="s">
        <v>673</v>
      </c>
    </row>
    <row r="152" spans="1:6" ht="26.25" thickBot="1">
      <c r="A152" s="3505">
        <v>151</v>
      </c>
      <c r="B152" s="3506" t="s">
        <v>4072</v>
      </c>
      <c r="C152" s="3507" t="s">
        <v>4077</v>
      </c>
      <c r="D152" s="3507" t="s">
        <v>3785</v>
      </c>
      <c r="E152" s="3508">
        <v>60.51</v>
      </c>
      <c r="F152" s="3509" t="s">
        <v>673</v>
      </c>
    </row>
    <row r="153" spans="1:6" ht="26.25" thickBot="1">
      <c r="A153" s="3505">
        <v>152</v>
      </c>
      <c r="B153" s="3506" t="s">
        <v>4072</v>
      </c>
      <c r="C153" s="3507" t="s">
        <v>4077</v>
      </c>
      <c r="D153" s="3507" t="s">
        <v>3787</v>
      </c>
      <c r="E153" s="3508">
        <v>81.2</v>
      </c>
      <c r="F153" s="3509" t="s">
        <v>673</v>
      </c>
    </row>
    <row r="154" spans="1:6" ht="26.25" thickBot="1">
      <c r="A154" s="3505">
        <v>153</v>
      </c>
      <c r="B154" s="3506" t="s">
        <v>4072</v>
      </c>
      <c r="C154" s="3507" t="s">
        <v>4077</v>
      </c>
      <c r="D154" s="3507" t="s">
        <v>3788</v>
      </c>
      <c r="E154" s="3508">
        <v>77.61</v>
      </c>
      <c r="F154" s="3509" t="s">
        <v>673</v>
      </c>
    </row>
    <row r="155" spans="1:6" ht="26.25" thickBot="1">
      <c r="A155" s="3505">
        <v>154</v>
      </c>
      <c r="B155" s="3506" t="s">
        <v>4072</v>
      </c>
      <c r="C155" s="3507" t="s">
        <v>4077</v>
      </c>
      <c r="D155" s="3507" t="s">
        <v>3789</v>
      </c>
      <c r="E155" s="3508">
        <v>38.15</v>
      </c>
      <c r="F155" s="3509" t="s">
        <v>673</v>
      </c>
    </row>
    <row r="156" spans="1:6" ht="26.25" thickBot="1">
      <c r="A156" s="3505">
        <v>155</v>
      </c>
      <c r="B156" s="3506" t="s">
        <v>4072</v>
      </c>
      <c r="C156" s="3507" t="s">
        <v>4077</v>
      </c>
      <c r="D156" s="3507" t="s">
        <v>3790</v>
      </c>
      <c r="E156" s="3508">
        <v>75.290000000000006</v>
      </c>
      <c r="F156" s="3509" t="s">
        <v>673</v>
      </c>
    </row>
    <row r="157" spans="1:6" ht="26.25" thickBot="1">
      <c r="A157" s="3505">
        <v>156</v>
      </c>
      <c r="B157" s="3506" t="s">
        <v>4072</v>
      </c>
      <c r="C157" s="3507" t="s">
        <v>4077</v>
      </c>
      <c r="D157" s="3507" t="s">
        <v>3791</v>
      </c>
      <c r="E157" s="3508">
        <v>75</v>
      </c>
      <c r="F157" s="3509" t="s">
        <v>673</v>
      </c>
    </row>
    <row r="158" spans="1:6" ht="26.25" thickBot="1">
      <c r="A158" s="3505">
        <v>157</v>
      </c>
      <c r="B158" s="3506" t="s">
        <v>4072</v>
      </c>
      <c r="C158" s="3507" t="s">
        <v>4077</v>
      </c>
      <c r="D158" s="3507" t="s">
        <v>3792</v>
      </c>
      <c r="E158" s="3508">
        <v>37.1</v>
      </c>
      <c r="F158" s="3509" t="s">
        <v>673</v>
      </c>
    </row>
    <row r="159" spans="1:6" ht="26.25" thickBot="1">
      <c r="A159" s="3505">
        <v>158</v>
      </c>
      <c r="B159" s="3506" t="s">
        <v>4072</v>
      </c>
      <c r="C159" s="3507" t="s">
        <v>4077</v>
      </c>
      <c r="D159" s="3507" t="s">
        <v>3793</v>
      </c>
      <c r="E159" s="3508">
        <v>74.56</v>
      </c>
      <c r="F159" s="3509" t="s">
        <v>673</v>
      </c>
    </row>
    <row r="160" spans="1:6" ht="26.25" thickBot="1">
      <c r="A160" s="3505">
        <v>159</v>
      </c>
      <c r="B160" s="3506" t="s">
        <v>4072</v>
      </c>
      <c r="C160" s="3507" t="s">
        <v>4077</v>
      </c>
      <c r="D160" s="3507" t="s">
        <v>3796</v>
      </c>
      <c r="E160" s="3508">
        <v>76.17</v>
      </c>
      <c r="F160" s="3509" t="s">
        <v>673</v>
      </c>
    </row>
    <row r="161" spans="1:6" ht="26.25" thickBot="1">
      <c r="A161" s="3505">
        <v>160</v>
      </c>
      <c r="B161" s="3506" t="s">
        <v>4072</v>
      </c>
      <c r="C161" s="3507" t="s">
        <v>4077</v>
      </c>
      <c r="D161" s="3507" t="s">
        <v>3806</v>
      </c>
      <c r="E161" s="3508">
        <v>80.11</v>
      </c>
      <c r="F161" s="3509" t="s">
        <v>673</v>
      </c>
    </row>
    <row r="162" spans="1:6" ht="26.25" thickBot="1">
      <c r="A162" s="3505">
        <v>161</v>
      </c>
      <c r="B162" s="3506" t="s">
        <v>4072</v>
      </c>
      <c r="C162" s="3507" t="s">
        <v>4077</v>
      </c>
      <c r="D162" s="3507" t="s">
        <v>3807</v>
      </c>
      <c r="E162" s="3508">
        <v>72.739999999999995</v>
      </c>
      <c r="F162" s="3509" t="s">
        <v>673</v>
      </c>
    </row>
    <row r="163" spans="1:6" ht="26.25" thickBot="1">
      <c r="A163" s="3505">
        <v>162</v>
      </c>
      <c r="B163" s="3506" t="s">
        <v>4072</v>
      </c>
      <c r="C163" s="3507" t="s">
        <v>4077</v>
      </c>
      <c r="D163" s="3507" t="s">
        <v>3811</v>
      </c>
      <c r="E163" s="3508">
        <v>95.83</v>
      </c>
      <c r="F163" s="3509" t="s">
        <v>673</v>
      </c>
    </row>
    <row r="164" spans="1:6" ht="26.25" thickBot="1">
      <c r="A164" s="3505">
        <v>163</v>
      </c>
      <c r="B164" s="3506" t="s">
        <v>4072</v>
      </c>
      <c r="C164" s="3507" t="s">
        <v>4077</v>
      </c>
      <c r="D164" s="3507" t="s">
        <v>3812</v>
      </c>
      <c r="E164" s="3508">
        <v>125.42</v>
      </c>
      <c r="F164" s="3509" t="s">
        <v>673</v>
      </c>
    </row>
    <row r="165" spans="1:6" ht="26.25" thickBot="1">
      <c r="A165" s="3505">
        <v>164</v>
      </c>
      <c r="B165" s="3506" t="s">
        <v>4072</v>
      </c>
      <c r="C165" s="3507" t="s">
        <v>4077</v>
      </c>
      <c r="D165" s="3507" t="s">
        <v>3813</v>
      </c>
      <c r="E165" s="3508">
        <v>132.96</v>
      </c>
      <c r="F165" s="3509" t="s">
        <v>673</v>
      </c>
    </row>
    <row r="166" spans="1:6" ht="26.25" thickBot="1">
      <c r="A166" s="3505">
        <v>165</v>
      </c>
      <c r="B166" s="3506" t="s">
        <v>4072</v>
      </c>
      <c r="C166" s="3507" t="s">
        <v>4077</v>
      </c>
      <c r="D166" s="3507" t="s">
        <v>3814</v>
      </c>
      <c r="E166" s="3508">
        <v>212.6</v>
      </c>
      <c r="F166" s="3509" t="s">
        <v>673</v>
      </c>
    </row>
    <row r="167" spans="1:6" ht="26.25" thickBot="1">
      <c r="A167" s="3505">
        <v>166</v>
      </c>
      <c r="B167" s="3506" t="s">
        <v>4072</v>
      </c>
      <c r="C167" s="3507" t="s">
        <v>4077</v>
      </c>
      <c r="D167" s="3507" t="s">
        <v>3815</v>
      </c>
      <c r="E167" s="3508">
        <v>221.11</v>
      </c>
      <c r="F167" s="3509" t="s">
        <v>673</v>
      </c>
    </row>
    <row r="168" spans="1:6" ht="26.25" thickBot="1">
      <c r="A168" s="3505">
        <v>167</v>
      </c>
      <c r="B168" s="3506" t="s">
        <v>4072</v>
      </c>
      <c r="C168" s="3507" t="s">
        <v>4077</v>
      </c>
      <c r="D168" s="3507" t="s">
        <v>3816</v>
      </c>
      <c r="E168" s="3508">
        <v>21.12</v>
      </c>
      <c r="F168" s="3509" t="s">
        <v>673</v>
      </c>
    </row>
    <row r="169" spans="1:6" ht="26.25" thickBot="1">
      <c r="A169" s="3505">
        <v>168</v>
      </c>
      <c r="B169" s="3506" t="s">
        <v>4072</v>
      </c>
      <c r="C169" s="3507" t="s">
        <v>4077</v>
      </c>
      <c r="D169" s="3507" t="s">
        <v>3817</v>
      </c>
      <c r="E169" s="3508">
        <v>21.81</v>
      </c>
      <c r="F169" s="3509" t="s">
        <v>673</v>
      </c>
    </row>
    <row r="170" spans="1:6" ht="26.25" thickBot="1">
      <c r="A170" s="3505">
        <v>169</v>
      </c>
      <c r="B170" s="3506" t="s">
        <v>4072</v>
      </c>
      <c r="C170" s="3507" t="s">
        <v>4077</v>
      </c>
      <c r="D170" s="3507" t="s">
        <v>3818</v>
      </c>
      <c r="E170" s="3508">
        <v>38.07</v>
      </c>
      <c r="F170" s="3509" t="s">
        <v>673</v>
      </c>
    </row>
    <row r="171" spans="1:6" ht="26.25" thickBot="1">
      <c r="A171" s="3505">
        <v>170</v>
      </c>
      <c r="B171" s="3506" t="s">
        <v>4072</v>
      </c>
      <c r="C171" s="3507" t="s">
        <v>4078</v>
      </c>
      <c r="D171" s="3507" t="s">
        <v>3819</v>
      </c>
      <c r="E171" s="3508">
        <v>25.51</v>
      </c>
      <c r="F171" s="3509" t="s">
        <v>673</v>
      </c>
    </row>
    <row r="172" spans="1:6" ht="26.25" thickBot="1">
      <c r="A172" s="3505">
        <v>171</v>
      </c>
      <c r="B172" s="3506" t="s">
        <v>4072</v>
      </c>
      <c r="C172" s="3507" t="s">
        <v>4078</v>
      </c>
      <c r="D172" s="3507" t="s">
        <v>3820</v>
      </c>
      <c r="E172" s="3508">
        <v>23.18</v>
      </c>
      <c r="F172" s="3509" t="s">
        <v>673</v>
      </c>
    </row>
    <row r="173" spans="1:6" ht="26.25" thickBot="1">
      <c r="A173" s="3505">
        <v>172</v>
      </c>
      <c r="B173" s="3506" t="s">
        <v>4072</v>
      </c>
      <c r="C173" s="3507" t="s">
        <v>4078</v>
      </c>
      <c r="D173" s="3507" t="s">
        <v>3821</v>
      </c>
      <c r="E173" s="3508">
        <v>32.19</v>
      </c>
      <c r="F173" s="3509" t="s">
        <v>673</v>
      </c>
    </row>
    <row r="174" spans="1:6" ht="26.25" thickBot="1">
      <c r="A174" s="3505">
        <v>173</v>
      </c>
      <c r="B174" s="3506" t="s">
        <v>4072</v>
      </c>
      <c r="C174" s="3507" t="s">
        <v>4078</v>
      </c>
      <c r="D174" s="3507" t="s">
        <v>3822</v>
      </c>
      <c r="E174" s="3508">
        <v>24.18</v>
      </c>
      <c r="F174" s="3509" t="s">
        <v>673</v>
      </c>
    </row>
    <row r="175" spans="1:6" ht="26.25" thickBot="1">
      <c r="A175" s="3505">
        <v>174</v>
      </c>
      <c r="B175" s="3506" t="s">
        <v>4072</v>
      </c>
      <c r="C175" s="3507" t="s">
        <v>4078</v>
      </c>
      <c r="D175" s="3507" t="s">
        <v>3823</v>
      </c>
      <c r="E175" s="3508">
        <v>23.97</v>
      </c>
      <c r="F175" s="3509" t="s">
        <v>673</v>
      </c>
    </row>
    <row r="176" spans="1:6" ht="26.25" thickBot="1">
      <c r="A176" s="3505">
        <v>175</v>
      </c>
      <c r="B176" s="3506" t="s">
        <v>4072</v>
      </c>
      <c r="C176" s="3507" t="s">
        <v>4078</v>
      </c>
      <c r="D176" s="3507" t="s">
        <v>3824</v>
      </c>
      <c r="E176" s="3508">
        <v>23.76</v>
      </c>
      <c r="F176" s="3509" t="s">
        <v>673</v>
      </c>
    </row>
    <row r="177" spans="1:6" ht="26.25" thickBot="1">
      <c r="A177" s="3505">
        <v>176</v>
      </c>
      <c r="B177" s="3506" t="s">
        <v>4072</v>
      </c>
      <c r="C177" s="3507" t="s">
        <v>4078</v>
      </c>
      <c r="D177" s="3507" t="s">
        <v>3825</v>
      </c>
      <c r="E177" s="3508">
        <v>42.03</v>
      </c>
      <c r="F177" s="3509" t="s">
        <v>673</v>
      </c>
    </row>
    <row r="178" spans="1:6" ht="26.25" thickBot="1">
      <c r="A178" s="3505">
        <v>177</v>
      </c>
      <c r="B178" s="3506" t="s">
        <v>4072</v>
      </c>
      <c r="C178" s="3507" t="s">
        <v>4078</v>
      </c>
      <c r="D178" s="3507" t="s">
        <v>3827</v>
      </c>
      <c r="E178" s="3508">
        <v>35.33</v>
      </c>
      <c r="F178" s="3509" t="s">
        <v>673</v>
      </c>
    </row>
    <row r="179" spans="1:6" ht="26.25" thickBot="1">
      <c r="A179" s="3505">
        <v>178</v>
      </c>
      <c r="B179" s="3506" t="s">
        <v>4072</v>
      </c>
      <c r="C179" s="3507" t="s">
        <v>4078</v>
      </c>
      <c r="D179" s="3507" t="s">
        <v>3828</v>
      </c>
      <c r="E179" s="3508">
        <v>26.08</v>
      </c>
      <c r="F179" s="3509" t="s">
        <v>673</v>
      </c>
    </row>
    <row r="180" spans="1:6" ht="26.25" thickBot="1">
      <c r="A180" s="3505">
        <v>179</v>
      </c>
      <c r="B180" s="3506" t="s">
        <v>4072</v>
      </c>
      <c r="C180" s="3507" t="s">
        <v>4078</v>
      </c>
      <c r="D180" s="3507" t="s">
        <v>3829</v>
      </c>
      <c r="E180" s="3508">
        <v>35.6</v>
      </c>
      <c r="F180" s="3509" t="s">
        <v>673</v>
      </c>
    </row>
    <row r="181" spans="1:6" ht="26.25" thickBot="1">
      <c r="A181" s="3505">
        <v>180</v>
      </c>
      <c r="B181" s="3506" t="s">
        <v>4072</v>
      </c>
      <c r="C181" s="3507" t="s">
        <v>4078</v>
      </c>
      <c r="D181" s="3507" t="s">
        <v>3830</v>
      </c>
      <c r="E181" s="3508">
        <v>28.2</v>
      </c>
      <c r="F181" s="3509" t="s">
        <v>673</v>
      </c>
    </row>
    <row r="182" spans="1:6" ht="26.25" thickBot="1">
      <c r="A182" s="3505">
        <v>181</v>
      </c>
      <c r="B182" s="3506" t="s">
        <v>4072</v>
      </c>
      <c r="C182" s="3507" t="s">
        <v>4078</v>
      </c>
      <c r="D182" s="3507" t="s">
        <v>3831</v>
      </c>
      <c r="E182" s="3508">
        <v>23.89</v>
      </c>
      <c r="F182" s="3509" t="s">
        <v>673</v>
      </c>
    </row>
    <row r="183" spans="1:6" ht="26.25" thickBot="1">
      <c r="A183" s="3505">
        <v>182</v>
      </c>
      <c r="B183" s="3506" t="s">
        <v>4072</v>
      </c>
      <c r="C183" s="3507" t="s">
        <v>4078</v>
      </c>
      <c r="D183" s="3507" t="s">
        <v>3833</v>
      </c>
      <c r="E183" s="3508">
        <v>30.7</v>
      </c>
      <c r="F183" s="3509" t="s">
        <v>673</v>
      </c>
    </row>
    <row r="184" spans="1:6" ht="26.25" thickBot="1">
      <c r="A184" s="3505">
        <v>183</v>
      </c>
      <c r="B184" s="3506" t="s">
        <v>4072</v>
      </c>
      <c r="C184" s="3507" t="s">
        <v>4078</v>
      </c>
      <c r="D184" s="3507" t="s">
        <v>3834</v>
      </c>
      <c r="E184" s="3508">
        <v>24.39</v>
      </c>
      <c r="F184" s="3509" t="s">
        <v>673</v>
      </c>
    </row>
    <row r="185" spans="1:6" ht="26.25" thickBot="1">
      <c r="A185" s="3505">
        <v>184</v>
      </c>
      <c r="B185" s="3506" t="s">
        <v>4072</v>
      </c>
      <c r="C185" s="3507" t="s">
        <v>4078</v>
      </c>
      <c r="D185" s="3507" t="s">
        <v>3835</v>
      </c>
      <c r="E185" s="3508">
        <v>29.85</v>
      </c>
      <c r="F185" s="3509" t="s">
        <v>673</v>
      </c>
    </row>
    <row r="186" spans="1:6" ht="26.25" thickBot="1">
      <c r="A186" s="3505">
        <v>185</v>
      </c>
      <c r="B186" s="3506" t="s">
        <v>4072</v>
      </c>
      <c r="C186" s="3507" t="s">
        <v>4078</v>
      </c>
      <c r="D186" s="3507" t="s">
        <v>3836</v>
      </c>
      <c r="E186" s="3508">
        <v>29.73</v>
      </c>
      <c r="F186" s="3509" t="s">
        <v>673</v>
      </c>
    </row>
    <row r="187" spans="1:6" ht="26.25" thickBot="1">
      <c r="A187" s="3505">
        <v>186</v>
      </c>
      <c r="B187" s="3506" t="s">
        <v>4072</v>
      </c>
      <c r="C187" s="3507" t="s">
        <v>4078</v>
      </c>
      <c r="D187" s="3507" t="s">
        <v>3837</v>
      </c>
      <c r="E187" s="3508">
        <v>27.03</v>
      </c>
      <c r="F187" s="3509" t="s">
        <v>673</v>
      </c>
    </row>
    <row r="188" spans="1:6" ht="26.25" thickBot="1">
      <c r="A188" s="3505">
        <v>187</v>
      </c>
      <c r="B188" s="3506" t="s">
        <v>4072</v>
      </c>
      <c r="C188" s="3507" t="s">
        <v>4078</v>
      </c>
      <c r="D188" s="3507" t="s">
        <v>3838</v>
      </c>
      <c r="E188" s="3508">
        <v>34.04</v>
      </c>
      <c r="F188" s="3509" t="s">
        <v>673</v>
      </c>
    </row>
    <row r="189" spans="1:6" ht="26.25" thickBot="1">
      <c r="A189" s="3505">
        <v>188</v>
      </c>
      <c r="B189" s="3506" t="s">
        <v>4072</v>
      </c>
      <c r="C189" s="3507" t="s">
        <v>4078</v>
      </c>
      <c r="D189" s="3507" t="s">
        <v>3839</v>
      </c>
      <c r="E189" s="3508">
        <v>33.700000000000003</v>
      </c>
      <c r="F189" s="3509" t="s">
        <v>673</v>
      </c>
    </row>
    <row r="190" spans="1:6" ht="26.25" thickBot="1">
      <c r="A190" s="3505">
        <v>189</v>
      </c>
      <c r="B190" s="3506" t="s">
        <v>4072</v>
      </c>
      <c r="C190" s="3507" t="s">
        <v>4078</v>
      </c>
      <c r="D190" s="3507" t="s">
        <v>3840</v>
      </c>
      <c r="E190" s="3508">
        <v>27.71</v>
      </c>
      <c r="F190" s="3509" t="s">
        <v>673</v>
      </c>
    </row>
    <row r="191" spans="1:6" ht="26.25" thickBot="1">
      <c r="A191" s="3505">
        <v>190</v>
      </c>
      <c r="B191" s="3506" t="s">
        <v>4072</v>
      </c>
      <c r="C191" s="3507" t="s">
        <v>4078</v>
      </c>
      <c r="D191" s="3507" t="s">
        <v>3841</v>
      </c>
      <c r="E191" s="3508">
        <v>20.3</v>
      </c>
      <c r="F191" s="3509" t="s">
        <v>673</v>
      </c>
    </row>
    <row r="192" spans="1:6" ht="26.25" thickBot="1">
      <c r="A192" s="3505">
        <v>191</v>
      </c>
      <c r="B192" s="3506" t="s">
        <v>4072</v>
      </c>
      <c r="C192" s="3507" t="s">
        <v>4078</v>
      </c>
      <c r="D192" s="3507" t="s">
        <v>3844</v>
      </c>
      <c r="E192" s="3508">
        <v>20.62</v>
      </c>
      <c r="F192" s="3509" t="s">
        <v>673</v>
      </c>
    </row>
    <row r="193" spans="1:6" ht="26.25" thickBot="1">
      <c r="A193" s="3505">
        <v>192</v>
      </c>
      <c r="B193" s="3506" t="s">
        <v>4072</v>
      </c>
      <c r="C193" s="3507" t="s">
        <v>4078</v>
      </c>
      <c r="D193" s="3507" t="s">
        <v>3846</v>
      </c>
      <c r="E193" s="3508">
        <v>31.19</v>
      </c>
      <c r="F193" s="3509" t="s">
        <v>673</v>
      </c>
    </row>
    <row r="194" spans="1:6" ht="26.25" thickBot="1">
      <c r="A194" s="3505">
        <v>193</v>
      </c>
      <c r="B194" s="3506" t="s">
        <v>4072</v>
      </c>
      <c r="C194" s="3507" t="s">
        <v>4078</v>
      </c>
      <c r="D194" s="3507" t="s">
        <v>3847</v>
      </c>
      <c r="E194" s="3508">
        <v>11.19</v>
      </c>
      <c r="F194" s="3509" t="s">
        <v>673</v>
      </c>
    </row>
    <row r="195" spans="1:6" ht="26.25" thickBot="1">
      <c r="A195" s="3505">
        <v>194</v>
      </c>
      <c r="B195" s="3506" t="s">
        <v>4072</v>
      </c>
      <c r="C195" s="3507" t="s">
        <v>4078</v>
      </c>
      <c r="D195" s="3507" t="s">
        <v>3848</v>
      </c>
      <c r="E195" s="3508">
        <v>25.74</v>
      </c>
      <c r="F195" s="3509" t="s">
        <v>673</v>
      </c>
    </row>
    <row r="196" spans="1:6" ht="26.25" thickBot="1">
      <c r="A196" s="3505">
        <v>195</v>
      </c>
      <c r="B196" s="3506" t="s">
        <v>4072</v>
      </c>
      <c r="C196" s="3507" t="s">
        <v>4078</v>
      </c>
      <c r="D196" s="3507" t="s">
        <v>3849</v>
      </c>
      <c r="E196" s="3508">
        <v>22.57</v>
      </c>
      <c r="F196" s="3509" t="s">
        <v>673</v>
      </c>
    </row>
    <row r="197" spans="1:6" ht="26.25" thickBot="1">
      <c r="A197" s="3505">
        <v>196</v>
      </c>
      <c r="B197" s="3506" t="s">
        <v>4072</v>
      </c>
      <c r="C197" s="3507" t="s">
        <v>4078</v>
      </c>
      <c r="D197" s="3507" t="s">
        <v>3850</v>
      </c>
      <c r="E197" s="3508">
        <v>32.299999999999997</v>
      </c>
      <c r="F197" s="3509" t="s">
        <v>673</v>
      </c>
    </row>
    <row r="198" spans="1:6" ht="26.25" thickBot="1">
      <c r="A198" s="3505">
        <v>197</v>
      </c>
      <c r="B198" s="3506" t="s">
        <v>4072</v>
      </c>
      <c r="C198" s="3507" t="s">
        <v>4078</v>
      </c>
      <c r="D198" s="3507" t="s">
        <v>3851</v>
      </c>
      <c r="E198" s="3508">
        <v>19.3</v>
      </c>
      <c r="F198" s="3509" t="s">
        <v>673</v>
      </c>
    </row>
    <row r="199" spans="1:6" ht="26.25" thickBot="1">
      <c r="A199" s="3505">
        <v>198</v>
      </c>
      <c r="B199" s="3506" t="s">
        <v>4072</v>
      </c>
      <c r="C199" s="3507" t="s">
        <v>4078</v>
      </c>
      <c r="D199" s="3507" t="s">
        <v>3852</v>
      </c>
      <c r="E199" s="3508">
        <v>27.55</v>
      </c>
      <c r="F199" s="3509" t="s">
        <v>673</v>
      </c>
    </row>
    <row r="200" spans="1:6" ht="26.25" thickBot="1">
      <c r="A200" s="3505">
        <v>199</v>
      </c>
      <c r="B200" s="3506" t="s">
        <v>4072</v>
      </c>
      <c r="C200" s="3507" t="s">
        <v>4078</v>
      </c>
      <c r="D200" s="3507" t="s">
        <v>3853</v>
      </c>
      <c r="E200" s="3508">
        <v>51.6</v>
      </c>
      <c r="F200" s="3509" t="s">
        <v>673</v>
      </c>
    </row>
    <row r="201" spans="1:6" ht="26.25" thickBot="1">
      <c r="A201" s="3505">
        <v>200</v>
      </c>
      <c r="B201" s="3506" t="s">
        <v>4072</v>
      </c>
      <c r="C201" s="3507" t="s">
        <v>4078</v>
      </c>
      <c r="D201" s="3507" t="s">
        <v>3854</v>
      </c>
      <c r="E201" s="3508">
        <v>32.090000000000003</v>
      </c>
      <c r="F201" s="3509" t="s">
        <v>673</v>
      </c>
    </row>
    <row r="202" spans="1:6" ht="26.25" thickBot="1">
      <c r="A202" s="3505">
        <v>201</v>
      </c>
      <c r="B202" s="3506" t="s">
        <v>4072</v>
      </c>
      <c r="C202" s="3507" t="s">
        <v>4078</v>
      </c>
      <c r="D202" s="3507" t="s">
        <v>3855</v>
      </c>
      <c r="E202" s="3508">
        <v>32.090000000000003</v>
      </c>
      <c r="F202" s="3509" t="s">
        <v>673</v>
      </c>
    </row>
    <row r="203" spans="1:6" ht="26.25" thickBot="1">
      <c r="A203" s="3505">
        <v>202</v>
      </c>
      <c r="B203" s="3506" t="s">
        <v>4072</v>
      </c>
      <c r="C203" s="3507" t="s">
        <v>4078</v>
      </c>
      <c r="D203" s="3507" t="s">
        <v>3856</v>
      </c>
      <c r="E203" s="3508">
        <v>38.29</v>
      </c>
      <c r="F203" s="3509" t="s">
        <v>673</v>
      </c>
    </row>
    <row r="204" spans="1:6" ht="26.25" thickBot="1">
      <c r="A204" s="3505">
        <v>203</v>
      </c>
      <c r="B204" s="3506" t="s">
        <v>4072</v>
      </c>
      <c r="C204" s="3507" t="s">
        <v>4078</v>
      </c>
      <c r="D204" s="3507" t="s">
        <v>3857</v>
      </c>
      <c r="E204" s="3508">
        <v>37.35</v>
      </c>
      <c r="F204" s="3509" t="s">
        <v>673</v>
      </c>
    </row>
    <row r="205" spans="1:6" ht="26.25" thickBot="1">
      <c r="A205" s="3505">
        <v>204</v>
      </c>
      <c r="B205" s="3506" t="s">
        <v>4072</v>
      </c>
      <c r="C205" s="3507" t="s">
        <v>4078</v>
      </c>
      <c r="D205" s="3507" t="s">
        <v>3858</v>
      </c>
      <c r="E205" s="3508">
        <v>28.05</v>
      </c>
      <c r="F205" s="3509" t="s">
        <v>673</v>
      </c>
    </row>
    <row r="206" spans="1:6" ht="26.25" thickBot="1">
      <c r="A206" s="3505">
        <v>205</v>
      </c>
      <c r="B206" s="3506" t="s">
        <v>4072</v>
      </c>
      <c r="C206" s="3507" t="s">
        <v>4078</v>
      </c>
      <c r="D206" s="3507" t="s">
        <v>3859</v>
      </c>
      <c r="E206" s="3508">
        <v>61.31</v>
      </c>
      <c r="F206" s="3509" t="s">
        <v>673</v>
      </c>
    </row>
    <row r="207" spans="1:6" ht="26.25" thickBot="1">
      <c r="A207" s="3505">
        <v>206</v>
      </c>
      <c r="B207" s="3506" t="s">
        <v>4072</v>
      </c>
      <c r="C207" s="3507" t="s">
        <v>4078</v>
      </c>
      <c r="D207" s="3507" t="s">
        <v>3860</v>
      </c>
      <c r="E207" s="3508">
        <v>44.08</v>
      </c>
      <c r="F207" s="3509" t="s">
        <v>673</v>
      </c>
    </row>
    <row r="208" spans="1:6" ht="26.25" thickBot="1">
      <c r="A208" s="3505">
        <v>207</v>
      </c>
      <c r="B208" s="3506" t="s">
        <v>4072</v>
      </c>
      <c r="C208" s="3507" t="s">
        <v>4078</v>
      </c>
      <c r="D208" s="3507" t="s">
        <v>3861</v>
      </c>
      <c r="E208" s="3508">
        <v>53.92</v>
      </c>
      <c r="F208" s="3509" t="s">
        <v>673</v>
      </c>
    </row>
    <row r="209" spans="1:6" ht="26.25" thickBot="1">
      <c r="A209" s="3505">
        <v>208</v>
      </c>
      <c r="B209" s="3506" t="s">
        <v>4072</v>
      </c>
      <c r="C209" s="3507" t="s">
        <v>4078</v>
      </c>
      <c r="D209" s="3507" t="s">
        <v>3862</v>
      </c>
      <c r="E209" s="3508">
        <v>47.43</v>
      </c>
      <c r="F209" s="3509" t="s">
        <v>673</v>
      </c>
    </row>
    <row r="210" spans="1:6" ht="26.25" thickBot="1">
      <c r="A210" s="3505">
        <v>209</v>
      </c>
      <c r="B210" s="3506" t="s">
        <v>4072</v>
      </c>
      <c r="C210" s="3507" t="s">
        <v>4078</v>
      </c>
      <c r="D210" s="3507" t="s">
        <v>3863</v>
      </c>
      <c r="E210" s="3508">
        <v>35.04</v>
      </c>
      <c r="F210" s="3509" t="s">
        <v>673</v>
      </c>
    </row>
    <row r="211" spans="1:6" ht="26.25" thickBot="1">
      <c r="A211" s="3505">
        <v>210</v>
      </c>
      <c r="B211" s="3506" t="s">
        <v>4072</v>
      </c>
      <c r="C211" s="3507" t="s">
        <v>4078</v>
      </c>
      <c r="D211" s="3507" t="s">
        <v>3864</v>
      </c>
      <c r="E211" s="3508">
        <v>28.28</v>
      </c>
      <c r="F211" s="3509" t="s">
        <v>673</v>
      </c>
    </row>
    <row r="212" spans="1:6" ht="26.25" thickBot="1">
      <c r="A212" s="3505">
        <v>211</v>
      </c>
      <c r="B212" s="3506" t="s">
        <v>4072</v>
      </c>
      <c r="C212" s="3507" t="s">
        <v>4078</v>
      </c>
      <c r="D212" s="3507" t="s">
        <v>3865</v>
      </c>
      <c r="E212" s="3508">
        <v>23.68</v>
      </c>
      <c r="F212" s="3509" t="s">
        <v>673</v>
      </c>
    </row>
    <row r="213" spans="1:6" ht="26.25" thickBot="1">
      <c r="A213" s="3505">
        <v>212</v>
      </c>
      <c r="B213" s="3506" t="s">
        <v>4072</v>
      </c>
      <c r="C213" s="3507" t="s">
        <v>4078</v>
      </c>
      <c r="D213" s="3507" t="s">
        <v>3866</v>
      </c>
      <c r="E213" s="3508">
        <v>21.69</v>
      </c>
      <c r="F213" s="3509" t="s">
        <v>673</v>
      </c>
    </row>
    <row r="214" spans="1:6" ht="26.25" thickBot="1">
      <c r="A214" s="3505">
        <v>213</v>
      </c>
      <c r="B214" s="3506" t="s">
        <v>4072</v>
      </c>
      <c r="C214" s="3507" t="s">
        <v>4078</v>
      </c>
      <c r="D214" s="3507" t="s">
        <v>3867</v>
      </c>
      <c r="E214" s="3508">
        <v>23.37</v>
      </c>
      <c r="F214" s="3509" t="s">
        <v>673</v>
      </c>
    </row>
    <row r="215" spans="1:6" ht="26.25" thickBot="1">
      <c r="A215" s="3505">
        <v>214</v>
      </c>
      <c r="B215" s="3506" t="s">
        <v>4072</v>
      </c>
      <c r="C215" s="3507" t="s">
        <v>4078</v>
      </c>
      <c r="D215" s="3507" t="s">
        <v>3868</v>
      </c>
      <c r="E215" s="3508">
        <v>20.32</v>
      </c>
      <c r="F215" s="3509" t="s">
        <v>673</v>
      </c>
    </row>
    <row r="216" spans="1:6" ht="26.25" thickBot="1">
      <c r="A216" s="3505">
        <v>215</v>
      </c>
      <c r="B216" s="3506" t="s">
        <v>4072</v>
      </c>
      <c r="C216" s="3507" t="s">
        <v>4078</v>
      </c>
      <c r="D216" s="3507" t="s">
        <v>3869</v>
      </c>
      <c r="E216" s="3508">
        <v>20.45</v>
      </c>
      <c r="F216" s="3509" t="s">
        <v>673</v>
      </c>
    </row>
    <row r="217" spans="1:6" ht="26.25" thickBot="1">
      <c r="A217" s="3505">
        <v>216</v>
      </c>
      <c r="B217" s="3506" t="s">
        <v>4072</v>
      </c>
      <c r="C217" s="3507" t="s">
        <v>4078</v>
      </c>
      <c r="D217" s="3507" t="s">
        <v>3870</v>
      </c>
      <c r="E217" s="3508">
        <v>21.11</v>
      </c>
      <c r="F217" s="3509" t="s">
        <v>673</v>
      </c>
    </row>
    <row r="218" spans="1:6" ht="26.25" thickBot="1">
      <c r="A218" s="3505">
        <v>217</v>
      </c>
      <c r="B218" s="3506" t="s">
        <v>4072</v>
      </c>
      <c r="C218" s="3507" t="s">
        <v>4078</v>
      </c>
      <c r="D218" s="3507" t="s">
        <v>3871</v>
      </c>
      <c r="E218" s="3508">
        <v>20.66</v>
      </c>
      <c r="F218" s="3509" t="s">
        <v>673</v>
      </c>
    </row>
    <row r="219" spans="1:6" ht="26.25" thickBot="1">
      <c r="A219" s="3505">
        <v>218</v>
      </c>
      <c r="B219" s="3506" t="s">
        <v>4072</v>
      </c>
      <c r="C219" s="3507" t="s">
        <v>4078</v>
      </c>
      <c r="D219" s="3507" t="s">
        <v>3872</v>
      </c>
      <c r="E219" s="3508">
        <v>19.91</v>
      </c>
      <c r="F219" s="3509" t="s">
        <v>673</v>
      </c>
    </row>
    <row r="220" spans="1:6" ht="26.25" thickBot="1">
      <c r="A220" s="3505">
        <v>219</v>
      </c>
      <c r="B220" s="3506" t="s">
        <v>4072</v>
      </c>
      <c r="C220" s="3507" t="s">
        <v>4078</v>
      </c>
      <c r="D220" s="3507" t="s">
        <v>3873</v>
      </c>
      <c r="E220" s="3508">
        <v>31.58</v>
      </c>
      <c r="F220" s="3509" t="s">
        <v>673</v>
      </c>
    </row>
    <row r="221" spans="1:6" ht="26.25" thickBot="1">
      <c r="A221" s="3505">
        <v>220</v>
      </c>
      <c r="B221" s="3506" t="s">
        <v>4072</v>
      </c>
      <c r="C221" s="3507" t="s">
        <v>4078</v>
      </c>
      <c r="D221" s="3507" t="s">
        <v>3874</v>
      </c>
      <c r="E221" s="3508">
        <v>37.43</v>
      </c>
      <c r="F221" s="3509" t="s">
        <v>673</v>
      </c>
    </row>
    <row r="222" spans="1:6" ht="26.25" thickBot="1">
      <c r="A222" s="3505">
        <v>221</v>
      </c>
      <c r="B222" s="3506" t="s">
        <v>4072</v>
      </c>
      <c r="C222" s="3507" t="s">
        <v>4078</v>
      </c>
      <c r="D222" s="3507" t="s">
        <v>3875</v>
      </c>
      <c r="E222" s="3508">
        <v>23.05</v>
      </c>
      <c r="F222" s="3509" t="s">
        <v>673</v>
      </c>
    </row>
    <row r="223" spans="1:6" ht="26.25" thickBot="1">
      <c r="A223" s="3505">
        <v>222</v>
      </c>
      <c r="B223" s="3506" t="s">
        <v>4072</v>
      </c>
      <c r="C223" s="3507" t="s">
        <v>4078</v>
      </c>
      <c r="D223" s="3507" t="s">
        <v>3876</v>
      </c>
      <c r="E223" s="3508">
        <v>23.42</v>
      </c>
      <c r="F223" s="3509" t="s">
        <v>673</v>
      </c>
    </row>
    <row r="224" spans="1:6" ht="26.25" thickBot="1">
      <c r="A224" s="3505">
        <v>223</v>
      </c>
      <c r="B224" s="3506" t="s">
        <v>4072</v>
      </c>
      <c r="C224" s="3507" t="s">
        <v>4078</v>
      </c>
      <c r="D224" s="3507" t="s">
        <v>3877</v>
      </c>
      <c r="E224" s="3508">
        <v>28.52</v>
      </c>
      <c r="F224" s="3509" t="s">
        <v>673</v>
      </c>
    </row>
    <row r="225" spans="1:6" ht="26.25" thickBot="1">
      <c r="A225" s="3505">
        <v>224</v>
      </c>
      <c r="B225" s="3506" t="s">
        <v>4072</v>
      </c>
      <c r="C225" s="3507" t="s">
        <v>4078</v>
      </c>
      <c r="D225" s="3507" t="s">
        <v>3878</v>
      </c>
      <c r="E225" s="3508">
        <v>29.15</v>
      </c>
      <c r="F225" s="3509" t="s">
        <v>673</v>
      </c>
    </row>
    <row r="226" spans="1:6" ht="26.25" thickBot="1">
      <c r="A226" s="3505">
        <v>225</v>
      </c>
      <c r="B226" s="3506" t="s">
        <v>4072</v>
      </c>
      <c r="C226" s="3507" t="s">
        <v>4078</v>
      </c>
      <c r="D226" s="3507" t="s">
        <v>3879</v>
      </c>
      <c r="E226" s="3508">
        <v>32.47</v>
      </c>
      <c r="F226" s="3509" t="s">
        <v>673</v>
      </c>
    </row>
    <row r="227" spans="1:6" ht="26.25" thickBot="1">
      <c r="A227" s="3505">
        <v>226</v>
      </c>
      <c r="B227" s="3506" t="s">
        <v>4072</v>
      </c>
      <c r="C227" s="3507" t="s">
        <v>4078</v>
      </c>
      <c r="D227" s="3507" t="s">
        <v>3880</v>
      </c>
      <c r="E227" s="3508">
        <v>37.76</v>
      </c>
      <c r="F227" s="3509" t="s">
        <v>673</v>
      </c>
    </row>
    <row r="228" spans="1:6" ht="26.25" thickBot="1">
      <c r="A228" s="3505">
        <v>227</v>
      </c>
      <c r="B228" s="3506" t="s">
        <v>4072</v>
      </c>
      <c r="C228" s="3507" t="s">
        <v>4078</v>
      </c>
      <c r="D228" s="3507" t="s">
        <v>3885</v>
      </c>
      <c r="E228" s="3508">
        <v>27.84</v>
      </c>
      <c r="F228" s="3509" t="s">
        <v>673</v>
      </c>
    </row>
    <row r="229" spans="1:6" ht="26.25" thickBot="1">
      <c r="A229" s="3505">
        <v>228</v>
      </c>
      <c r="B229" s="3506" t="s">
        <v>4072</v>
      </c>
      <c r="C229" s="3507" t="s">
        <v>4078</v>
      </c>
      <c r="D229" s="3507" t="s">
        <v>3886</v>
      </c>
      <c r="E229" s="3508">
        <v>22.45</v>
      </c>
      <c r="F229" s="3509" t="s">
        <v>673</v>
      </c>
    </row>
    <row r="230" spans="1:6" ht="26.25" thickBot="1">
      <c r="A230" s="3505">
        <v>229</v>
      </c>
      <c r="B230" s="3506" t="s">
        <v>4072</v>
      </c>
      <c r="C230" s="3507" t="s">
        <v>4078</v>
      </c>
      <c r="D230" s="3507" t="s">
        <v>3888</v>
      </c>
      <c r="E230" s="3508">
        <v>19.8</v>
      </c>
      <c r="F230" s="3509" t="s">
        <v>673</v>
      </c>
    </row>
    <row r="231" spans="1:6" ht="26.25" thickBot="1">
      <c r="A231" s="3505">
        <v>230</v>
      </c>
      <c r="B231" s="3506" t="s">
        <v>4072</v>
      </c>
      <c r="C231" s="3507" t="s">
        <v>4078</v>
      </c>
      <c r="D231" s="3507" t="s">
        <v>3889</v>
      </c>
      <c r="E231" s="3508">
        <v>26.01</v>
      </c>
      <c r="F231" s="3509" t="s">
        <v>673</v>
      </c>
    </row>
    <row r="232" spans="1:6" ht="26.25" thickBot="1">
      <c r="A232" s="3505">
        <v>231</v>
      </c>
      <c r="B232" s="3506" t="s">
        <v>4072</v>
      </c>
      <c r="C232" s="3507" t="s">
        <v>4078</v>
      </c>
      <c r="D232" s="3507" t="s">
        <v>3890</v>
      </c>
      <c r="E232" s="3508">
        <v>70.95</v>
      </c>
      <c r="F232" s="3509" t="s">
        <v>673</v>
      </c>
    </row>
    <row r="233" spans="1:6" ht="26.25" thickBot="1">
      <c r="A233" s="3505">
        <v>232</v>
      </c>
      <c r="B233" s="3506" t="s">
        <v>4072</v>
      </c>
      <c r="C233" s="3507" t="s">
        <v>4078</v>
      </c>
      <c r="D233" s="3507" t="s">
        <v>3892</v>
      </c>
      <c r="E233" s="3508">
        <v>30.59</v>
      </c>
      <c r="F233" s="3509" t="s">
        <v>673</v>
      </c>
    </row>
    <row r="234" spans="1:6" ht="26.25" thickBot="1">
      <c r="A234" s="3505">
        <v>233</v>
      </c>
      <c r="B234" s="3506" t="s">
        <v>4072</v>
      </c>
      <c r="C234" s="3507" t="s">
        <v>4078</v>
      </c>
      <c r="D234" s="3507" t="s">
        <v>3893</v>
      </c>
      <c r="E234" s="3508">
        <v>28.52</v>
      </c>
      <c r="F234" s="3509" t="s">
        <v>673</v>
      </c>
    </row>
    <row r="235" spans="1:6" ht="26.25" thickBot="1">
      <c r="A235" s="3505">
        <v>234</v>
      </c>
      <c r="B235" s="3506" t="s">
        <v>4072</v>
      </c>
      <c r="C235" s="3507" t="s">
        <v>4078</v>
      </c>
      <c r="D235" s="3507" t="s">
        <v>3894</v>
      </c>
      <c r="E235" s="3508">
        <v>27.6</v>
      </c>
      <c r="F235" s="3509" t="s">
        <v>673</v>
      </c>
    </row>
    <row r="236" spans="1:6" ht="26.25" thickBot="1">
      <c r="A236" s="3505">
        <v>235</v>
      </c>
      <c r="B236" s="3506" t="s">
        <v>4072</v>
      </c>
      <c r="C236" s="3507" t="s">
        <v>4078</v>
      </c>
      <c r="D236" s="3507" t="s">
        <v>3897</v>
      </c>
      <c r="E236" s="3508">
        <v>24.96</v>
      </c>
      <c r="F236" s="3509" t="s">
        <v>673</v>
      </c>
    </row>
    <row r="237" spans="1:6" ht="26.25" thickBot="1">
      <c r="A237" s="3505">
        <v>236</v>
      </c>
      <c r="B237" s="3506" t="s">
        <v>4072</v>
      </c>
      <c r="C237" s="3507" t="s">
        <v>4078</v>
      </c>
      <c r="D237" s="3507" t="s">
        <v>3898</v>
      </c>
      <c r="E237" s="3508">
        <v>22.5</v>
      </c>
      <c r="F237" s="3509" t="s">
        <v>673</v>
      </c>
    </row>
    <row r="238" spans="1:6" ht="26.25" thickBot="1">
      <c r="A238" s="3505">
        <v>237</v>
      </c>
      <c r="B238" s="3506" t="s">
        <v>4072</v>
      </c>
      <c r="C238" s="3507" t="s">
        <v>4078</v>
      </c>
      <c r="D238" s="3507" t="s">
        <v>3899</v>
      </c>
      <c r="E238" s="3508">
        <v>24.02</v>
      </c>
      <c r="F238" s="3509" t="s">
        <v>673</v>
      </c>
    </row>
    <row r="239" spans="1:6" ht="26.25" thickBot="1">
      <c r="A239" s="3505">
        <v>238</v>
      </c>
      <c r="B239" s="3506" t="s">
        <v>4072</v>
      </c>
      <c r="C239" s="3507" t="s">
        <v>4078</v>
      </c>
      <c r="D239" s="3507" t="s">
        <v>3900</v>
      </c>
      <c r="E239" s="3508">
        <v>18.850000000000001</v>
      </c>
      <c r="F239" s="3509" t="s">
        <v>673</v>
      </c>
    </row>
    <row r="240" spans="1:6" ht="26.25" thickBot="1">
      <c r="A240" s="3505">
        <v>239</v>
      </c>
      <c r="B240" s="3506" t="s">
        <v>4072</v>
      </c>
      <c r="C240" s="3507" t="s">
        <v>4078</v>
      </c>
      <c r="D240" s="3507" t="s">
        <v>3901</v>
      </c>
      <c r="E240" s="3508">
        <v>18.73</v>
      </c>
      <c r="F240" s="3509" t="s">
        <v>673</v>
      </c>
    </row>
    <row r="241" spans="1:6" ht="26.25" thickBot="1">
      <c r="A241" s="3505">
        <v>240</v>
      </c>
      <c r="B241" s="3506" t="s">
        <v>4072</v>
      </c>
      <c r="C241" s="3507" t="s">
        <v>4078</v>
      </c>
      <c r="D241" s="3507" t="s">
        <v>3903</v>
      </c>
      <c r="E241" s="3508">
        <v>26.67</v>
      </c>
      <c r="F241" s="3509" t="s">
        <v>673</v>
      </c>
    </row>
    <row r="242" spans="1:6" ht="26.25" thickBot="1">
      <c r="A242" s="3505">
        <v>241</v>
      </c>
      <c r="B242" s="3506" t="s">
        <v>4072</v>
      </c>
      <c r="C242" s="3507" t="s">
        <v>4078</v>
      </c>
      <c r="D242" s="3507" t="s">
        <v>3905</v>
      </c>
      <c r="E242" s="3508">
        <v>18.02</v>
      </c>
      <c r="F242" s="3509" t="s">
        <v>673</v>
      </c>
    </row>
    <row r="243" spans="1:6" ht="26.25" thickBot="1">
      <c r="A243" s="3505">
        <v>242</v>
      </c>
      <c r="B243" s="3506" t="s">
        <v>4072</v>
      </c>
      <c r="C243" s="3507" t="s">
        <v>4078</v>
      </c>
      <c r="D243" s="3507" t="s">
        <v>3906</v>
      </c>
      <c r="E243" s="3508">
        <v>24.72</v>
      </c>
      <c r="F243" s="3509" t="s">
        <v>673</v>
      </c>
    </row>
    <row r="244" spans="1:6" ht="26.25" thickBot="1">
      <c r="A244" s="3505">
        <v>243</v>
      </c>
      <c r="B244" s="3506" t="s">
        <v>4072</v>
      </c>
      <c r="C244" s="3507" t="s">
        <v>4078</v>
      </c>
      <c r="D244" s="3507" t="s">
        <v>3907</v>
      </c>
      <c r="E244" s="3508">
        <v>27.48</v>
      </c>
      <c r="F244" s="3509" t="s">
        <v>673</v>
      </c>
    </row>
    <row r="245" spans="1:6" ht="26.25" thickBot="1">
      <c r="A245" s="3505">
        <v>244</v>
      </c>
      <c r="B245" s="3506" t="s">
        <v>4072</v>
      </c>
      <c r="C245" s="3507" t="s">
        <v>4078</v>
      </c>
      <c r="D245" s="3507" t="s">
        <v>3908</v>
      </c>
      <c r="E245" s="3508">
        <v>27.45</v>
      </c>
      <c r="F245" s="3509" t="s">
        <v>673</v>
      </c>
    </row>
    <row r="246" spans="1:6" ht="26.25" thickBot="1">
      <c r="A246" s="3505">
        <v>245</v>
      </c>
      <c r="B246" s="3506" t="s">
        <v>4072</v>
      </c>
      <c r="C246" s="3507" t="s">
        <v>4078</v>
      </c>
      <c r="D246" s="3507" t="s">
        <v>3909</v>
      </c>
      <c r="E246" s="3508">
        <v>24.73</v>
      </c>
      <c r="F246" s="3509" t="s">
        <v>673</v>
      </c>
    </row>
    <row r="247" spans="1:6" ht="26.25" thickBot="1">
      <c r="A247" s="3505">
        <v>246</v>
      </c>
      <c r="B247" s="3506" t="s">
        <v>4072</v>
      </c>
      <c r="C247" s="3507" t="s">
        <v>4078</v>
      </c>
      <c r="D247" s="3507" t="s">
        <v>3910</v>
      </c>
      <c r="E247" s="3508">
        <v>27.74</v>
      </c>
      <c r="F247" s="3509" t="s">
        <v>673</v>
      </c>
    </row>
    <row r="248" spans="1:6" ht="26.25" thickBot="1">
      <c r="A248" s="3505">
        <v>247</v>
      </c>
      <c r="B248" s="3506" t="s">
        <v>4072</v>
      </c>
      <c r="C248" s="3507" t="s">
        <v>4078</v>
      </c>
      <c r="D248" s="3507" t="s">
        <v>3911</v>
      </c>
      <c r="E248" s="3508">
        <v>27.18</v>
      </c>
      <c r="F248" s="3509" t="s">
        <v>673</v>
      </c>
    </row>
    <row r="249" spans="1:6" ht="26.25" thickBot="1">
      <c r="A249" s="3505">
        <v>248</v>
      </c>
      <c r="B249" s="3506" t="s">
        <v>4072</v>
      </c>
      <c r="C249" s="3507" t="s">
        <v>4078</v>
      </c>
      <c r="D249" s="3507" t="s">
        <v>3912</v>
      </c>
      <c r="E249" s="3508">
        <v>27.31</v>
      </c>
      <c r="F249" s="3509" t="s">
        <v>673</v>
      </c>
    </row>
    <row r="250" spans="1:6" ht="26.25" thickBot="1">
      <c r="A250" s="3505">
        <v>249</v>
      </c>
      <c r="B250" s="3506" t="s">
        <v>4072</v>
      </c>
      <c r="C250" s="3507" t="s">
        <v>4078</v>
      </c>
      <c r="D250" s="3507" t="s">
        <v>3913</v>
      </c>
      <c r="E250" s="3508">
        <v>27.53</v>
      </c>
      <c r="F250" s="3509" t="s">
        <v>673</v>
      </c>
    </row>
    <row r="251" spans="1:6" ht="26.25" thickBot="1">
      <c r="A251" s="3505">
        <v>250</v>
      </c>
      <c r="B251" s="3506" t="s">
        <v>4072</v>
      </c>
      <c r="C251" s="3507" t="s">
        <v>4078</v>
      </c>
      <c r="D251" s="3507" t="s">
        <v>3914</v>
      </c>
      <c r="E251" s="3508">
        <v>27.74</v>
      </c>
      <c r="F251" s="3509" t="s">
        <v>673</v>
      </c>
    </row>
    <row r="252" spans="1:6" ht="26.25" thickBot="1">
      <c r="A252" s="3505">
        <v>251</v>
      </c>
      <c r="B252" s="3506" t="s">
        <v>4072</v>
      </c>
      <c r="C252" s="3507" t="s">
        <v>4078</v>
      </c>
      <c r="D252" s="3507" t="s">
        <v>3915</v>
      </c>
      <c r="E252" s="3508">
        <v>27.97</v>
      </c>
      <c r="F252" s="3509" t="s">
        <v>673</v>
      </c>
    </row>
    <row r="253" spans="1:6" ht="26.25" thickBot="1">
      <c r="A253" s="3505">
        <v>252</v>
      </c>
      <c r="B253" s="3506" t="s">
        <v>4072</v>
      </c>
      <c r="C253" s="3507" t="s">
        <v>4078</v>
      </c>
      <c r="D253" s="3507" t="s">
        <v>3916</v>
      </c>
      <c r="E253" s="3508">
        <v>28.2</v>
      </c>
      <c r="F253" s="3509" t="s">
        <v>673</v>
      </c>
    </row>
    <row r="254" spans="1:6" ht="26.25" thickBot="1">
      <c r="A254" s="3505">
        <v>253</v>
      </c>
      <c r="B254" s="3506" t="s">
        <v>4072</v>
      </c>
      <c r="C254" s="3507" t="s">
        <v>4078</v>
      </c>
      <c r="D254" s="3507" t="s">
        <v>3917</v>
      </c>
      <c r="E254" s="3508">
        <v>28.23</v>
      </c>
      <c r="F254" s="3509" t="s">
        <v>673</v>
      </c>
    </row>
    <row r="255" spans="1:6" ht="26.25" thickBot="1">
      <c r="A255" s="3505">
        <v>254</v>
      </c>
      <c r="B255" s="3506" t="s">
        <v>4072</v>
      </c>
      <c r="C255" s="3507" t="s">
        <v>4078</v>
      </c>
      <c r="D255" s="3507" t="s">
        <v>3918</v>
      </c>
      <c r="E255" s="3508">
        <v>26.58</v>
      </c>
      <c r="F255" s="3509" t="s">
        <v>673</v>
      </c>
    </row>
    <row r="256" spans="1:6" ht="26.25" thickBot="1">
      <c r="A256" s="3505">
        <v>255</v>
      </c>
      <c r="B256" s="3506" t="s">
        <v>4072</v>
      </c>
      <c r="C256" s="3507" t="s">
        <v>4078</v>
      </c>
      <c r="D256" s="3507" t="s">
        <v>3919</v>
      </c>
      <c r="E256" s="3508">
        <v>40.299999999999997</v>
      </c>
      <c r="F256" s="3509" t="s">
        <v>673</v>
      </c>
    </row>
    <row r="257" spans="1:6" ht="26.25" thickBot="1">
      <c r="A257" s="3505">
        <v>256</v>
      </c>
      <c r="B257" s="3506" t="s">
        <v>4072</v>
      </c>
      <c r="C257" s="3507" t="s">
        <v>4078</v>
      </c>
      <c r="D257" s="3507" t="s">
        <v>3921</v>
      </c>
      <c r="E257" s="3508">
        <v>18.57</v>
      </c>
      <c r="F257" s="3509" t="s">
        <v>673</v>
      </c>
    </row>
    <row r="258" spans="1:6" ht="26.25" thickBot="1">
      <c r="A258" s="3505">
        <v>257</v>
      </c>
      <c r="B258" s="3506" t="s">
        <v>4072</v>
      </c>
      <c r="C258" s="3507" t="s">
        <v>4078</v>
      </c>
      <c r="D258" s="3507" t="s">
        <v>3924</v>
      </c>
      <c r="E258" s="3508">
        <v>19.96</v>
      </c>
      <c r="F258" s="3509" t="s">
        <v>673</v>
      </c>
    </row>
    <row r="259" spans="1:6" ht="26.25" thickBot="1">
      <c r="A259" s="3505">
        <v>258</v>
      </c>
      <c r="B259" s="3506" t="s">
        <v>4072</v>
      </c>
      <c r="C259" s="3507" t="s">
        <v>4078</v>
      </c>
      <c r="D259" s="3507" t="s">
        <v>3925</v>
      </c>
      <c r="E259" s="3508">
        <v>53.16</v>
      </c>
      <c r="F259" s="3509" t="s">
        <v>673</v>
      </c>
    </row>
    <row r="260" spans="1:6" ht="26.25" thickBot="1">
      <c r="A260" s="3505">
        <v>259</v>
      </c>
      <c r="B260" s="3506" t="s">
        <v>4072</v>
      </c>
      <c r="C260" s="3507" t="s">
        <v>4078</v>
      </c>
      <c r="D260" s="3507" t="s">
        <v>3926</v>
      </c>
      <c r="E260" s="3508">
        <v>53.16</v>
      </c>
      <c r="F260" s="3509" t="s">
        <v>673</v>
      </c>
    </row>
    <row r="261" spans="1:6" ht="26.25" thickBot="1">
      <c r="A261" s="3505">
        <v>260</v>
      </c>
      <c r="B261" s="3506" t="s">
        <v>4072</v>
      </c>
      <c r="C261" s="3507" t="s">
        <v>4078</v>
      </c>
      <c r="D261" s="3507" t="s">
        <v>3927</v>
      </c>
      <c r="E261" s="3508">
        <v>23.41</v>
      </c>
      <c r="F261" s="3509" t="s">
        <v>673</v>
      </c>
    </row>
    <row r="262" spans="1:6" ht="26.25" thickBot="1">
      <c r="A262" s="3505">
        <v>261</v>
      </c>
      <c r="B262" s="3506" t="s">
        <v>4072</v>
      </c>
      <c r="C262" s="3507" t="s">
        <v>4078</v>
      </c>
      <c r="D262" s="3507" t="s">
        <v>3928</v>
      </c>
      <c r="E262" s="3508">
        <v>29.75</v>
      </c>
      <c r="F262" s="3509" t="s">
        <v>673</v>
      </c>
    </row>
    <row r="263" spans="1:6" ht="26.25" thickBot="1">
      <c r="A263" s="3505">
        <v>262</v>
      </c>
      <c r="B263" s="3506" t="s">
        <v>4072</v>
      </c>
      <c r="C263" s="3507" t="s">
        <v>4078</v>
      </c>
      <c r="D263" s="3507" t="s">
        <v>3930</v>
      </c>
      <c r="E263" s="3508">
        <v>20.27</v>
      </c>
      <c r="F263" s="3509" t="s">
        <v>673</v>
      </c>
    </row>
    <row r="264" spans="1:6" ht="26.25" thickBot="1">
      <c r="A264" s="3505">
        <v>263</v>
      </c>
      <c r="B264" s="3506" t="s">
        <v>4072</v>
      </c>
      <c r="C264" s="3507" t="s">
        <v>4078</v>
      </c>
      <c r="D264" s="3507" t="s">
        <v>3931</v>
      </c>
      <c r="E264" s="3508">
        <v>25.41</v>
      </c>
      <c r="F264" s="3509" t="s">
        <v>673</v>
      </c>
    </row>
    <row r="265" spans="1:6" ht="26.25" thickBot="1">
      <c r="A265" s="3505">
        <v>264</v>
      </c>
      <c r="B265" s="3506" t="s">
        <v>4072</v>
      </c>
      <c r="C265" s="3507" t="s">
        <v>4078</v>
      </c>
      <c r="D265" s="3507" t="s">
        <v>3932</v>
      </c>
      <c r="E265" s="3508">
        <v>26.48</v>
      </c>
      <c r="F265" s="3509" t="s">
        <v>673</v>
      </c>
    </row>
    <row r="266" spans="1:6" ht="26.25" thickBot="1">
      <c r="A266" s="3505">
        <v>265</v>
      </c>
      <c r="B266" s="3506" t="s">
        <v>4072</v>
      </c>
      <c r="C266" s="3507" t="s">
        <v>4078</v>
      </c>
      <c r="D266" s="3507" t="s">
        <v>3933</v>
      </c>
      <c r="E266" s="3508">
        <v>23.57</v>
      </c>
      <c r="F266" s="3509" t="s">
        <v>673</v>
      </c>
    </row>
    <row r="267" spans="1:6" ht="26.25" thickBot="1">
      <c r="A267" s="3505">
        <v>266</v>
      </c>
      <c r="B267" s="3506" t="s">
        <v>4072</v>
      </c>
      <c r="C267" s="3507" t="s">
        <v>4078</v>
      </c>
      <c r="D267" s="3507" t="s">
        <v>3934</v>
      </c>
      <c r="E267" s="3508">
        <v>24.6</v>
      </c>
      <c r="F267" s="3509" t="s">
        <v>673</v>
      </c>
    </row>
    <row r="268" spans="1:6" ht="26.25" thickBot="1">
      <c r="A268" s="3505">
        <v>267</v>
      </c>
      <c r="B268" s="3506" t="s">
        <v>4072</v>
      </c>
      <c r="C268" s="3507" t="s">
        <v>4078</v>
      </c>
      <c r="D268" s="3507" t="s">
        <v>3935</v>
      </c>
      <c r="E268" s="3508">
        <v>22.63</v>
      </c>
      <c r="F268" s="3509" t="s">
        <v>673</v>
      </c>
    </row>
    <row r="269" spans="1:6" ht="26.25" thickBot="1">
      <c r="A269" s="3505">
        <v>268</v>
      </c>
      <c r="B269" s="3506" t="s">
        <v>4072</v>
      </c>
      <c r="C269" s="3507" t="s">
        <v>4078</v>
      </c>
      <c r="D269" s="3507" t="s">
        <v>3936</v>
      </c>
      <c r="E269" s="3508">
        <v>20.45</v>
      </c>
      <c r="F269" s="3509" t="s">
        <v>673</v>
      </c>
    </row>
    <row r="270" spans="1:6" ht="26.25" thickBot="1">
      <c r="A270" s="3505">
        <v>269</v>
      </c>
      <c r="B270" s="3506" t="s">
        <v>4072</v>
      </c>
      <c r="C270" s="3507" t="s">
        <v>4078</v>
      </c>
      <c r="D270" s="3507" t="s">
        <v>3937</v>
      </c>
      <c r="E270" s="3508">
        <v>26.98</v>
      </c>
      <c r="F270" s="3509" t="s">
        <v>673</v>
      </c>
    </row>
    <row r="271" spans="1:6" ht="26.25" thickBot="1">
      <c r="A271" s="3505">
        <v>270</v>
      </c>
      <c r="B271" s="3506" t="s">
        <v>4072</v>
      </c>
      <c r="C271" s="3507" t="s">
        <v>4078</v>
      </c>
      <c r="D271" s="3507" t="s">
        <v>3938</v>
      </c>
      <c r="E271" s="3508">
        <v>27.39</v>
      </c>
      <c r="F271" s="3509" t="s">
        <v>673</v>
      </c>
    </row>
    <row r="272" spans="1:6" ht="26.25" thickBot="1">
      <c r="A272" s="3505">
        <v>271</v>
      </c>
      <c r="B272" s="3506" t="s">
        <v>4072</v>
      </c>
      <c r="C272" s="3507" t="s">
        <v>4078</v>
      </c>
      <c r="D272" s="3507" t="s">
        <v>3939</v>
      </c>
      <c r="E272" s="3508">
        <v>23.76</v>
      </c>
      <c r="F272" s="3509" t="s">
        <v>673</v>
      </c>
    </row>
    <row r="273" spans="1:6" ht="26.25" thickBot="1">
      <c r="A273" s="3505">
        <v>272</v>
      </c>
      <c r="B273" s="3506" t="s">
        <v>4072</v>
      </c>
      <c r="C273" s="3507" t="s">
        <v>4078</v>
      </c>
      <c r="D273" s="3507" t="s">
        <v>3940</v>
      </c>
      <c r="E273" s="3508">
        <v>26.51</v>
      </c>
      <c r="F273" s="3509" t="s">
        <v>673</v>
      </c>
    </row>
    <row r="274" spans="1:6" ht="26.25" thickBot="1">
      <c r="A274" s="3505">
        <v>273</v>
      </c>
      <c r="B274" s="3506" t="s">
        <v>4072</v>
      </c>
      <c r="C274" s="3507" t="s">
        <v>4078</v>
      </c>
      <c r="D274" s="3507" t="s">
        <v>3941</v>
      </c>
      <c r="E274" s="3508">
        <v>27</v>
      </c>
      <c r="F274" s="3509" t="s">
        <v>673</v>
      </c>
    </row>
    <row r="275" spans="1:6" ht="26.25" thickBot="1">
      <c r="A275" s="3505">
        <v>274</v>
      </c>
      <c r="B275" s="3506" t="s">
        <v>4072</v>
      </c>
      <c r="C275" s="3507" t="s">
        <v>4078</v>
      </c>
      <c r="D275" s="3507" t="s">
        <v>3942</v>
      </c>
      <c r="E275" s="3508">
        <v>21.82</v>
      </c>
      <c r="F275" s="3509" t="s">
        <v>673</v>
      </c>
    </row>
    <row r="276" spans="1:6" ht="26.25" thickBot="1">
      <c r="A276" s="3505">
        <v>275</v>
      </c>
      <c r="B276" s="3506" t="s">
        <v>4072</v>
      </c>
      <c r="C276" s="3507" t="s">
        <v>4078</v>
      </c>
      <c r="D276" s="3507" t="s">
        <v>3943</v>
      </c>
      <c r="E276" s="3508">
        <v>37.64</v>
      </c>
      <c r="F276" s="3509" t="s">
        <v>673</v>
      </c>
    </row>
    <row r="277" spans="1:6" ht="26.25" thickBot="1">
      <c r="A277" s="3505">
        <v>276</v>
      </c>
      <c r="B277" s="3506" t="s">
        <v>4072</v>
      </c>
      <c r="C277" s="3507" t="s">
        <v>4078</v>
      </c>
      <c r="D277" s="3507" t="s">
        <v>3944</v>
      </c>
      <c r="E277" s="3508">
        <v>27.45</v>
      </c>
      <c r="F277" s="3509" t="s">
        <v>673</v>
      </c>
    </row>
    <row r="278" spans="1:6" ht="26.25" thickBot="1">
      <c r="A278" s="3505">
        <v>277</v>
      </c>
      <c r="B278" s="3506" t="s">
        <v>4072</v>
      </c>
      <c r="C278" s="3507" t="s">
        <v>4078</v>
      </c>
      <c r="D278" s="3507" t="s">
        <v>3945</v>
      </c>
      <c r="E278" s="3508">
        <v>18.18</v>
      </c>
      <c r="F278" s="3509" t="s">
        <v>673</v>
      </c>
    </row>
    <row r="279" spans="1:6" ht="26.25" thickBot="1">
      <c r="A279" s="3505">
        <v>278</v>
      </c>
      <c r="B279" s="3506" t="s">
        <v>4072</v>
      </c>
      <c r="C279" s="3507" t="s">
        <v>4078</v>
      </c>
      <c r="D279" s="3507" t="s">
        <v>3946</v>
      </c>
      <c r="E279" s="3508">
        <v>20.059999999999999</v>
      </c>
      <c r="F279" s="3509" t="s">
        <v>673</v>
      </c>
    </row>
    <row r="280" spans="1:6" ht="26.25" thickBot="1">
      <c r="A280" s="3505">
        <v>279</v>
      </c>
      <c r="B280" s="3506" t="s">
        <v>4072</v>
      </c>
      <c r="C280" s="3507" t="s">
        <v>4078</v>
      </c>
      <c r="D280" s="3507" t="s">
        <v>3947</v>
      </c>
      <c r="E280" s="3508">
        <v>27.47</v>
      </c>
      <c r="F280" s="3509" t="s">
        <v>673</v>
      </c>
    </row>
    <row r="281" spans="1:6" ht="26.25" thickBot="1">
      <c r="A281" s="3505">
        <v>280</v>
      </c>
      <c r="B281" s="3506" t="s">
        <v>4072</v>
      </c>
      <c r="C281" s="3507" t="s">
        <v>4078</v>
      </c>
      <c r="D281" s="3507" t="s">
        <v>3948</v>
      </c>
      <c r="E281" s="3508">
        <v>38.369999999999997</v>
      </c>
      <c r="F281" s="3509" t="s">
        <v>673</v>
      </c>
    </row>
    <row r="282" spans="1:6" ht="26.25" thickBot="1">
      <c r="A282" s="3505">
        <v>281</v>
      </c>
      <c r="B282" s="3506" t="s">
        <v>4072</v>
      </c>
      <c r="C282" s="3507" t="s">
        <v>4078</v>
      </c>
      <c r="D282" s="3507" t="s">
        <v>3949</v>
      </c>
      <c r="E282" s="3508">
        <v>28.78</v>
      </c>
      <c r="F282" s="3509" t="s">
        <v>673</v>
      </c>
    </row>
    <row r="283" spans="1:6" ht="26.25" thickBot="1">
      <c r="A283" s="3505">
        <v>282</v>
      </c>
      <c r="B283" s="3506" t="s">
        <v>4072</v>
      </c>
      <c r="C283" s="3507" t="s">
        <v>4078</v>
      </c>
      <c r="D283" s="3507" t="s">
        <v>3950</v>
      </c>
      <c r="E283" s="3508">
        <v>27.35</v>
      </c>
      <c r="F283" s="3509" t="s">
        <v>673</v>
      </c>
    </row>
    <row r="284" spans="1:6" ht="26.25" thickBot="1">
      <c r="A284" s="3505">
        <v>283</v>
      </c>
      <c r="B284" s="3506" t="s">
        <v>4072</v>
      </c>
      <c r="C284" s="3507" t="s">
        <v>4078</v>
      </c>
      <c r="D284" s="3507" t="s">
        <v>3951</v>
      </c>
      <c r="E284" s="3508">
        <v>26.55</v>
      </c>
      <c r="F284" s="3509" t="s">
        <v>673</v>
      </c>
    </row>
    <row r="285" spans="1:6" ht="26.25" thickBot="1">
      <c r="A285" s="3505">
        <v>284</v>
      </c>
      <c r="B285" s="3506" t="s">
        <v>4072</v>
      </c>
      <c r="C285" s="3507" t="s">
        <v>4078</v>
      </c>
      <c r="D285" s="3507" t="s">
        <v>3952</v>
      </c>
      <c r="E285" s="3508">
        <v>26.32</v>
      </c>
      <c r="F285" s="3509" t="s">
        <v>673</v>
      </c>
    </row>
    <row r="286" spans="1:6" ht="26.25" thickBot="1">
      <c r="A286" s="3505">
        <v>285</v>
      </c>
      <c r="B286" s="3506" t="s">
        <v>4072</v>
      </c>
      <c r="C286" s="3507" t="s">
        <v>4078</v>
      </c>
      <c r="D286" s="3507" t="s">
        <v>3953</v>
      </c>
      <c r="E286" s="3508">
        <v>26.32</v>
      </c>
      <c r="F286" s="3509" t="s">
        <v>673</v>
      </c>
    </row>
    <row r="287" spans="1:6" ht="26.25" thickBot="1">
      <c r="A287" s="3505">
        <v>286</v>
      </c>
      <c r="B287" s="3506" t="s">
        <v>4072</v>
      </c>
      <c r="C287" s="3507" t="s">
        <v>4078</v>
      </c>
      <c r="D287" s="3507" t="s">
        <v>3954</v>
      </c>
      <c r="E287" s="3508">
        <v>26.32</v>
      </c>
      <c r="F287" s="3509" t="s">
        <v>673</v>
      </c>
    </row>
    <row r="288" spans="1:6" ht="26.25" thickBot="1">
      <c r="A288" s="3505">
        <v>287</v>
      </c>
      <c r="B288" s="3506" t="s">
        <v>4072</v>
      </c>
      <c r="C288" s="3507" t="s">
        <v>4078</v>
      </c>
      <c r="D288" s="3507" t="s">
        <v>3956</v>
      </c>
      <c r="E288" s="3508">
        <v>26.32</v>
      </c>
      <c r="F288" s="3509" t="s">
        <v>673</v>
      </c>
    </row>
    <row r="289" spans="1:6" ht="26.25" thickBot="1">
      <c r="A289" s="3505">
        <v>288</v>
      </c>
      <c r="B289" s="3506" t="s">
        <v>4072</v>
      </c>
      <c r="C289" s="3507" t="s">
        <v>4078</v>
      </c>
      <c r="D289" s="3507" t="s">
        <v>3957</v>
      </c>
      <c r="E289" s="3508">
        <v>29.6</v>
      </c>
      <c r="F289" s="3509" t="s">
        <v>673</v>
      </c>
    </row>
    <row r="290" spans="1:6" ht="26.25" thickBot="1">
      <c r="A290" s="3505">
        <v>289</v>
      </c>
      <c r="B290" s="3506" t="s">
        <v>4072</v>
      </c>
      <c r="C290" s="3507" t="s">
        <v>4078</v>
      </c>
      <c r="D290" s="3507" t="s">
        <v>3958</v>
      </c>
      <c r="E290" s="3508">
        <v>29.6</v>
      </c>
      <c r="F290" s="3509" t="s">
        <v>673</v>
      </c>
    </row>
    <row r="291" spans="1:6" ht="26.25" thickBot="1">
      <c r="A291" s="3505">
        <v>290</v>
      </c>
      <c r="B291" s="3506" t="s">
        <v>4072</v>
      </c>
      <c r="C291" s="3507" t="s">
        <v>4078</v>
      </c>
      <c r="D291" s="3507" t="s">
        <v>3959</v>
      </c>
      <c r="E291" s="3508">
        <v>29.6</v>
      </c>
      <c r="F291" s="3509" t="s">
        <v>673</v>
      </c>
    </row>
    <row r="292" spans="1:6" ht="26.25" thickBot="1">
      <c r="A292" s="3505">
        <v>291</v>
      </c>
      <c r="B292" s="3506" t="s">
        <v>4072</v>
      </c>
      <c r="C292" s="3507" t="s">
        <v>4078</v>
      </c>
      <c r="D292" s="3507" t="s">
        <v>3960</v>
      </c>
      <c r="E292" s="3508">
        <v>29.6</v>
      </c>
      <c r="F292" s="3509" t="s">
        <v>673</v>
      </c>
    </row>
    <row r="293" spans="1:6" ht="26.25" thickBot="1">
      <c r="A293" s="3505">
        <v>292</v>
      </c>
      <c r="B293" s="3506" t="s">
        <v>4072</v>
      </c>
      <c r="C293" s="3507" t="s">
        <v>4078</v>
      </c>
      <c r="D293" s="3507" t="s">
        <v>3961</v>
      </c>
      <c r="E293" s="3508">
        <v>29.6</v>
      </c>
      <c r="F293" s="3509" t="s">
        <v>673</v>
      </c>
    </row>
    <row r="294" spans="1:6" ht="26.25" thickBot="1">
      <c r="A294" s="3505">
        <v>293</v>
      </c>
      <c r="B294" s="3506" t="s">
        <v>4072</v>
      </c>
      <c r="C294" s="3507" t="s">
        <v>4078</v>
      </c>
      <c r="D294" s="3507" t="s">
        <v>3962</v>
      </c>
      <c r="E294" s="3508">
        <v>29.6</v>
      </c>
      <c r="F294" s="3509" t="s">
        <v>673</v>
      </c>
    </row>
    <row r="295" spans="1:6" ht="26.25" thickBot="1">
      <c r="A295" s="3505">
        <v>294</v>
      </c>
      <c r="B295" s="3506" t="s">
        <v>4072</v>
      </c>
      <c r="C295" s="3507" t="s">
        <v>4078</v>
      </c>
      <c r="D295" s="3507" t="s">
        <v>3963</v>
      </c>
      <c r="E295" s="3508">
        <v>29.6</v>
      </c>
      <c r="F295" s="3509" t="s">
        <v>673</v>
      </c>
    </row>
    <row r="296" spans="1:6" ht="26.25" thickBot="1">
      <c r="A296" s="3505">
        <v>295</v>
      </c>
      <c r="B296" s="3506" t="s">
        <v>4072</v>
      </c>
      <c r="C296" s="3507" t="s">
        <v>4078</v>
      </c>
      <c r="D296" s="3507" t="s">
        <v>3964</v>
      </c>
      <c r="E296" s="3508">
        <v>29.6</v>
      </c>
      <c r="F296" s="3509" t="s">
        <v>673</v>
      </c>
    </row>
    <row r="297" spans="1:6" ht="26.25" thickBot="1">
      <c r="A297" s="3505">
        <v>296</v>
      </c>
      <c r="B297" s="3506" t="s">
        <v>4072</v>
      </c>
      <c r="C297" s="3507" t="s">
        <v>4078</v>
      </c>
      <c r="D297" s="3507" t="s">
        <v>3965</v>
      </c>
      <c r="E297" s="3508">
        <v>28.66</v>
      </c>
      <c r="F297" s="3509" t="s">
        <v>673</v>
      </c>
    </row>
    <row r="298" spans="1:6" ht="26.25" thickBot="1">
      <c r="A298" s="3505">
        <v>297</v>
      </c>
      <c r="B298" s="3506" t="s">
        <v>4072</v>
      </c>
      <c r="C298" s="3507" t="s">
        <v>4078</v>
      </c>
      <c r="D298" s="3507" t="s">
        <v>3966</v>
      </c>
      <c r="E298" s="3508">
        <v>27.26</v>
      </c>
      <c r="F298" s="3509" t="s">
        <v>673</v>
      </c>
    </row>
    <row r="299" spans="1:6" ht="26.25" thickBot="1">
      <c r="A299" s="3505">
        <v>298</v>
      </c>
      <c r="B299" s="3506" t="s">
        <v>4072</v>
      </c>
      <c r="C299" s="3507" t="s">
        <v>4078</v>
      </c>
      <c r="D299" s="3507" t="s">
        <v>3967</v>
      </c>
      <c r="E299" s="3508">
        <v>33.58</v>
      </c>
      <c r="F299" s="3509" t="s">
        <v>673</v>
      </c>
    </row>
    <row r="300" spans="1:6" ht="26.25" thickBot="1">
      <c r="A300" s="3505">
        <v>299</v>
      </c>
      <c r="B300" s="3506" t="s">
        <v>4072</v>
      </c>
      <c r="C300" s="3507" t="s">
        <v>4078</v>
      </c>
      <c r="D300" s="3507" t="s">
        <v>3968</v>
      </c>
      <c r="E300" s="3508">
        <v>25.48</v>
      </c>
      <c r="F300" s="3509" t="s">
        <v>673</v>
      </c>
    </row>
    <row r="301" spans="1:6" ht="26.25" thickBot="1">
      <c r="A301" s="3505">
        <v>300</v>
      </c>
      <c r="B301" s="3506" t="s">
        <v>4072</v>
      </c>
      <c r="C301" s="3507" t="s">
        <v>4078</v>
      </c>
      <c r="D301" s="3507" t="s">
        <v>3969</v>
      </c>
      <c r="E301" s="3508">
        <v>25.22</v>
      </c>
      <c r="F301" s="3509" t="s">
        <v>673</v>
      </c>
    </row>
    <row r="302" spans="1:6" ht="26.25" thickBot="1">
      <c r="A302" s="3505">
        <v>301</v>
      </c>
      <c r="B302" s="3506" t="s">
        <v>4072</v>
      </c>
      <c r="C302" s="3507" t="s">
        <v>4078</v>
      </c>
      <c r="D302" s="3507" t="s">
        <v>3970</v>
      </c>
      <c r="E302" s="3508">
        <v>24.46</v>
      </c>
      <c r="F302" s="3509" t="s">
        <v>673</v>
      </c>
    </row>
    <row r="303" spans="1:6" ht="26.25" thickBot="1">
      <c r="A303" s="3505">
        <v>302</v>
      </c>
      <c r="B303" s="3506" t="s">
        <v>4072</v>
      </c>
      <c r="C303" s="3507" t="s">
        <v>4078</v>
      </c>
      <c r="D303" s="3507" t="s">
        <v>3971</v>
      </c>
      <c r="E303" s="3508">
        <v>25.36</v>
      </c>
      <c r="F303" s="3509" t="s">
        <v>673</v>
      </c>
    </row>
    <row r="304" spans="1:6" ht="26.25" thickBot="1">
      <c r="A304" s="3505">
        <v>303</v>
      </c>
      <c r="B304" s="3506" t="s">
        <v>4072</v>
      </c>
      <c r="C304" s="3507" t="s">
        <v>4078</v>
      </c>
      <c r="D304" s="3507" t="s">
        <v>3972</v>
      </c>
      <c r="E304" s="3508">
        <v>20.84</v>
      </c>
      <c r="F304" s="3509" t="s">
        <v>673</v>
      </c>
    </row>
    <row r="305" spans="1:6" ht="26.25" thickBot="1">
      <c r="A305" s="3505">
        <v>304</v>
      </c>
      <c r="B305" s="3506" t="s">
        <v>4072</v>
      </c>
      <c r="C305" s="3507" t="s">
        <v>4078</v>
      </c>
      <c r="D305" s="3507" t="s">
        <v>3973</v>
      </c>
      <c r="E305" s="3508">
        <v>21.98</v>
      </c>
      <c r="F305" s="3509" t="s">
        <v>673</v>
      </c>
    </row>
    <row r="306" spans="1:6" ht="26.25" thickBot="1">
      <c r="A306" s="3505">
        <v>305</v>
      </c>
      <c r="B306" s="3506" t="s">
        <v>4072</v>
      </c>
      <c r="C306" s="3507" t="s">
        <v>4078</v>
      </c>
      <c r="D306" s="3507" t="s">
        <v>3974</v>
      </c>
      <c r="E306" s="3508">
        <v>21.98</v>
      </c>
      <c r="F306" s="3509" t="s">
        <v>673</v>
      </c>
    </row>
    <row r="307" spans="1:6" ht="26.25" thickBot="1">
      <c r="A307" s="3505">
        <v>306</v>
      </c>
      <c r="B307" s="3506" t="s">
        <v>4072</v>
      </c>
      <c r="C307" s="3507" t="s">
        <v>4078</v>
      </c>
      <c r="D307" s="3507" t="s">
        <v>3975</v>
      </c>
      <c r="E307" s="3508">
        <v>21.98</v>
      </c>
      <c r="F307" s="3509" t="s">
        <v>673</v>
      </c>
    </row>
    <row r="308" spans="1:6" ht="26.25" thickBot="1">
      <c r="A308" s="3505">
        <v>307</v>
      </c>
      <c r="B308" s="3506" t="s">
        <v>4072</v>
      </c>
      <c r="C308" s="3507" t="s">
        <v>4078</v>
      </c>
      <c r="D308" s="3507" t="s">
        <v>3976</v>
      </c>
      <c r="E308" s="3508">
        <v>21.98</v>
      </c>
      <c r="F308" s="3509" t="s">
        <v>673</v>
      </c>
    </row>
    <row r="309" spans="1:6" ht="26.25" thickBot="1">
      <c r="A309" s="3505">
        <v>308</v>
      </c>
      <c r="B309" s="3506" t="s">
        <v>4072</v>
      </c>
      <c r="C309" s="3507" t="s">
        <v>4078</v>
      </c>
      <c r="D309" s="3507" t="s">
        <v>3977</v>
      </c>
      <c r="E309" s="3508">
        <v>21.98</v>
      </c>
      <c r="F309" s="3509" t="s">
        <v>673</v>
      </c>
    </row>
    <row r="310" spans="1:6" ht="26.25" thickBot="1">
      <c r="A310" s="3505">
        <v>309</v>
      </c>
      <c r="B310" s="3506" t="s">
        <v>4072</v>
      </c>
      <c r="C310" s="3507" t="s">
        <v>4078</v>
      </c>
      <c r="D310" s="3507" t="s">
        <v>3978</v>
      </c>
      <c r="E310" s="3508">
        <v>21.98</v>
      </c>
      <c r="F310" s="3509" t="s">
        <v>673</v>
      </c>
    </row>
    <row r="311" spans="1:6" ht="26.25" thickBot="1">
      <c r="A311" s="3505">
        <v>310</v>
      </c>
      <c r="B311" s="3506" t="s">
        <v>4072</v>
      </c>
      <c r="C311" s="3507" t="s">
        <v>4078</v>
      </c>
      <c r="D311" s="3507" t="s">
        <v>3979</v>
      </c>
      <c r="E311" s="3508">
        <v>21.35</v>
      </c>
      <c r="F311" s="3509" t="s">
        <v>673</v>
      </c>
    </row>
    <row r="312" spans="1:6" ht="26.25" thickBot="1">
      <c r="A312" s="3505">
        <v>311</v>
      </c>
      <c r="B312" s="3506" t="s">
        <v>4072</v>
      </c>
      <c r="C312" s="3507" t="s">
        <v>4078</v>
      </c>
      <c r="D312" s="3507" t="s">
        <v>3980</v>
      </c>
      <c r="E312" s="3508">
        <v>37.06</v>
      </c>
      <c r="F312" s="3509" t="s">
        <v>673</v>
      </c>
    </row>
    <row r="313" spans="1:6" ht="26.25" thickBot="1">
      <c r="A313" s="3505">
        <v>312</v>
      </c>
      <c r="B313" s="3506" t="s">
        <v>4072</v>
      </c>
      <c r="C313" s="3507" t="s">
        <v>4078</v>
      </c>
      <c r="D313" s="3507" t="s">
        <v>3981</v>
      </c>
      <c r="E313" s="3508">
        <v>23.97</v>
      </c>
      <c r="F313" s="3509" t="s">
        <v>673</v>
      </c>
    </row>
    <row r="314" spans="1:6" ht="26.25" thickBot="1">
      <c r="A314" s="3505">
        <v>313</v>
      </c>
      <c r="B314" s="3506" t="s">
        <v>4072</v>
      </c>
      <c r="C314" s="3507" t="s">
        <v>4078</v>
      </c>
      <c r="D314" s="3507" t="s">
        <v>3982</v>
      </c>
      <c r="E314" s="3508">
        <v>24.18</v>
      </c>
      <c r="F314" s="3509" t="s">
        <v>673</v>
      </c>
    </row>
    <row r="315" spans="1:6" ht="26.25" thickBot="1">
      <c r="A315" s="3505">
        <v>314</v>
      </c>
      <c r="B315" s="3506" t="s">
        <v>4072</v>
      </c>
      <c r="C315" s="3507" t="s">
        <v>4078</v>
      </c>
      <c r="D315" s="3507" t="s">
        <v>3983</v>
      </c>
      <c r="E315" s="3508">
        <v>24.18</v>
      </c>
      <c r="F315" s="3509" t="s">
        <v>673</v>
      </c>
    </row>
    <row r="316" spans="1:6" ht="26.25" thickBot="1">
      <c r="A316" s="3505">
        <v>315</v>
      </c>
      <c r="B316" s="3506" t="s">
        <v>4072</v>
      </c>
      <c r="C316" s="3507" t="s">
        <v>4078</v>
      </c>
      <c r="D316" s="3507" t="s">
        <v>3984</v>
      </c>
      <c r="E316" s="3508">
        <v>24.18</v>
      </c>
      <c r="F316" s="3509" t="s">
        <v>673</v>
      </c>
    </row>
    <row r="317" spans="1:6" ht="26.25" thickBot="1">
      <c r="A317" s="3505">
        <v>316</v>
      </c>
      <c r="B317" s="3506" t="s">
        <v>4072</v>
      </c>
      <c r="C317" s="3507" t="s">
        <v>4078</v>
      </c>
      <c r="D317" s="3507" t="s">
        <v>3985</v>
      </c>
      <c r="E317" s="3508">
        <v>25.91</v>
      </c>
      <c r="F317" s="3509" t="s">
        <v>673</v>
      </c>
    </row>
    <row r="318" spans="1:6" ht="26.25" thickBot="1">
      <c r="A318" s="3505">
        <v>317</v>
      </c>
      <c r="B318" s="3506" t="s">
        <v>4072</v>
      </c>
      <c r="C318" s="3507" t="s">
        <v>4078</v>
      </c>
      <c r="D318" s="3508" t="s">
        <v>3987</v>
      </c>
      <c r="E318" s="3508">
        <v>38.19</v>
      </c>
      <c r="F318" s="3509" t="s">
        <v>673</v>
      </c>
    </row>
    <row r="319" spans="1:6" ht="26.25" thickBot="1">
      <c r="A319" s="3505">
        <v>318</v>
      </c>
      <c r="B319" s="3506" t="s">
        <v>4072</v>
      </c>
      <c r="C319" s="3507" t="s">
        <v>4078</v>
      </c>
      <c r="D319" s="3508" t="s">
        <v>3988</v>
      </c>
      <c r="E319" s="3508">
        <v>19.64</v>
      </c>
      <c r="F319" s="3509" t="s">
        <v>673</v>
      </c>
    </row>
    <row r="320" spans="1:6" ht="26.25" thickBot="1">
      <c r="A320" s="3505">
        <v>319</v>
      </c>
      <c r="B320" s="3506" t="s">
        <v>4072</v>
      </c>
      <c r="C320" s="3507" t="s">
        <v>4078</v>
      </c>
      <c r="D320" s="3508" t="s">
        <v>3989</v>
      </c>
      <c r="E320" s="3508">
        <v>20.87</v>
      </c>
      <c r="F320" s="3509" t="s">
        <v>673</v>
      </c>
    </row>
    <row r="321" spans="1:6" ht="26.25" thickBot="1">
      <c r="A321" s="3505">
        <v>320</v>
      </c>
      <c r="B321" s="3506" t="s">
        <v>4072</v>
      </c>
      <c r="C321" s="3507" t="s">
        <v>4078</v>
      </c>
      <c r="D321" s="3508" t="s">
        <v>3990</v>
      </c>
      <c r="E321" s="3508">
        <v>37.17</v>
      </c>
      <c r="F321" s="3509" t="s">
        <v>673</v>
      </c>
    </row>
    <row r="322" spans="1:6" ht="26.25" thickBot="1">
      <c r="A322" s="3505">
        <v>321</v>
      </c>
      <c r="B322" s="3506" t="s">
        <v>4072</v>
      </c>
      <c r="C322" s="3507" t="s">
        <v>4078</v>
      </c>
      <c r="D322" s="3508" t="s">
        <v>3991</v>
      </c>
      <c r="E322" s="3508">
        <v>25.15</v>
      </c>
      <c r="F322" s="3509" t="s">
        <v>673</v>
      </c>
    </row>
    <row r="323" spans="1:6" ht="26.25" thickBot="1">
      <c r="A323" s="3505">
        <v>322</v>
      </c>
      <c r="B323" s="3506" t="s">
        <v>4072</v>
      </c>
      <c r="C323" s="3507" t="s">
        <v>4078</v>
      </c>
      <c r="D323" s="3508" t="s">
        <v>3992</v>
      </c>
      <c r="E323" s="3508">
        <v>28.66</v>
      </c>
      <c r="F323" s="3509" t="s">
        <v>673</v>
      </c>
    </row>
    <row r="324" spans="1:6" ht="26.25" thickBot="1">
      <c r="A324" s="3505">
        <v>323</v>
      </c>
      <c r="B324" s="3506" t="s">
        <v>4072</v>
      </c>
      <c r="C324" s="3507" t="s">
        <v>4078</v>
      </c>
      <c r="D324" s="3508" t="s">
        <v>3993</v>
      </c>
      <c r="E324" s="3508">
        <v>22.79</v>
      </c>
      <c r="F324" s="3509" t="s">
        <v>673</v>
      </c>
    </row>
    <row r="325" spans="1:6" ht="26.25" thickBot="1">
      <c r="A325" s="3505">
        <v>324</v>
      </c>
      <c r="B325" s="3506" t="s">
        <v>4072</v>
      </c>
      <c r="C325" s="3507" t="s">
        <v>4078</v>
      </c>
      <c r="D325" s="3508" t="s">
        <v>3994</v>
      </c>
      <c r="E325" s="3508">
        <v>36.79</v>
      </c>
      <c r="F325" s="3509" t="s">
        <v>673</v>
      </c>
    </row>
    <row r="326" spans="1:6" ht="26.25" thickBot="1">
      <c r="A326" s="3505">
        <v>325</v>
      </c>
      <c r="B326" s="3506" t="s">
        <v>4072</v>
      </c>
      <c r="C326" s="3507" t="s">
        <v>4078</v>
      </c>
      <c r="D326" s="3508" t="s">
        <v>3995</v>
      </c>
      <c r="E326" s="3508">
        <v>47.27</v>
      </c>
      <c r="F326" s="3509" t="s">
        <v>673</v>
      </c>
    </row>
    <row r="327" spans="1:6" ht="26.25" thickBot="1">
      <c r="A327" s="3505">
        <v>326</v>
      </c>
      <c r="B327" s="3506" t="s">
        <v>4072</v>
      </c>
      <c r="C327" s="3507" t="s">
        <v>4078</v>
      </c>
      <c r="D327" s="3508" t="s">
        <v>3996</v>
      </c>
      <c r="E327" s="3508">
        <v>24.22</v>
      </c>
      <c r="F327" s="3509" t="s">
        <v>673</v>
      </c>
    </row>
    <row r="328" spans="1:6" ht="26.25" thickBot="1">
      <c r="A328" s="3505">
        <v>327</v>
      </c>
      <c r="B328" s="3506" t="s">
        <v>4072</v>
      </c>
      <c r="C328" s="3507" t="s">
        <v>4078</v>
      </c>
      <c r="D328" s="3508" t="s">
        <v>3997</v>
      </c>
      <c r="E328" s="3508">
        <v>31.37</v>
      </c>
      <c r="F328" s="3509" t="s">
        <v>673</v>
      </c>
    </row>
    <row r="329" spans="1:6" ht="26.25" thickBot="1">
      <c r="A329" s="3505">
        <v>328</v>
      </c>
      <c r="B329" s="3506" t="s">
        <v>4072</v>
      </c>
      <c r="C329" s="3507" t="s">
        <v>4078</v>
      </c>
      <c r="D329" s="3508" t="s">
        <v>3998</v>
      </c>
      <c r="E329" s="3508">
        <v>20.61</v>
      </c>
      <c r="F329" s="3509" t="s">
        <v>673</v>
      </c>
    </row>
    <row r="330" spans="1:6" ht="26.25" thickBot="1">
      <c r="A330" s="3505">
        <v>329</v>
      </c>
      <c r="B330" s="3506" t="s">
        <v>4072</v>
      </c>
      <c r="C330" s="3507" t="s">
        <v>4078</v>
      </c>
      <c r="D330" s="3508" t="s">
        <v>3999</v>
      </c>
      <c r="E330" s="3508">
        <v>32.39</v>
      </c>
      <c r="F330" s="3509" t="s">
        <v>673</v>
      </c>
    </row>
    <row r="331" spans="1:6" ht="26.25" thickBot="1">
      <c r="A331" s="3505">
        <v>330</v>
      </c>
      <c r="B331" s="3506" t="s">
        <v>4072</v>
      </c>
      <c r="C331" s="3507" t="s">
        <v>4078</v>
      </c>
      <c r="D331" s="3508" t="s">
        <v>4000</v>
      </c>
      <c r="E331" s="3508">
        <v>18.8</v>
      </c>
      <c r="F331" s="3509" t="s">
        <v>673</v>
      </c>
    </row>
    <row r="332" spans="1:6" ht="26.25" thickBot="1">
      <c r="A332" s="3505">
        <v>331</v>
      </c>
      <c r="B332" s="3506" t="s">
        <v>4072</v>
      </c>
      <c r="C332" s="3507" t="s">
        <v>4078</v>
      </c>
      <c r="D332" s="3508" t="s">
        <v>4001</v>
      </c>
      <c r="E332" s="3508">
        <v>16.37</v>
      </c>
      <c r="F332" s="3509" t="s">
        <v>673</v>
      </c>
    </row>
    <row r="333" spans="1:6" ht="26.25" thickBot="1">
      <c r="A333" s="3505">
        <v>332</v>
      </c>
      <c r="B333" s="3506" t="s">
        <v>4072</v>
      </c>
      <c r="C333" s="3507" t="s">
        <v>4078</v>
      </c>
      <c r="D333" s="3508" t="s">
        <v>4002</v>
      </c>
      <c r="E333" s="3508">
        <v>13.96</v>
      </c>
      <c r="F333" s="3509" t="s">
        <v>673</v>
      </c>
    </row>
    <row r="334" spans="1:6" ht="26.25" thickBot="1">
      <c r="A334" s="3505">
        <v>333</v>
      </c>
      <c r="B334" s="3506" t="s">
        <v>4072</v>
      </c>
      <c r="C334" s="3507" t="s">
        <v>4078</v>
      </c>
      <c r="D334" s="3508" t="s">
        <v>4003</v>
      </c>
      <c r="E334" s="3508">
        <v>16.66</v>
      </c>
      <c r="F334" s="3509" t="s">
        <v>673</v>
      </c>
    </row>
    <row r="335" spans="1:6" ht="26.25" thickBot="1">
      <c r="A335" s="3505">
        <v>334</v>
      </c>
      <c r="B335" s="3506" t="s">
        <v>4072</v>
      </c>
      <c r="C335" s="3507" t="s">
        <v>4078</v>
      </c>
      <c r="D335" s="3508" t="s">
        <v>4004</v>
      </c>
      <c r="E335" s="3508">
        <v>20.79</v>
      </c>
      <c r="F335" s="3509" t="s">
        <v>673</v>
      </c>
    </row>
    <row r="336" spans="1:6" ht="26.25" thickBot="1">
      <c r="A336" s="3505">
        <v>335</v>
      </c>
      <c r="B336" s="3506" t="s">
        <v>4072</v>
      </c>
      <c r="C336" s="3507" t="s">
        <v>4078</v>
      </c>
      <c r="D336" s="3508" t="s">
        <v>4005</v>
      </c>
      <c r="E336" s="3508">
        <v>22.97</v>
      </c>
      <c r="F336" s="3509" t="s">
        <v>673</v>
      </c>
    </row>
    <row r="337" spans="1:6" ht="26.25" thickBot="1">
      <c r="A337" s="3505">
        <v>336</v>
      </c>
      <c r="B337" s="3506" t="s">
        <v>4072</v>
      </c>
      <c r="C337" s="3507" t="s">
        <v>4078</v>
      </c>
      <c r="D337" s="3508" t="s">
        <v>4006</v>
      </c>
      <c r="E337" s="3508">
        <v>18.649999999999999</v>
      </c>
      <c r="F337" s="3509" t="s">
        <v>673</v>
      </c>
    </row>
    <row r="338" spans="1:6" ht="26.25" thickBot="1">
      <c r="A338" s="3505">
        <v>337</v>
      </c>
      <c r="B338" s="3506" t="s">
        <v>4072</v>
      </c>
      <c r="C338" s="3507" t="s">
        <v>4078</v>
      </c>
      <c r="D338" s="3508" t="s">
        <v>4007</v>
      </c>
      <c r="E338" s="3508">
        <v>27.95</v>
      </c>
      <c r="F338" s="3509" t="s">
        <v>673</v>
      </c>
    </row>
    <row r="339" spans="1:6" ht="26.25" thickBot="1">
      <c r="A339" s="3505">
        <v>338</v>
      </c>
      <c r="B339" s="3506" t="s">
        <v>4072</v>
      </c>
      <c r="C339" s="3507" t="s">
        <v>4078</v>
      </c>
      <c r="D339" s="3508" t="s">
        <v>4008</v>
      </c>
      <c r="E339" s="3508">
        <v>27.21</v>
      </c>
      <c r="F339" s="3509" t="s">
        <v>673</v>
      </c>
    </row>
    <row r="340" spans="1:6" ht="26.25" thickBot="1">
      <c r="A340" s="3505">
        <v>339</v>
      </c>
      <c r="B340" s="3506" t="s">
        <v>4072</v>
      </c>
      <c r="C340" s="3507" t="s">
        <v>4078</v>
      </c>
      <c r="D340" s="3508" t="s">
        <v>4009</v>
      </c>
      <c r="E340" s="3508">
        <v>33.31</v>
      </c>
      <c r="F340" s="3509" t="s">
        <v>673</v>
      </c>
    </row>
    <row r="341" spans="1:6" ht="26.25" thickBot="1">
      <c r="A341" s="3505">
        <v>340</v>
      </c>
      <c r="B341" s="3506" t="s">
        <v>4072</v>
      </c>
      <c r="C341" s="3507" t="s">
        <v>4078</v>
      </c>
      <c r="D341" s="3508" t="s">
        <v>4010</v>
      </c>
      <c r="E341" s="3508">
        <v>41.4</v>
      </c>
      <c r="F341" s="3509" t="s">
        <v>673</v>
      </c>
    </row>
    <row r="342" spans="1:6" ht="26.25" thickBot="1">
      <c r="A342" s="3505">
        <v>341</v>
      </c>
      <c r="B342" s="3506" t="s">
        <v>4072</v>
      </c>
      <c r="C342" s="3507" t="s">
        <v>4078</v>
      </c>
      <c r="D342" s="3508" t="s">
        <v>4011</v>
      </c>
      <c r="E342" s="3508">
        <v>24.25</v>
      </c>
      <c r="F342" s="3509" t="s">
        <v>673</v>
      </c>
    </row>
    <row r="343" spans="1:6" ht="26.25" thickBot="1">
      <c r="A343" s="3505">
        <v>342</v>
      </c>
      <c r="B343" s="3506" t="s">
        <v>4072</v>
      </c>
      <c r="C343" s="3507" t="s">
        <v>4078</v>
      </c>
      <c r="D343" s="3508" t="s">
        <v>4012</v>
      </c>
      <c r="E343" s="3508">
        <v>20.82</v>
      </c>
      <c r="F343" s="3509" t="s">
        <v>673</v>
      </c>
    </row>
    <row r="344" spans="1:6" ht="26.25" thickBot="1">
      <c r="A344" s="3505">
        <v>343</v>
      </c>
      <c r="B344" s="3506" t="s">
        <v>4072</v>
      </c>
      <c r="C344" s="3507" t="s">
        <v>4078</v>
      </c>
      <c r="D344" s="3508" t="s">
        <v>4013</v>
      </c>
      <c r="E344" s="3508">
        <v>26.98</v>
      </c>
      <c r="F344" s="3509" t="s">
        <v>673</v>
      </c>
    </row>
    <row r="345" spans="1:6" ht="26.25" thickBot="1">
      <c r="A345" s="3505">
        <v>344</v>
      </c>
      <c r="B345" s="3506" t="s">
        <v>4072</v>
      </c>
      <c r="C345" s="3507" t="s">
        <v>4078</v>
      </c>
      <c r="D345" s="3508" t="s">
        <v>4014</v>
      </c>
      <c r="E345" s="3508">
        <v>29.51</v>
      </c>
      <c r="F345" s="3509" t="s">
        <v>673</v>
      </c>
    </row>
    <row r="346" spans="1:6" ht="26.25" thickBot="1">
      <c r="A346" s="3505">
        <v>345</v>
      </c>
      <c r="B346" s="3506" t="s">
        <v>4072</v>
      </c>
      <c r="C346" s="3507" t="s">
        <v>4078</v>
      </c>
      <c r="D346" s="3508" t="s">
        <v>4015</v>
      </c>
      <c r="E346" s="3508">
        <v>32.6</v>
      </c>
      <c r="F346" s="3509" t="s">
        <v>673</v>
      </c>
    </row>
    <row r="347" spans="1:6" ht="26.25" thickBot="1">
      <c r="A347" s="3505">
        <v>346</v>
      </c>
      <c r="B347" s="3506" t="s">
        <v>4072</v>
      </c>
      <c r="C347" s="3507" t="s">
        <v>4078</v>
      </c>
      <c r="D347" s="3508" t="s">
        <v>4016</v>
      </c>
      <c r="E347" s="3508">
        <v>29.28</v>
      </c>
      <c r="F347" s="3509" t="s">
        <v>673</v>
      </c>
    </row>
    <row r="348" spans="1:6" ht="26.25" thickBot="1">
      <c r="A348" s="3505">
        <v>347</v>
      </c>
      <c r="B348" s="3506" t="s">
        <v>4072</v>
      </c>
      <c r="C348" s="3507" t="s">
        <v>4078</v>
      </c>
      <c r="D348" s="3508" t="s">
        <v>4017</v>
      </c>
      <c r="E348" s="3508">
        <v>18.12</v>
      </c>
      <c r="F348" s="3509" t="s">
        <v>673</v>
      </c>
    </row>
    <row r="349" spans="1:6" ht="26.25" thickBot="1">
      <c r="A349" s="3505">
        <v>348</v>
      </c>
      <c r="B349" s="3506" t="s">
        <v>4072</v>
      </c>
      <c r="C349" s="3507" t="s">
        <v>4078</v>
      </c>
      <c r="D349" s="3508" t="s">
        <v>4018</v>
      </c>
      <c r="E349" s="3508">
        <v>18.12</v>
      </c>
      <c r="F349" s="3509" t="s">
        <v>673</v>
      </c>
    </row>
    <row r="350" spans="1:6" ht="26.25" thickBot="1">
      <c r="A350" s="3505">
        <v>349</v>
      </c>
      <c r="B350" s="3506" t="s">
        <v>4072</v>
      </c>
      <c r="C350" s="3507" t="s">
        <v>4078</v>
      </c>
      <c r="D350" s="3508" t="s">
        <v>4019</v>
      </c>
      <c r="E350" s="3508">
        <v>27.14</v>
      </c>
      <c r="F350" s="3509" t="s">
        <v>673</v>
      </c>
    </row>
    <row r="351" spans="1:6" ht="26.25" thickBot="1">
      <c r="A351" s="3505">
        <v>350</v>
      </c>
      <c r="B351" s="3506" t="s">
        <v>4072</v>
      </c>
      <c r="C351" s="3507" t="s">
        <v>4078</v>
      </c>
      <c r="D351" s="3508" t="s">
        <v>4020</v>
      </c>
      <c r="E351" s="3508">
        <v>16.95</v>
      </c>
      <c r="F351" s="3509" t="s">
        <v>673</v>
      </c>
    </row>
    <row r="352" spans="1:6" ht="26.25" thickBot="1">
      <c r="A352" s="3505">
        <v>351</v>
      </c>
      <c r="B352" s="3506" t="s">
        <v>4072</v>
      </c>
      <c r="C352" s="3507" t="s">
        <v>4078</v>
      </c>
      <c r="D352" s="3508" t="s">
        <v>4021</v>
      </c>
      <c r="E352" s="3508">
        <v>20.38</v>
      </c>
      <c r="F352" s="3509" t="s">
        <v>673</v>
      </c>
    </row>
    <row r="353" spans="1:6" ht="26.25" thickBot="1">
      <c r="A353" s="3505">
        <v>352</v>
      </c>
      <c r="B353" s="3506" t="s">
        <v>4072</v>
      </c>
      <c r="C353" s="3507" t="s">
        <v>4078</v>
      </c>
      <c r="D353" s="3508" t="s">
        <v>4022</v>
      </c>
      <c r="E353" s="3508">
        <v>20.38</v>
      </c>
      <c r="F353" s="3509" t="s">
        <v>673</v>
      </c>
    </row>
    <row r="354" spans="1:6" ht="26.25" thickBot="1">
      <c r="A354" s="3505">
        <v>353</v>
      </c>
      <c r="B354" s="3506" t="s">
        <v>4072</v>
      </c>
      <c r="C354" s="3507" t="s">
        <v>4078</v>
      </c>
      <c r="D354" s="3508" t="s">
        <v>4023</v>
      </c>
      <c r="E354" s="3508">
        <v>20.38</v>
      </c>
      <c r="F354" s="3509" t="s">
        <v>673</v>
      </c>
    </row>
    <row r="355" spans="1:6" ht="26.25" thickBot="1">
      <c r="A355" s="3505">
        <v>354</v>
      </c>
      <c r="B355" s="3506" t="s">
        <v>4072</v>
      </c>
      <c r="C355" s="3507" t="s">
        <v>4078</v>
      </c>
      <c r="D355" s="3508" t="s">
        <v>4024</v>
      </c>
      <c r="E355" s="3508">
        <v>20.38</v>
      </c>
      <c r="F355" s="3509" t="s">
        <v>673</v>
      </c>
    </row>
    <row r="356" spans="1:6" ht="26.25" thickBot="1">
      <c r="A356" s="3505">
        <v>355</v>
      </c>
      <c r="B356" s="3506" t="s">
        <v>4072</v>
      </c>
      <c r="C356" s="3507" t="s">
        <v>4078</v>
      </c>
      <c r="D356" s="3508" t="s">
        <v>4025</v>
      </c>
      <c r="E356" s="3508">
        <v>26.72</v>
      </c>
      <c r="F356" s="3509" t="s">
        <v>673</v>
      </c>
    </row>
    <row r="357" spans="1:6" ht="26.25" thickBot="1">
      <c r="A357" s="3505">
        <v>356</v>
      </c>
      <c r="B357" s="3506" t="s">
        <v>4072</v>
      </c>
      <c r="C357" s="3507" t="s">
        <v>4078</v>
      </c>
      <c r="D357" s="3508" t="s">
        <v>4026</v>
      </c>
      <c r="E357" s="3508">
        <v>29.96</v>
      </c>
      <c r="F357" s="3509" t="s">
        <v>673</v>
      </c>
    </row>
    <row r="358" spans="1:6" ht="26.25" thickBot="1">
      <c r="A358" s="3505">
        <v>357</v>
      </c>
      <c r="B358" s="3506" t="s">
        <v>4072</v>
      </c>
      <c r="C358" s="3507" t="s">
        <v>4078</v>
      </c>
      <c r="D358" s="3508" t="s">
        <v>4027</v>
      </c>
      <c r="E358" s="3508">
        <v>21.82</v>
      </c>
      <c r="F358" s="3509" t="s">
        <v>673</v>
      </c>
    </row>
    <row r="359" spans="1:6" ht="26.25" thickBot="1">
      <c r="A359" s="3505">
        <v>358</v>
      </c>
      <c r="B359" s="3506" t="s">
        <v>4072</v>
      </c>
      <c r="C359" s="3507" t="s">
        <v>4078</v>
      </c>
      <c r="D359" s="3508" t="s">
        <v>4028</v>
      </c>
      <c r="E359" s="3508">
        <v>23.31</v>
      </c>
      <c r="F359" s="3509" t="s">
        <v>673</v>
      </c>
    </row>
    <row r="360" spans="1:6" ht="26.25" thickBot="1">
      <c r="A360" s="3505">
        <v>359</v>
      </c>
      <c r="B360" s="3506" t="s">
        <v>4072</v>
      </c>
      <c r="C360" s="3507" t="s">
        <v>4078</v>
      </c>
      <c r="D360" s="3508" t="s">
        <v>4029</v>
      </c>
      <c r="E360" s="3508">
        <v>25.64</v>
      </c>
      <c r="F360" s="3509" t="s">
        <v>673</v>
      </c>
    </row>
    <row r="361" spans="1:6" ht="26.25" thickBot="1">
      <c r="A361" s="3505">
        <v>360</v>
      </c>
      <c r="B361" s="3506" t="s">
        <v>4072</v>
      </c>
      <c r="C361" s="3507" t="s">
        <v>4078</v>
      </c>
      <c r="D361" s="3508" t="s">
        <v>4030</v>
      </c>
      <c r="E361" s="3508">
        <v>18.93</v>
      </c>
      <c r="F361" s="3509" t="s">
        <v>673</v>
      </c>
    </row>
    <row r="362" spans="1:6" ht="26.25" thickBot="1">
      <c r="A362" s="3505">
        <v>361</v>
      </c>
      <c r="B362" s="3506" t="s">
        <v>4072</v>
      </c>
      <c r="C362" s="3507" t="s">
        <v>4080</v>
      </c>
      <c r="D362" s="3508" t="s">
        <v>4031</v>
      </c>
      <c r="E362" s="3508">
        <v>2497.06</v>
      </c>
      <c r="F362" s="3509" t="s">
        <v>673</v>
      </c>
    </row>
    <row r="363" spans="1:6" ht="26.25" thickBot="1">
      <c r="A363" s="3505">
        <v>362</v>
      </c>
      <c r="B363" s="3506" t="s">
        <v>4072</v>
      </c>
      <c r="C363" s="3507" t="s">
        <v>4080</v>
      </c>
      <c r="D363" s="3508" t="s">
        <v>4033</v>
      </c>
      <c r="E363" s="3508">
        <v>303.44</v>
      </c>
      <c r="F363" s="3509" t="s">
        <v>673</v>
      </c>
    </row>
    <row r="364" spans="1:6" ht="26.25" thickBot="1">
      <c r="A364" s="3505">
        <v>363</v>
      </c>
      <c r="B364" s="3506" t="s">
        <v>4072</v>
      </c>
      <c r="C364" s="3507" t="s">
        <v>4080</v>
      </c>
      <c r="D364" s="3508" t="s">
        <v>4034</v>
      </c>
      <c r="E364" s="3508">
        <v>338.9</v>
      </c>
      <c r="F364" s="3509" t="s">
        <v>673</v>
      </c>
    </row>
    <row r="365" spans="1:6" ht="26.25" thickBot="1">
      <c r="A365" s="3505">
        <v>364</v>
      </c>
      <c r="B365" s="3506" t="s">
        <v>4072</v>
      </c>
      <c r="C365" s="3507" t="s">
        <v>4080</v>
      </c>
      <c r="D365" s="3508" t="s">
        <v>4035</v>
      </c>
      <c r="E365" s="3508">
        <v>142.26</v>
      </c>
      <c r="F365" s="3509" t="s">
        <v>673</v>
      </c>
    </row>
    <row r="366" spans="1:6" ht="26.25" thickBot="1">
      <c r="A366" s="3505">
        <v>365</v>
      </c>
      <c r="B366" s="3506" t="s">
        <v>4072</v>
      </c>
      <c r="C366" s="3507" t="s">
        <v>4080</v>
      </c>
      <c r="D366" s="3508" t="s">
        <v>4036</v>
      </c>
      <c r="E366" s="3508">
        <v>107.53</v>
      </c>
      <c r="F366" s="3509" t="s">
        <v>673</v>
      </c>
    </row>
    <row r="367" spans="1:6" ht="14.25" thickBot="1">
      <c r="A367" s="3864" t="s">
        <v>4079</v>
      </c>
      <c r="B367" s="3865"/>
      <c r="C367" s="3865"/>
      <c r="D367" s="3866"/>
      <c r="E367" s="3508">
        <v>30652.95</v>
      </c>
      <c r="F367" s="3507"/>
    </row>
  </sheetData>
  <mergeCells count="1">
    <mergeCell ref="A367:D367"/>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5" t="s">
        <v>949</v>
      </c>
      <c r="B1" s="3545"/>
      <c r="C1" s="3545"/>
      <c r="D1" s="3545"/>
    </row>
    <row r="2" spans="1:4" ht="18">
      <c r="A2" s="3546" t="s">
        <v>933</v>
      </c>
      <c r="B2" s="3546"/>
      <c r="C2" s="3546"/>
      <c r="D2" s="354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46" t="s">
        <v>939</v>
      </c>
      <c r="B6" s="3546"/>
      <c r="C6" s="3546"/>
      <c r="D6" s="354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7" t="s">
        <v>942</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943</v>
      </c>
      <c r="B16" s="3541"/>
      <c r="C16" s="3541"/>
      <c r="D16" s="3541"/>
    </row>
    <row r="17" spans="1:4" ht="144" customHeight="1">
      <c r="A17" s="3541" t="s">
        <v>944</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945</v>
      </c>
      <c r="B22" s="3543"/>
      <c r="C22" s="3543"/>
      <c r="D22" s="354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3" t="s">
        <v>956</v>
      </c>
      <c r="B15" s="3548" t="s">
        <v>109</v>
      </c>
      <c r="C15" s="3549"/>
    </row>
    <row r="16" spans="1:7" ht="13.5">
      <c r="A16" s="3554"/>
      <c r="B16" s="3548" t="s">
        <v>42</v>
      </c>
      <c r="C16" s="3549"/>
    </row>
    <row r="17" spans="1:3" ht="13.5">
      <c r="A17" s="3554"/>
      <c r="B17" s="3551" t="s">
        <v>957</v>
      </c>
      <c r="C17" s="1532" t="s">
        <v>956</v>
      </c>
    </row>
    <row r="18" spans="1:3" ht="13.5">
      <c r="A18" s="3554"/>
      <c r="B18" s="3551"/>
      <c r="C18" s="1532" t="s">
        <v>958</v>
      </c>
    </row>
    <row r="19" spans="1:3" ht="13.5">
      <c r="A19" s="3554"/>
      <c r="B19" s="3551"/>
      <c r="C19" s="1532" t="s">
        <v>959</v>
      </c>
    </row>
    <row r="20" spans="1:3" ht="13.5">
      <c r="A20" s="3555"/>
      <c r="B20" s="3550" t="s">
        <v>960</v>
      </c>
      <c r="C20" s="3549"/>
    </row>
    <row r="21" spans="1:3" ht="13.5">
      <c r="A21" s="1533" t="s">
        <v>961</v>
      </c>
      <c r="B21" s="1534"/>
      <c r="C21" s="1535"/>
    </row>
    <row r="22" spans="1:3" ht="13.5">
      <c r="A22" s="3552" t="s">
        <v>962</v>
      </c>
      <c r="B22" s="3550" t="s">
        <v>963</v>
      </c>
      <c r="C22" s="3549"/>
    </row>
    <row r="23" spans="1:3" ht="13.5">
      <c r="A23" s="3552"/>
      <c r="B23" s="3550" t="s">
        <v>964</v>
      </c>
      <c r="C23" s="3549"/>
    </row>
    <row r="24" spans="1:3" ht="13.5">
      <c r="A24" s="3552"/>
      <c r="B24" s="3550" t="s">
        <v>965</v>
      </c>
      <c r="C24" s="3549"/>
    </row>
    <row r="25" spans="1:3" ht="13.5">
      <c r="A25" s="3552"/>
      <c r="B25" s="3551" t="s">
        <v>966</v>
      </c>
      <c r="C25" s="1532" t="s">
        <v>967</v>
      </c>
    </row>
    <row r="26" spans="1:3" ht="13.5">
      <c r="A26" s="3552"/>
      <c r="B26" s="3551"/>
      <c r="C26" s="1532" t="s">
        <v>968</v>
      </c>
    </row>
    <row r="27" spans="1:3" ht="13.5">
      <c r="A27" s="3552"/>
      <c r="B27" s="3551"/>
      <c r="C27" s="1532" t="s">
        <v>969</v>
      </c>
    </row>
    <row r="28" spans="1:3" ht="13.5">
      <c r="A28" s="3552"/>
      <c r="B28" s="3551"/>
      <c r="C28" s="1532" t="s">
        <v>970</v>
      </c>
    </row>
    <row r="29" spans="1:3" ht="13.5">
      <c r="A29" s="3552"/>
      <c r="B29" s="3551"/>
      <c r="C29" s="1532" t="s">
        <v>971</v>
      </c>
    </row>
    <row r="30" spans="1:3" ht="13.5">
      <c r="A30" s="3552"/>
      <c r="B30" s="3551"/>
      <c r="C30" s="1532" t="s">
        <v>972</v>
      </c>
    </row>
    <row r="31" spans="1:3" ht="13.5">
      <c r="A31" s="3552"/>
      <c r="B31" s="3551"/>
      <c r="C31" s="1532" t="s">
        <v>973</v>
      </c>
    </row>
    <row r="32" spans="1:3" ht="13.5">
      <c r="A32" s="3552"/>
      <c r="B32" s="3551"/>
      <c r="C32" s="1532" t="s">
        <v>974</v>
      </c>
    </row>
    <row r="33" spans="1:3" ht="13.5">
      <c r="A33" s="3552"/>
      <c r="B33" s="355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6" t="s">
        <v>2160</v>
      </c>
      <c r="B17" s="3556"/>
      <c r="C17" s="3556"/>
      <c r="D17" s="3556"/>
      <c r="E17" s="3556"/>
      <c r="F17" s="3556"/>
      <c r="G17" s="3556"/>
      <c r="H17" s="3556"/>
    </row>
    <row r="18" spans="1:8" ht="24" customHeight="1">
      <c r="A18" s="3557" t="s">
        <v>2161</v>
      </c>
      <c r="B18" s="3557"/>
      <c r="C18" s="3557"/>
      <c r="D18" s="2343"/>
      <c r="E18" s="3558" t="s">
        <v>2162</v>
      </c>
      <c r="F18" s="3557"/>
      <c r="G18" s="355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2023-07-25T01:34:43Z</cp:lastPrinted>
  <dcterms:created xsi:type="dcterms:W3CDTF">2015-07-13T07:17:23Z</dcterms:created>
  <dcterms:modified xsi:type="dcterms:W3CDTF">2024-02-06T08:55:40Z</dcterms:modified>
</cp:coreProperties>
</file>