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3" sheetId="80" r:id="rId22"/>
    <sheet name="收益法-2" sheetId="79" r:id="rId23"/>
    <sheet name="收益法-1"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1" sheetId="77" r:id="rId37"/>
    <sheet name="基准地价修正" sheetId="43" r:id="rId38"/>
    <sheet name="修正" sheetId="45" state="hidden" r:id="rId39"/>
    <sheet name="容积率修正" sheetId="46" state="hidden" r:id="rId40"/>
    <sheet name="基准地价（汇总）" sheetId="76"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'收益法-1'!$A$1:$AK$69</definedName>
    <definedName name="_xlnm.Print_Area" localSheetId="22">'收益法-2'!$A$1:$AK$69</definedName>
    <definedName name="_xlnm.Print_Area" localSheetId="21">'收益法-3'!$A$1:$AK$69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'基准地价修正-1'!$Q$19:$AD$19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28" i="43"/>
  <c r="G20" i="43"/>
  <c r="C20" i="43"/>
  <c r="C29" i="43"/>
  <c r="E29" i="43"/>
  <c r="C33" i="43"/>
  <c r="E33" i="43"/>
  <c r="C34" i="43"/>
  <c r="E34" i="43"/>
  <c r="C35" i="43"/>
  <c r="E35" i="43"/>
  <c r="C36" i="43"/>
  <c r="E36" i="43"/>
  <c r="C37" i="43"/>
  <c r="E37" i="43"/>
  <c r="E41" i="43"/>
  <c r="C41" i="43"/>
  <c r="C38" i="43"/>
  <c r="E38" i="43"/>
  <c r="C39" i="43"/>
  <c r="E39" i="43"/>
  <c r="C26" i="43"/>
  <c r="B2" i="43"/>
  <c r="B6" i="76"/>
  <c r="E20" i="77"/>
  <c r="M28" i="77"/>
  <c r="G20" i="77"/>
  <c r="C20" i="77"/>
  <c r="C29" i="77"/>
  <c r="E29" i="77"/>
  <c r="C33" i="77"/>
  <c r="E33" i="77"/>
  <c r="C34" i="77"/>
  <c r="E34" i="77"/>
  <c r="C35" i="77"/>
  <c r="E35" i="77"/>
  <c r="C36" i="77"/>
  <c r="E36" i="77"/>
  <c r="C37" i="77"/>
  <c r="E37" i="77"/>
  <c r="E41" i="77"/>
  <c r="C41" i="77"/>
  <c r="C38" i="77"/>
  <c r="E38" i="77"/>
  <c r="C39" i="77"/>
  <c r="E39" i="77"/>
  <c r="C26" i="77"/>
  <c r="B2" i="77"/>
  <c r="B7" i="76"/>
  <c r="B8" i="76"/>
  <c r="B9" i="76"/>
  <c r="B10" i="76"/>
  <c r="B11" i="76"/>
  <c r="B12" i="76"/>
  <c r="B13" i="76"/>
  <c r="B2" i="76"/>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C8" i="12"/>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D8" i="12"/>
  <c r="F6" i="80"/>
  <c r="F8" i="80"/>
  <c r="F7" i="80"/>
  <c r="F9" i="80"/>
  <c r="C6" i="80"/>
  <c r="F11" i="80"/>
  <c r="C10" i="80"/>
  <c r="C5" i="80"/>
  <c r="C32" i="80"/>
  <c r="C33" i="80"/>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79"/>
  <c r="J53" i="79"/>
  <c r="F1" i="79"/>
  <c r="AE8" i="1"/>
  <c r="F41" i="80"/>
  <c r="C40" i="80"/>
  <c r="E8" i="12"/>
  <c r="F6" i="79"/>
  <c r="F8" i="79"/>
  <c r="F7" i="79"/>
  <c r="F9" i="79"/>
  <c r="C6" i="79"/>
  <c r="F11" i="79"/>
  <c r="C10" i="79"/>
  <c r="C5" i="79"/>
  <c r="C32" i="79"/>
  <c r="C33" i="79"/>
  <c r="R9"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80"/>
  <c r="J53" i="80"/>
  <c r="F1" i="80"/>
  <c r="AE9" i="1"/>
  <c r="F41" i="79"/>
  <c r="C40" i="79"/>
  <c r="F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J118" i="9"/>
  <c r="L14" i="1"/>
  <c r="L9" i="1"/>
  <c r="M6" i="1"/>
  <c r="L7" i="1"/>
  <c r="M7" i="1"/>
  <c r="M8" i="1"/>
  <c r="M9" i="1"/>
  <c r="M14" i="1"/>
  <c r="M16" i="1"/>
  <c r="N16" i="1"/>
  <c r="B21" i="1"/>
  <c r="B23" i="1"/>
  <c r="H31" i="68"/>
  <c r="B24" i="1"/>
  <c r="O6" i="1"/>
  <c r="O7" i="1"/>
  <c r="O8" i="1"/>
  <c r="O9" i="1"/>
  <c r="O14" i="1"/>
  <c r="O16" i="1"/>
  <c r="F50" i="68"/>
  <c r="T6" i="1"/>
  <c r="T7" i="1"/>
  <c r="T8" i="1"/>
  <c r="T9" i="1"/>
  <c r="P6" i="1"/>
  <c r="P7" i="1"/>
  <c r="P8" i="1"/>
  <c r="P9" i="1"/>
  <c r="P14" i="1"/>
  <c r="P16" i="1"/>
  <c r="C17" i="9"/>
  <c r="D17" i="9"/>
  <c r="C18" i="9"/>
  <c r="D18" i="9"/>
  <c r="D27" i="9"/>
  <c r="C43" i="79"/>
  <c r="F6" i="12"/>
  <c r="C43" i="80"/>
  <c r="E6" i="12"/>
  <c r="C43" i="78"/>
  <c r="D6" i="12"/>
  <c r="C43" i="15"/>
  <c r="C6" i="12"/>
  <c r="G1" i="79"/>
  <c r="M47" i="79"/>
  <c r="J38" i="80"/>
  <c r="G1" i="80"/>
  <c r="F15" i="80"/>
  <c r="F17" i="80"/>
  <c r="F18" i="80"/>
  <c r="F20" i="80"/>
  <c r="F23" i="80"/>
  <c r="F21" i="80"/>
  <c r="F28" i="80"/>
  <c r="C28" i="80"/>
  <c r="F32" i="80"/>
  <c r="F33" i="80"/>
  <c r="F34" i="80"/>
  <c r="C83" i="80"/>
  <c r="C82" i="80"/>
  <c r="C76" i="80"/>
  <c r="C75" i="80"/>
  <c r="C80" i="80"/>
  <c r="C79" i="80"/>
  <c r="M6" i="80"/>
  <c r="M8" i="80"/>
  <c r="M7" i="80"/>
  <c r="M9" i="80"/>
  <c r="J6" i="80"/>
  <c r="M11" i="80"/>
  <c r="J10" i="80"/>
  <c r="J5" i="80"/>
  <c r="J26" i="80"/>
  <c r="J29" i="80"/>
  <c r="Q65" i="80"/>
  <c r="M47"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60" i="80"/>
  <c r="Q59" i="80"/>
  <c r="N59" i="80"/>
  <c r="J59" i="80"/>
  <c r="F59" i="80"/>
  <c r="Q58" i="80"/>
  <c r="J57" i="80"/>
  <c r="J55" i="80"/>
  <c r="J58" i="80"/>
  <c r="L57" i="80"/>
  <c r="L56" i="80"/>
  <c r="I54" i="80"/>
  <c r="Q47" i="80"/>
  <c r="Q48" i="80"/>
  <c r="Q53" i="80"/>
  <c r="Q52" i="80"/>
  <c r="Q51" i="80"/>
  <c r="Q50" i="80"/>
  <c r="Q49" i="80"/>
  <c r="L46" i="80"/>
  <c r="D46" i="80"/>
  <c r="C46"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F15" i="79"/>
  <c r="F17" i="79"/>
  <c r="F18" i="79"/>
  <c r="F20" i="79"/>
  <c r="F23" i="79"/>
  <c r="F21" i="79"/>
  <c r="F28" i="79"/>
  <c r="C28" i="79"/>
  <c r="F32" i="79"/>
  <c r="F33" i="79"/>
  <c r="F34" i="79"/>
  <c r="G1" i="78"/>
  <c r="M47" i="78"/>
  <c r="C83" i="79"/>
  <c r="C82" i="79"/>
  <c r="C76" i="79"/>
  <c r="C75" i="79"/>
  <c r="C80" i="79"/>
  <c r="C79" i="79"/>
  <c r="M6" i="79"/>
  <c r="M8" i="79"/>
  <c r="M7" i="79"/>
  <c r="M9" i="79"/>
  <c r="J6" i="79"/>
  <c r="M11" i="79"/>
  <c r="J10" i="79"/>
  <c r="J5" i="79"/>
  <c r="J26" i="79"/>
  <c r="J29" i="79"/>
  <c r="Q65" i="79"/>
  <c r="J50" i="79"/>
  <c r="J51"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J59" i="79"/>
  <c r="F59" i="79"/>
  <c r="Q58" i="79"/>
  <c r="J57" i="79"/>
  <c r="J55" i="79"/>
  <c r="J58" i="79"/>
  <c r="L57" i="79"/>
  <c r="L56" i="79"/>
  <c r="I54" i="79"/>
  <c r="Q47" i="79"/>
  <c r="Q48" i="79"/>
  <c r="Q53" i="79"/>
  <c r="Q52" i="79"/>
  <c r="Q51" i="79"/>
  <c r="Q50" i="79"/>
  <c r="Q49" i="79"/>
  <c r="L46" i="79"/>
  <c r="D46" i="79"/>
  <c r="C46"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F15" i="78"/>
  <c r="F17" i="78"/>
  <c r="F18" i="78"/>
  <c r="F20" i="78"/>
  <c r="F23" i="78"/>
  <c r="F21" i="78"/>
  <c r="F28" i="78"/>
  <c r="C28" i="78"/>
  <c r="F32" i="78"/>
  <c r="F33" i="78"/>
  <c r="F34" i="78"/>
  <c r="C83" i="78"/>
  <c r="C82" i="78"/>
  <c r="C76" i="78"/>
  <c r="C75" i="78"/>
  <c r="C80" i="78"/>
  <c r="C79" i="78"/>
  <c r="M6" i="78"/>
  <c r="M8" i="78"/>
  <c r="M7" i="78"/>
  <c r="M9" i="78"/>
  <c r="J6" i="78"/>
  <c r="M11" i="78"/>
  <c r="J10" i="78"/>
  <c r="J5" i="78"/>
  <c r="J26" i="78"/>
  <c r="J29" i="78"/>
  <c r="Q65" i="78"/>
  <c r="J50" i="78"/>
  <c r="J51"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J59" i="78"/>
  <c r="F59" i="78"/>
  <c r="Q58" i="78"/>
  <c r="J57" i="78"/>
  <c r="J55" i="78"/>
  <c r="J58" i="78"/>
  <c r="L57" i="78"/>
  <c r="L56" i="78"/>
  <c r="I54" i="78"/>
  <c r="Q47" i="78"/>
  <c r="Q48" i="78"/>
  <c r="Q53" i="78"/>
  <c r="Q52" i="78"/>
  <c r="Q51" i="78"/>
  <c r="Q50" i="78"/>
  <c r="Q49" i="78"/>
  <c r="L46" i="78"/>
  <c r="D46" i="78"/>
  <c r="C46"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AH8" i="1"/>
  <c r="H17" i="43"/>
  <c r="I17" i="43"/>
  <c r="J17" i="43"/>
  <c r="K17" i="43"/>
  <c r="L17" i="43"/>
  <c r="M17" i="43"/>
  <c r="N17" i="43"/>
  <c r="O17" i="43"/>
  <c r="G17" i="43"/>
  <c r="C16" i="43"/>
  <c r="C5" i="43"/>
  <c r="D5" i="43"/>
  <c r="H17" i="77"/>
  <c r="I17" i="77"/>
  <c r="J17" i="77"/>
  <c r="K17" i="77"/>
  <c r="L17" i="77"/>
  <c r="M17" i="77"/>
  <c r="N17" i="77"/>
  <c r="O17" i="77"/>
  <c r="G17" i="77"/>
  <c r="C16" i="77"/>
  <c r="C5" i="77"/>
  <c r="D5" i="77"/>
  <c r="D29" i="77"/>
  <c r="G3" i="77"/>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G2"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B88" i="77"/>
  <c r="M87" i="77"/>
  <c r="N87" i="77"/>
  <c r="K87" i="77"/>
  <c r="J87" i="77"/>
  <c r="H87" i="77"/>
  <c r="D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B83" i="77"/>
  <c r="M82" i="77"/>
  <c r="N82" i="77"/>
  <c r="K82" i="77"/>
  <c r="J82" i="77"/>
  <c r="H82" i="77"/>
  <c r="D82" i="77"/>
  <c r="B82" i="77"/>
  <c r="M81" i="77"/>
  <c r="N81" i="77"/>
  <c r="K81" i="77"/>
  <c r="J81" i="77"/>
  <c r="H81" i="77"/>
  <c r="D81" i="77"/>
  <c r="E81" i="77"/>
  <c r="B81" i="77"/>
  <c r="B79" i="77"/>
  <c r="M78" i="77"/>
  <c r="N78" i="77"/>
  <c r="K78" i="77"/>
  <c r="J78" i="77"/>
  <c r="F70" i="77"/>
  <c r="H78" i="77"/>
  <c r="D78" i="77"/>
  <c r="M77" i="77"/>
  <c r="N77" i="77"/>
  <c r="K77" i="77"/>
  <c r="J77" i="77"/>
  <c r="H77" i="77"/>
  <c r="D77" i="77"/>
  <c r="B77" i="77"/>
  <c r="M76" i="77"/>
  <c r="N76" i="77"/>
  <c r="K76" i="77"/>
  <c r="J76" i="77"/>
  <c r="H76" i="77"/>
  <c r="D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B72" i="77"/>
  <c r="M71" i="77"/>
  <c r="N71" i="77"/>
  <c r="K71" i="77"/>
  <c r="J71" i="77"/>
  <c r="H71" i="77"/>
  <c r="D71" i="77"/>
  <c r="B71" i="77"/>
  <c r="M70" i="77"/>
  <c r="N70" i="77"/>
  <c r="K70" i="77"/>
  <c r="J70" i="77"/>
  <c r="H70" i="77"/>
  <c r="D70" i="77"/>
  <c r="E70" i="77"/>
  <c r="B70" i="77"/>
  <c r="B68" i="77"/>
  <c r="M67" i="77"/>
  <c r="N67" i="77"/>
  <c r="K67" i="77"/>
  <c r="J67" i="77"/>
  <c r="I2" i="77"/>
  <c r="N1"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B59" i="77"/>
  <c r="B57" i="77"/>
  <c r="M56" i="77"/>
  <c r="N56" i="77"/>
  <c r="K56" i="77"/>
  <c r="J56" i="77"/>
  <c r="F48" i="77"/>
  <c r="H56" i="77"/>
  <c r="D56" i="77"/>
  <c r="B56" i="77"/>
  <c r="M55" i="77"/>
  <c r="N55" i="77"/>
  <c r="K55" i="77"/>
  <c r="J55" i="77"/>
  <c r="H55" i="77"/>
  <c r="D55" i="77"/>
  <c r="B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M50" i="77"/>
  <c r="N50" i="77"/>
  <c r="K50" i="77"/>
  <c r="J50" i="77"/>
  <c r="H50" i="77"/>
  <c r="D50" i="77"/>
  <c r="B50" i="77"/>
  <c r="M49" i="77"/>
  <c r="N49" i="77"/>
  <c r="K49" i="77"/>
  <c r="J49" i="77"/>
  <c r="H49" i="77"/>
  <c r="D49" i="77"/>
  <c r="B49" i="77"/>
  <c r="M48" i="77"/>
  <c r="N48" i="77"/>
  <c r="K48" i="77"/>
  <c r="J48" i="77"/>
  <c r="H48" i="77"/>
  <c r="D48" i="77"/>
  <c r="E48" i="77"/>
  <c r="B48" i="77"/>
  <c r="B46" i="77"/>
  <c r="G41" i="77"/>
  <c r="N28" i="77"/>
  <c r="M1" i="77"/>
  <c r="C6" i="77"/>
  <c r="E17" i="77"/>
  <c r="C17" i="77"/>
  <c r="G19" i="77"/>
  <c r="C19" i="77"/>
  <c r="C24" i="77"/>
  <c r="F39" i="77"/>
  <c r="G39" i="77"/>
  <c r="H39" i="77"/>
  <c r="I39" i="77"/>
  <c r="F38" i="77"/>
  <c r="G38" i="77"/>
  <c r="H38" i="77"/>
  <c r="I38" i="77"/>
  <c r="J20" i="77"/>
  <c r="I20" i="77"/>
  <c r="F37" i="77"/>
  <c r="G37" i="77"/>
  <c r="H37" i="77"/>
  <c r="I37" i="77"/>
  <c r="F36" i="77"/>
  <c r="G36" i="77"/>
  <c r="H36" i="77"/>
  <c r="I36" i="77"/>
  <c r="F35" i="77"/>
  <c r="G35" i="77"/>
  <c r="H35" i="77"/>
  <c r="I35" i="77"/>
  <c r="F34" i="77"/>
  <c r="G34" i="77"/>
  <c r="H34" i="77"/>
  <c r="I34" i="77"/>
  <c r="F33" i="77"/>
  <c r="G33" i="77"/>
  <c r="H33" i="77"/>
  <c r="I33" i="77"/>
  <c r="C7" i="77"/>
  <c r="C18" i="77"/>
  <c r="E22" i="77"/>
  <c r="G22" i="77"/>
  <c r="F22" i="77"/>
  <c r="H22" i="77"/>
  <c r="D22" i="77"/>
  <c r="C23" i="77"/>
  <c r="C21" i="77"/>
  <c r="C30" i="77"/>
  <c r="E30" i="77"/>
  <c r="P28" i="77"/>
  <c r="O28" i="77"/>
  <c r="C27" i="77"/>
  <c r="P25" i="77"/>
  <c r="P24" i="77"/>
  <c r="P23" i="77"/>
  <c r="P22" i="77"/>
  <c r="J22" i="77"/>
  <c r="P21" i="77"/>
  <c r="M20" i="77"/>
  <c r="O19" i="77"/>
  <c r="M19" i="77"/>
  <c r="I19" i="77"/>
  <c r="D17" i="77"/>
  <c r="T16" i="77"/>
  <c r="V16" i="77"/>
  <c r="T15" i="77"/>
  <c r="V15" i="77"/>
  <c r="F15" i="77"/>
  <c r="E15" i="77"/>
  <c r="D15" i="77"/>
  <c r="C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C12" i="77"/>
  <c r="T11" i="77"/>
  <c r="V11" i="77"/>
  <c r="N11" i="77"/>
  <c r="M11" i="77"/>
  <c r="C10" i="77"/>
  <c r="C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E8" i="77"/>
  <c r="Z7" i="77"/>
  <c r="X7" i="77"/>
  <c r="S7" i="77"/>
  <c r="T7" i="77"/>
  <c r="V7" i="77"/>
  <c r="N7" i="77"/>
  <c r="M7" i="77"/>
  <c r="A7" i="77"/>
  <c r="S6" i="77"/>
  <c r="T6" i="77"/>
  <c r="V6" i="77"/>
  <c r="N6" i="77"/>
  <c r="M6" i="77"/>
  <c r="S5" i="77"/>
  <c r="T5" i="77"/>
  <c r="V5" i="77"/>
  <c r="N5" i="77"/>
  <c r="M5" i="77"/>
  <c r="S4" i="77"/>
  <c r="T4" i="77"/>
  <c r="V4" i="77"/>
  <c r="N4" i="77"/>
  <c r="M4" i="77"/>
  <c r="S3" i="77"/>
  <c r="T3" i="77"/>
  <c r="V3" i="77"/>
  <c r="N3" i="77"/>
  <c r="M3" i="77"/>
  <c r="D1" i="77"/>
  <c r="B3" i="77"/>
  <c r="S2" i="77"/>
  <c r="T2" i="77"/>
  <c r="V2" i="77"/>
  <c r="N2" i="77"/>
  <c r="M2" i="77"/>
  <c r="G41" i="43"/>
  <c r="D39" i="43"/>
  <c r="D38" i="43"/>
  <c r="D29" i="43"/>
  <c r="B29" i="1"/>
  <c r="N7" i="1"/>
  <c r="N8" i="1"/>
  <c r="N9" i="1"/>
  <c r="N14" i="1"/>
  <c r="AK8" i="1"/>
  <c r="AL8" i="1"/>
  <c r="AM8" i="1"/>
  <c r="AK9" i="1"/>
  <c r="AL9" i="1"/>
  <c r="AM9" i="1"/>
  <c r="AL7" i="1"/>
  <c r="AM7" i="1"/>
  <c r="AK7" i="1"/>
  <c r="G22" i="6"/>
  <c r="G21" i="6"/>
  <c r="F20" i="6"/>
  <c r="F19" i="6"/>
  <c r="AN13" i="3"/>
  <c r="H13" i="4"/>
  <c r="G13" i="4"/>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F6" i="1"/>
  <c r="A6" i="1"/>
  <c r="A7" i="1"/>
  <c r="A8" i="1"/>
  <c r="A9" i="1"/>
  <c r="G1" i="67"/>
  <c r="L48" i="67"/>
  <c r="J51" i="67"/>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K63"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F23" i="15"/>
  <c r="D24" i="15"/>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E27" i="6"/>
  <c r="K22" i="6"/>
  <c r="S9" i="1"/>
  <c r="AR9" i="1"/>
  <c r="M22" i="6"/>
  <c r="I22" i="6"/>
  <c r="H22" i="6"/>
  <c r="D22" i="6"/>
  <c r="R22" i="6"/>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M19" i="6"/>
  <c r="S21" i="6"/>
  <c r="L27" i="6"/>
  <c r="S26" i="6"/>
  <c r="S22" i="6"/>
  <c r="M20" i="6"/>
  <c r="I20" i="6"/>
  <c r="AP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Q52" i="15"/>
  <c r="S20" i="6"/>
  <c r="I19" i="6"/>
  <c r="M27" i="6"/>
  <c r="F27" i="11"/>
  <c r="F1" i="67"/>
  <c r="Q52" i="67"/>
  <c r="AC11" i="37"/>
  <c r="W11" i="37"/>
  <c r="W11" i="34"/>
  <c r="AC11" i="34"/>
  <c r="H20" i="6"/>
  <c r="B2" i="74"/>
  <c r="E6" i="3"/>
  <c r="C10" i="68"/>
  <c r="D10" i="11"/>
  <c r="C10" i="11"/>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F34" i="11"/>
  <c r="C37" i="11"/>
  <c r="H19" i="6"/>
  <c r="S19" i="6"/>
  <c r="S27" i="6"/>
  <c r="I27" i="6"/>
  <c r="F50" i="11"/>
  <c r="F50" i="69"/>
  <c r="C47" i="11"/>
  <c r="D45" i="11"/>
  <c r="C29" i="11"/>
  <c r="D27" i="11"/>
  <c r="L16" i="1"/>
  <c r="C34" i="11"/>
  <c r="C38" i="11"/>
  <c r="R26" i="6"/>
  <c r="R23" i="6"/>
  <c r="R24" i="6"/>
  <c r="R21" i="6"/>
  <c r="D30" i="6"/>
  <c r="D16" i="6"/>
  <c r="A7" i="51"/>
  <c r="B7" i="72"/>
  <c r="C4" i="52"/>
  <c r="B45" i="72"/>
  <c r="A10" i="51"/>
  <c r="B9" i="72"/>
  <c r="D27" i="6"/>
  <c r="H27" i="6"/>
  <c r="R19" i="6"/>
  <c r="C35" i="11"/>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M27" i="67"/>
  <c r="AO8" i="1"/>
  <c r="F41" i="67"/>
  <c r="F3" i="73"/>
  <c r="M29" i="67"/>
  <c r="E7" i="76"/>
  <c r="AO7" i="1"/>
  <c r="F20" i="31"/>
  <c r="D2" i="35"/>
  <c r="M21" i="15"/>
  <c r="L47" i="67"/>
  <c r="F5" i="73"/>
  <c r="M24" i="15"/>
  <c r="D2" i="21"/>
  <c r="M26" i="15"/>
  <c r="M6" i="15"/>
  <c r="M8" i="15"/>
  <c r="M7" i="15"/>
  <c r="M9" i="15"/>
  <c r="J6" i="15"/>
  <c r="M11" i="15"/>
  <c r="J10" i="15"/>
  <c r="J5" i="15"/>
  <c r="J26" i="15"/>
  <c r="J29" i="15"/>
  <c r="J60" i="15"/>
  <c r="L46" i="15"/>
  <c r="B2" i="15"/>
  <c r="AO6" i="1"/>
  <c r="E11" i="76"/>
  <c r="M29" i="15"/>
  <c r="F7" i="73"/>
  <c r="E10" i="76"/>
  <c r="F16" i="67"/>
  <c r="F36" i="67"/>
  <c r="M22" i="67"/>
  <c r="M6" i="67"/>
  <c r="AO10" i="1"/>
  <c r="AO12" i="1"/>
  <c r="F6" i="73"/>
  <c r="F6" i="67"/>
  <c r="M26" i="67"/>
  <c r="C56" i="68"/>
  <c r="D34" i="9"/>
  <c r="M8" i="67"/>
  <c r="B3" i="12"/>
  <c r="D20" i="9"/>
  <c r="M23" i="67"/>
  <c r="D2" i="37"/>
  <c r="E9" i="76"/>
  <c r="F40" i="67"/>
  <c r="C20" i="9"/>
  <c r="F42" i="67"/>
  <c r="E2" i="69"/>
  <c r="M21" i="67"/>
  <c r="L47" i="15"/>
  <c r="E2" i="68"/>
  <c r="M27" i="15"/>
  <c r="F35" i="67"/>
  <c r="E12" i="76"/>
  <c r="J15" i="15"/>
  <c r="F9" i="67"/>
  <c r="C76" i="15"/>
  <c r="M28" i="15"/>
  <c r="F7" i="67"/>
  <c r="AO9" i="1"/>
  <c r="D2" i="36"/>
  <c r="M22" i="15"/>
  <c r="M24" i="67"/>
  <c r="F13" i="67"/>
  <c r="AO13" i="1"/>
  <c r="F37" i="67"/>
  <c r="C76" i="67"/>
  <c r="F38" i="67"/>
  <c r="M28" i="67"/>
  <c r="AO11" i="1"/>
  <c r="E8" i="76"/>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B7" i="71"/>
  <c r="S8" i="71"/>
  <c r="C94" i="9"/>
  <c r="C92" i="9"/>
  <c r="C20" i="11"/>
  <c r="C28" i="11"/>
  <c r="C27" i="11"/>
  <c r="F9" i="71"/>
  <c r="F8" i="71"/>
  <c r="F7" i="71"/>
  <c r="Y8" i="71"/>
  <c r="Z8" i="71"/>
  <c r="B7" i="49"/>
  <c r="E7" i="49"/>
  <c r="B15" i="49"/>
  <c r="AB3" i="71"/>
  <c r="X3" i="71"/>
  <c r="C9" i="71"/>
  <c r="E9" i="71"/>
  <c r="E8" i="71"/>
  <c r="E10" i="49"/>
  <c r="B6" i="49"/>
  <c r="E14" i="49"/>
  <c r="D19" i="69"/>
  <c r="C19" i="69"/>
  <c r="AF3" i="71"/>
  <c r="P24" i="43"/>
  <c r="B66" i="40"/>
  <c r="P21" i="43"/>
  <c r="P22" i="43"/>
  <c r="C29" i="69"/>
  <c r="D27" i="69"/>
  <c r="R16" i="1"/>
  <c r="B13" i="49"/>
  <c r="B4" i="49"/>
  <c r="B9" i="49"/>
  <c r="E22" i="49"/>
  <c r="E16" i="49"/>
  <c r="E11" i="49"/>
  <c r="C19" i="68"/>
  <c r="B10" i="49"/>
  <c r="E6" i="49"/>
  <c r="E8" i="49"/>
  <c r="E5" i="49"/>
  <c r="B8" i="49"/>
  <c r="B5" i="49"/>
  <c r="E21" i="49"/>
  <c r="E4" i="49"/>
  <c r="B11" i="49"/>
  <c r="B14" i="49"/>
  <c r="B16" i="49"/>
  <c r="E13" i="49"/>
  <c r="E15" i="49"/>
  <c r="E9" i="49"/>
  <c r="B22" i="49"/>
  <c r="C8" i="69"/>
  <c r="C5" i="69"/>
  <c r="C35" i="69"/>
  <c r="G20" i="9"/>
  <c r="C103" i="9"/>
  <c r="D102" i="9"/>
  <c r="D21" i="9"/>
  <c r="B6" i="70"/>
  <c r="F69" i="15"/>
  <c r="F63" i="15"/>
  <c r="C62" i="15"/>
  <c r="F70" i="67"/>
  <c r="F64" i="67"/>
  <c r="J57" i="15"/>
  <c r="J55" i="15"/>
  <c r="J58" i="15"/>
  <c r="Q50" i="15"/>
  <c r="I54" i="15"/>
  <c r="L56" i="15"/>
  <c r="F71" i="67"/>
  <c r="F66" i="15"/>
  <c r="F50" i="15"/>
  <c r="J18" i="15"/>
  <c r="B10" i="70"/>
  <c r="F68" i="67"/>
  <c r="F66" i="67"/>
  <c r="L59" i="67"/>
  <c r="M59" i="67"/>
  <c r="N59" i="67"/>
  <c r="L58" i="67"/>
  <c r="F68" i="15"/>
  <c r="N59" i="15"/>
  <c r="M59" i="15"/>
  <c r="L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7" i="71"/>
  <c r="V8" i="71"/>
  <c r="C20" i="69"/>
  <c r="C28" i="69"/>
  <c r="C27" i="69"/>
  <c r="D37" i="69"/>
  <c r="C37" i="69"/>
  <c r="C33" i="69"/>
  <c r="C39" i="69"/>
  <c r="C46" i="69"/>
  <c r="C45" i="69"/>
  <c r="P23" i="43"/>
  <c r="B71" i="39"/>
  <c r="C8" i="71"/>
  <c r="D9" i="71"/>
  <c r="P25" i="43"/>
  <c r="C49" i="67"/>
  <c r="C49" i="15"/>
  <c r="C18" i="67"/>
  <c r="C15" i="67"/>
  <c r="F11" i="67"/>
  <c r="M11" i="67"/>
  <c r="J10" i="67"/>
  <c r="J5" i="67"/>
  <c r="G21" i="9"/>
  <c r="Q73" i="67"/>
  <c r="Q60" i="67"/>
  <c r="B2" i="70"/>
  <c r="B3" i="70"/>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7" i="71"/>
  <c r="D6" i="71"/>
  <c r="T8" i="71"/>
  <c r="D7" i="71"/>
  <c r="D8" i="71"/>
  <c r="C19" i="67"/>
  <c r="C20" i="67"/>
  <c r="C26" i="67"/>
  <c r="J24" i="67"/>
  <c r="J26" i="67"/>
  <c r="J29" i="67"/>
  <c r="F118" i="9"/>
  <c r="H118" i="9"/>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D119" i="9"/>
  <c r="D5" i="52"/>
  <c r="B49" i="72"/>
  <c r="C66" i="15"/>
  <c r="C60" i="15"/>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59" i="15"/>
  <c r="L51" i="15"/>
  <c r="L57" i="15"/>
  <c r="L6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B3"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<sst xmlns="http://schemas.openxmlformats.org/spreadsheetml/2006/main" count="8892" uniqueCount="3106">
  <si>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</si>
  <si>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</si>
  <si>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</si>
  <si>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</si>
  <si>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</si>
  <si>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</si>
  <si>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</si>
  <si>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</si>
  <si>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</si>
  <si>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</si>
  <si>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</si>
  <si>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</si>
  <si>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</si>
  <si>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</si>
  <si>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</si>
  <si>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</si>
  <si>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</si>
  <si>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</si>
  <si>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</si>
  <si>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</si>
  <si>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</si>
  <si>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</si>
  <si>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</si>
  <si>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</si>
  <si>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</si>
  <si>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</si>
  <si>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</si>
  <si>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</si>
  <si>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</si>
  <si>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</si>
  <si>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</si>
  <si>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</si>
  <si>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</si>
  <si>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</si>
  <si>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</si>
  <si>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</si>
  <si>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</si>
  <si>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</si>
  <si>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</si>
  <si>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</si>
  <si>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</si>
  <si>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</si>
  <si>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</si>
  <si>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</si>
  <si>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</si>
  <si>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</si>
  <si>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</si>
  <si>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</si>
  <si>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</si>
  <si>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</si>
  <si>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</si>
  <si>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</si>
  <si>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</si>
  <si>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</si>
  <si>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</si>
  <si>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</si>
  <si>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</si>
  <si>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</si>
  <si>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</si>
  <si>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</si>
  <si>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</si>
  <si>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</si>
  <si>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</si>
  <si>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</si>
  <si>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</si>
  <si>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</si>
  <si>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</si>
  <si>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</si>
  <si>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</si>
  <si>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</si>
  <si>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</si>
  <si>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</si>
  <si>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</si>
  <si>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</si>
  <si>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</si>
  <si>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</si>
  <si>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</si>
  <si>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</si>
  <si>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</si>
  <si>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</si>
  <si>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</si>
  <si>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</si>
  <si>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</si>
  <si>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</si>
  <si>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</si>
  <si>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</si>
  <si>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</si>
  <si>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</si>
  <si>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</si>
  <si>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</si>
  <si>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</si>
  <si>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</si>
  <si>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</si>
  <si>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</si>
  <si>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</si>
  <si>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</si>
  <si>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</si>
  <si>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</si>
  <si>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</si>
  <si>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</si>
  <si>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</si>
  <si>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</si>
  <si>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</si>
  <si>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</si>
  <si>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</si>
  <si>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</si>
  <si>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</si>
  <si>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</si>
  <si>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</si>
  <si>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</si>
  <si>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</si>
  <si>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</si>
  <si>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</si>
  <si>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</si>
  <si>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</si>
  <si>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</si>
  <si>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</si>
  <si>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</si>
  <si>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</si>
  <si>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</si>
  <si>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</si>
  <si>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</si>
  <si>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</si>
  <si>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</si>
  <si>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</si>
  <si>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</si>
  <si>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</si>
  <si>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</si>
  <si>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</si>
  <si>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</si>
  <si>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</si>
  <si>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</si>
  <si>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</si>
  <si>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</si>
  <si>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</si>
  <si>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</si>
  <si>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</si>
  <si>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</si>
  <si>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</si>
  <si>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</si>
  <si>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</si>
  <si>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</si>
  <si>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</si>
  <si>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</si>
  <si>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</si>
  <si>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</si>
  <si>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</si>
  <si>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</si>
  <si>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</si>
  <si>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</si>
  <si>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</si>
  <si>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</si>
  <si>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</si>
  <si>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</si>
  <si>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</si>
  <si>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</si>
  <si>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</si>
  <si>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</si>
  <si>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</si>
  <si>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</si>
  <si>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</si>
  <si>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</si>
  <si>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</si>
  <si>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</si>
  <si>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</si>
  <si>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</si>
  <si>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</si>
  <si>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</si>
  <si>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</si>
  <si>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</si>
  <si>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</si>
  <si>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</si>
  <si>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</si>
  <si>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</si>
  <si>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</si>
  <si>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</si>
  <si>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</si>
  <si>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</si>
  <si>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</si>
  <si>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</si>
  <si>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</si>
  <si>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</si>
  <si>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</si>
  <si>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</si>
  <si>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</si>
  <si>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</si>
  <si>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</si>
  <si>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</si>
  <si>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</si>
  <si>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</si>
  <si>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</si>
  <si>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</si>
  <si>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</si>
  <si>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</si>
  <si>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</si>
  <si>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</si>
  <si>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</si>
  <si>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</si>
  <si>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</si>
  <si>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</si>
  <si>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</si>
  <si>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</si>
  <si>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</si>
  <si>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</si>
  <si>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</si>
  <si>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</si>
  <si>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</si>
  <si>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</si>
  <si>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</si>
  <si>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</si>
  <si>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</si>
  <si>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</si>
  <si>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</si>
  <si>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</si>
  <si>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</si>
  <si>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</si>
  <si>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</si>
  <si>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</si>
  <si>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</si>
  <si>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</si>
  <si>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</si>
  <si>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</si>
  <si>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</si>
  <si>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</si>
  <si>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</si>
  <si>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</si>
  <si>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</si>
  <si>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</si>
  <si>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</si>
  <si>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</si>
  <si>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</si>
  <si>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</si>
  <si>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</si>
  <si>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</si>
  <si>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</si>
  <si>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</si>
  <si>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</si>
  <si>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</si>
  <si>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</si>
  <si>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</si>
  <si>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</si>
  <si>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</si>
  <si>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</si>
  <si>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</si>
  <si>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</si>
  <si>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</si>
  <si>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</si>
  <si>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</si>
  <si>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</si>
  <si>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</si>
  <si>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</si>
  <si>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</si>
  <si>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</si>
  <si>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</si>
  <si>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</si>
  <si>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</si>
  <si>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</si>
  <si>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</si>
  <si>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</si>
  <si>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</si>
  <si>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</si>
  <si>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</si>
  <si>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</si>
  <si>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</si>
  <si>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</si>
  <si>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</si>
  <si>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</si>
  <si>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</si>
  <si>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</si>
  <si>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</si>
  <si>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</si>
  <si>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</si>
  <si>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</si>
  <si>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</si>
  <si>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</si>
  <si>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</si>
  <si>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</si>
  <si>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</si>
  <si>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</si>
  <si>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</si>
  <si>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</si>
  <si>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</si>
  <si>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</si>
  <si>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</si>
  <si>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</si>
  <si>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</si>
  <si>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</si>
  <si>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</si>
  <si>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</si>
  <si>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</si>
  <si>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</si>
  <si>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</si>
  <si>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</si>
  <si>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</si>
  <si>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</si>
  <si>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</si>
  <si>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</si>
  <si>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</si>
  <si>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</si>
  <si>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</si>
  <si>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</si>
  <si>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</si>
  <si>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</si>
  <si>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</si>
  <si>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</si>
  <si>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</si>
  <si>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</si>
  <si>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</si>
  <si>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</si>
  <si>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</si>
  <si>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</si>
  <si>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</si>
  <si>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</si>
  <si>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</si>
  <si>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</si>
  <si>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</si>
  <si>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</si>
  <si>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</si>
  <si>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</si>
  <si>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</si>
  <si>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</si>
  <si>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</si>
  <si>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</si>
  <si>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</si>
  <si>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</si>
  <si>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</si>
  <si>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</si>
  <si>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</si>
  <si>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</si>
  <si>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</si>
  <si>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</si>
  <si>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</si>
  <si>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</si>
  <si>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</si>
  <si>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</si>
  <si>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</si>
  <si>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</si>
  <si>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</si>
  <si>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</si>
  <si>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</si>
  <si>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</si>
  <si>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</si>
  <si>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</si>
  <si>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</si>
  <si>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</si>
  <si>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</si>
  <si>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</si>
  <si>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</si>
  <si>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</si>
  <si>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</si>
  <si>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</si>
  <si>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</si>
  <si>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</si>
  <si>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</si>
  <si>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</si>
  <si>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</si>
  <si>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</si>
  <si>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</si>
  <si>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</si>
  <si>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</si>
  <si>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</si>
  <si>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</si>
  <si>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</si>
  <si>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</si>
  <si>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</si>
  <si>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</si>
  <si>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</si>
  <si>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</si>
  <si>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</si>
  <si>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</si>
  <si>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</si>
  <si>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</si>
  <si>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</si>
  <si>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</si>
  <si>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</si>
  <si>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</si>
  <si>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</si>
  <si>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</si>
  <si>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</si>
  <si>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</si>
  <si>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</si>
  <si>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</si>
  <si>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</si>
  <si>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</si>
  <si>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</si>
  <si>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</si>
  <si>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</si>
  <si>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</si>
  <si>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</si>
  <si>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</si>
  <si>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</si>
  <si>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</si>
  <si>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</si>
  <si>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</si>
  <si>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</si>
  <si>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</si>
  <si>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</si>
  <si>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</si>
  <si>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</si>
  <si>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</si>
  <si>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</si>
  <si>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</si>
  <si>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</si>
  <si>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</si>
  <si>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</si>
  <si>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</si>
  <si>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</si>
  <si>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</si>
  <si>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</si>
  <si>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</si>
  <si>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</si>
  <si>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</si>
  <si>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</si>
  <si>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</si>
  <si>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</si>
  <si>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</si>
  <si>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</si>
  <si>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</si>
  <si>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</si>
  <si>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</si>
  <si>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</si>
  <si>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</si>
  <si>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</si>
  <si>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</si>
  <si>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</si>
  <si>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</si>
  <si>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</si>
  <si>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</si>
  <si>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</si>
  <si>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</si>
  <si>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</si>
  <si>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</si>
  <si>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</si>
  <si>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</si>
  <si>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</si>
  <si>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</si>
  <si>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</si>
  <si>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</si>
  <si>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</si>
  <si>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</si>
  <si>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</si>
  <si>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</si>
  <si>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</si>
  <si>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</si>
  <si>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</si>
  <si>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</si>
  <si>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</si>
  <si>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</si>
  <si>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</si>
  <si>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</si>
  <si>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</si>
  <si>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</si>
  <si>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</si>
  <si>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</si>
  <si>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</si>
  <si>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</si>
  <si>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</si>
  <si>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</si>
  <si>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</si>
  <si>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</si>
  <si>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</si>
  <si>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</si>
  <si>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</si>
  <si>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</si>
  <si>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</si>
  <si>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</si>
  <si>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</si>
  <si>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</si>
  <si>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</si>
  <si>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</si>
  <si>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</si>
  <si>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</si>
  <si>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</si>
  <si>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</si>
  <si>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</si>
  <si>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</si>
  <si>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</si>
  <si>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</si>
  <si>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</si>
  <si>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</si>
  <si>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</si>
  <si>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</si>
  <si>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</si>
  <si>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</si>
  <si>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</si>
  <si>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</si>
  <si>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</si>
  <si>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</si>
  <si>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</si>
  <si>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</si>
  <si>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</si>
  <si>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</si>
  <si>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</si>
  <si>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</si>
  <si>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</si>
  <si>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</si>
  <si>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</si>
  <si>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</si>
  <si>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</si>
  <si>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</si>
  <si>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</si>
  <si>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</si>
  <si>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</si>
  <si>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</si>
  <si>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</si>
  <si>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</si>
  <si>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</si>
  <si>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</si>
  <si>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</si>
  <si>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</si>
  <si>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</si>
  <si>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</si>
  <si>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</si>
  <si>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</si>
  <si>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</si>
  <si>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</si>
  <si>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</si>
  <si>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</si>
  <si>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</si>
  <si>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</si>
  <si>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</si>
  <si>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</si>
  <si>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</si>
  <si>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</si>
  <si>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</si>
  <si>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</si>
  <si>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</si>
  <si>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</si>
  <si>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</si>
  <si>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</si>
  <si>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</si>
  <si>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</si>
  <si>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</si>
  <si>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</si>
  <si>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</si>
  <si>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</si>
  <si>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</si>
  <si>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</si>
  <si>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</si>
  <si>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</si>
  <si>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</si>
  <si>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</si>
  <si>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</si>
  <si>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</si>
  <si>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</si>
  <si>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</si>
  <si>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</si>
  <si>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</si>
  <si>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</si>
  <si>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</si>
  <si>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</si>
  <si>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</si>
  <si>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</si>
  <si>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</si>
  <si>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</si>
  <si>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</si>
  <si>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</si>
  <si>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</si>
  <si>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</si>
  <si>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</si>
  <si>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</si>
  <si>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</si>
  <si>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</si>
  <si>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</si>
  <si>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</si>
  <si>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</si>
  <si>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</si>
  <si>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</si>
  <si>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</si>
  <si>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</si>
  <si>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</si>
  <si>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</si>
  <si>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</si>
  <si>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</si>
  <si>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</si>
  <si>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</si>
  <si>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</si>
  <si>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</si>
  <si>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</si>
  <si>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</si>
  <si>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</si>
  <si>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</si>
  <si>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</si>
  <si>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</si>
  <si>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</si>
  <si>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</si>
  <si>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</si>
  <si>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</si>
  <si>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</si>
  <si>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</si>
  <si>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</si>
  <si>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</si>
  <si>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</si>
  <si>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</si>
  <si>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</si>
  <si>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</si>
  <si>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</si>
  <si>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</si>
  <si>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</si>
  <si>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</si>
  <si>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</si>
  <si>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</si>
  <si>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</si>
  <si>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</si>
  <si>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</si>
  <si>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</si>
  <si>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</si>
  <si>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</si>
  <si>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</si>
  <si>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</si>
  <si>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</si>
  <si>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</si>
  <si>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</si>
  <si>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</si>
  <si>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</si>
  <si>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</si>
  <si>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</si>
  <si>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</si>
  <si>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</si>
  <si>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</si>
  <si>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</si>
  <si>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</si>
  <si>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</si>
  <si>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</si>
  <si>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</si>
  <si>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</si>
  <si>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</si>
  <si>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</si>
  <si>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</si>
  <si>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</si>
  <si>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</si>
  <si>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</si>
  <si>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</si>
  <si>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</si>
  <si>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</si>
  <si>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</si>
  <si>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</si>
  <si>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</si>
  <si>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</si>
  <si>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</si>
  <si>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</si>
  <si>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</si>
  <si>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</si>
  <si>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</si>
  <si>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</si>
  <si>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</si>
  <si>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</si>
  <si>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</si>
  <si>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</si>
  <si>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</si>
  <si>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</si>
  <si>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</si>
  <si>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</si>
  <si>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</si>
  <si>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</si>
  <si>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</si>
  <si>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</si>
  <si>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</si>
  <si>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</si>
  <si>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</si>
  <si>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</si>
  <si>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</si>
  <si>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</si>
  <si>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</si>
  <si>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</si>
  <si>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</si>
  <si>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</si>
  <si>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</si>
  <si>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</si>
  <si>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</si>
  <si>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</si>
  <si>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</si>
  <si>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</si>
  <si>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</si>
  <si>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</si>
  <si>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</si>
  <si>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</si>
  <si>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</si>
  <si>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</si>
  <si>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</si>
  <si>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</si>
  <si>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</si>
  <si>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</si>
  <si>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</si>
  <si>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</si>
  <si>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</si>
  <si>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</si>
  <si>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</si>
  <si>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</si>
  <si>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</si>
  <si>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</si>
  <si>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</si>
  <si>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</si>
  <si>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</si>
  <si>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</si>
  <si>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</si>
  <si>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</si>
  <si>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</si>
  <si>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</si>
  <si>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</si>
  <si>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</si>
  <si>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</si>
  <si>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</si>
  <si>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</si>
  <si>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</si>
  <si>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</si>
  <si>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</si>
  <si>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</si>
  <si>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</si>
  <si>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</si>
  <si>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</si>
  <si>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</si>
  <si>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</si>
  <si>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</si>
  <si>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</si>
  <si>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</si>
  <si>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</si>
  <si>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</si>
  <si>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</si>
  <si>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</si>
  <si>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</si>
  <si>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</si>
  <si>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</si>
  <si>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</si>
  <si>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</si>
  <si>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</si>
  <si>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</si>
  <si>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</si>
  <si>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</si>
  <si>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</si>
  <si>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</si>
  <si>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</si>
  <si>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</si>
  <si>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</si>
  <si>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</si>
  <si>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</si>
  <si>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</si>
  <si>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</si>
  <si>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</si>
  <si>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</si>
  <si>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</si>
  <si>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</si>
  <si>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</si>
  <si>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</si>
  <si>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</si>
  <si>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</si>
  <si>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</si>
  <si>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</si>
  <si>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</si>
  <si>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</si>
  <si>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</si>
  <si>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</si>
  <si>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</si>
  <si>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</si>
  <si>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</si>
  <si>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</si>
  <si>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</si>
  <si>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</si>
  <si>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</si>
  <si>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</si>
  <si>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</si>
  <si>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</si>
  <si>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</si>
  <si>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</si>
  <si>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</si>
  <si>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</si>
  <si>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</si>
  <si>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</si>
  <si>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</si>
  <si>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</si>
  <si>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</si>
  <si>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</si>
  <si>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</si>
  <si>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</si>
  <si>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</si>
  <si>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</si>
  <si>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</si>
  <si>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</si>
  <si>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</si>
  <si>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</si>
  <si>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</si>
  <si>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</si>
  <si>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</si>
  <si>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</si>
  <si>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</si>
  <si>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</si>
  <si>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</si>
  <si>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</si>
  <si>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</si>
  <si>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</si>
  <si>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</si>
  <si>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</si>
  <si>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</si>
  <si>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</si>
  <si>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</si>
  <si>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</si>
  <si>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</si>
  <si>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</si>
  <si>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</si>
  <si>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</si>
  <si>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</si>
  <si>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</si>
  <si>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</si>
  <si>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</si>
  <si>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</si>
  <si>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</si>
  <si>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</si>
  <si>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</si>
  <si>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</si>
  <si>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</si>
  <si>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</si>
  <si>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</si>
  <si>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</si>
  <si>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</si>
  <si>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</si>
  <si>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</si>
  <si>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</si>
  <si>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</si>
  <si>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</si>
  <si>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</si>
  <si>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</si>
  <si>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</si>
  <si>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</si>
  <si>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</si>
  <si>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</si>
  <si>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</si>
  <si>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</si>
  <si>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</si>
  <si>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</si>
  <si>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</si>
  <si>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</si>
  <si>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</si>
  <si>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</si>
  <si>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</si>
  <si>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</si>
  <si>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</si>
  <si>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</si>
  <si>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</si>
  <si>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</si>
  <si>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</si>
  <si>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</si>
  <si>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</si>
  <si>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</si>
  <si>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</si>
  <si>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</si>
  <si>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</si>
  <si>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</si>
  <si>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</si>
  <si>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</si>
  <si>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</si>
  <si>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</si>
  <si>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</si>
  <si>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</si>
  <si>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</si>
  <si>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</si>
  <si>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</si>
  <si>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</si>
  <si>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</si>
  <si>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</si>
  <si>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</si>
  <si>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</si>
  <si>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</si>
  <si>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</si>
  <si>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</si>
  <si>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</si>
  <si>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</si>
  <si>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</si>
  <si>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</si>
  <si>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</si>
  <si>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</si>
  <si>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</si>
  <si>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</si>
  <si>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</si>
  <si>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</si>
  <si>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</si>
  <si>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</si>
  <si>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</si>
  <si>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</si>
  <si>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</si>
  <si>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</si>
  <si>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</si>
  <si>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</si>
  <si>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</si>
  <si>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</si>
  <si>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</si>
  <si>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</si>
  <si>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</si>
  <si>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</si>
  <si>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</si>
  <si>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</si>
  <si>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</si>
  <si>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</si>
  <si>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</si>
  <si>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</si>
  <si>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</si>
  <si>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</si>
  <si>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</si>
  <si>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</si>
  <si>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</si>
  <si>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</si>
  <si>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</si>
  <si>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</si>
  <si>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</si>
  <si>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</si>
  <si>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</si>
  <si>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</si>
  <si>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</si>
  <si>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</si>
  <si>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</si>
  <si>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</si>
  <si>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</si>
  <si>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</si>
  <si>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</si>
  <si>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</si>
  <si>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</si>
  <si>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</si>
  <si>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</si>
  <si>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</si>
  <si>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</si>
  <si>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</si>
  <si>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</si>
  <si>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</si>
  <si>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</si>
  <si>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</si>
  <si>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</si>
  <si>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</si>
  <si>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</si>
  <si>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</si>
  <si>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</si>
  <si>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</si>
  <si>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</si>
  <si>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</si>
  <si>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</si>
  <si>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</si>
  <si>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</si>
  <si>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</si>
  <si>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</si>
  <si>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</si>
  <si>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</si>
  <si>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</si>
  <si>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</si>
  <si>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</si>
  <si>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</si>
  <si>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</si>
  <si>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</si>
  <si>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</si>
  <si>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</si>
  <si>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</si>
  <si>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</si>
  <si>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</si>
  <si>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</si>
  <si>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</si>
  <si>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</si>
  <si>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</si>
  <si>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</si>
  <si>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</si>
  <si>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</si>
  <si>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</si>
  <si>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</si>
  <si>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</si>
  <si>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</si>
  <si>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</si>
  <si>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</si>
  <si>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</si>
  <si>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</si>
  <si>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</si>
  <si>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</si>
  <si>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</si>
  <si>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</si>
  <si>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</si>
  <si>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</si>
  <si>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</si>
  <si>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</si>
  <si>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</si>
  <si>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</si>
  <si>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</si>
  <si>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</si>
  <si>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</si>
  <si>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</si>
  <si>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</si>
  <si>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</si>
  <si>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</si>
  <si>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</si>
  <si>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</si>
  <si>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</si>
  <si>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</si>
  <si>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</si>
  <si>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</si>
  <si>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</si>
  <si>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</si>
  <si>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</si>
  <si>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</si>
  <si>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</si>
  <si>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</si>
  <si>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</si>
  <si>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</si>
  <si>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</si>
  <si>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</si>
  <si>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</si>
  <si>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</si>
  <si>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</si>
  <si>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</si>
  <si>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</si>
  <si>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</si>
  <si>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</si>
  <si>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</si>
  <si>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</si>
  <si>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</si>
  <si>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</si>
  <si>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</si>
  <si>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</si>
  <si>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</si>
  <si>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</si>
  <si>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</si>
  <si>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</si>
  <si>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</si>
  <si>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</si>
  <si>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</si>
  <si>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</si>
  <si>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</si>
  <si>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</si>
  <si>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</si>
  <si>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</si>
  <si>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</si>
  <si>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</si>
  <si>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</si>
  <si>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</si>
  <si>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</si>
  <si>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</si>
  <si>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</si>
  <si>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</si>
  <si>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</si>
  <si>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</si>
  <si>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</si>
  <si>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</si>
  <si>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</si>
  <si>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</si>
  <si>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</si>
  <si>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</si>
  <si>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</si>
  <si>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</si>
  <si>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</si>
  <si>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</si>
  <si>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</si>
  <si>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</si>
  <si>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</si>
  <si>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</si>
  <si>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</si>
  <si>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</si>
  <si>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</si>
  <si>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</si>
  <si>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</si>
  <si>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</si>
  <si>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</si>
  <si>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</si>
  <si>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</si>
  <si>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</si>
  <si>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</si>
  <si>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</si>
  <si>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</si>
  <si>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</si>
  <si>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</si>
  <si>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</si>
  <si>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</si>
  <si>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</si>
  <si>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</si>
  <si>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</si>
  <si>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</si>
  <si>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</si>
  <si>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</si>
  <si>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</si>
  <si>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</si>
  <si>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</si>
  <si>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</si>
  <si>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</si>
  <si>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</si>
  <si>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</si>
  <si>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</si>
  <si>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</si>
  <si>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</si>
  <si>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</si>
  <si>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</si>
  <si>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</si>
  <si>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</si>
  <si>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</si>
  <si>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</si>
  <si>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</si>
  <si>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</si>
  <si>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</si>
  <si>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</si>
  <si>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</si>
  <si>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</si>
  <si>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</si>
  <si>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</si>
  <si>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</si>
  <si>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</si>
  <si>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</si>
  <si>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</si>
  <si>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</si>
  <si>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</si>
  <si>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</si>
  <si>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</si>
  <si>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</si>
  <si>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</si>
  <si>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</si>
  <si>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</si>
  <si>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</si>
  <si>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</si>
  <si>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</si>
  <si>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</si>
  <si>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</si>
  <si>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</si>
  <si>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</si>
  <si>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</si>
  <si>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</si>
  <si>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</si>
  <si>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</si>
  <si>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</si>
  <si>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</si>
  <si>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</si>
  <si>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</si>
  <si>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</si>
  <si>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</si>
  <si>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</si>
  <si>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</si>
  <si>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</si>
  <si>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</si>
  <si>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</si>
  <si>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</si>
  <si>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</si>
  <si>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</si>
  <si>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</si>
  <si>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</si>
  <si>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</si>
  <si>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</si>
  <si>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</si>
  <si>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</si>
  <si>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</si>
  <si>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</si>
  <si>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</si>
  <si>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</si>
  <si>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</si>
  <si>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</si>
  <si>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</si>
  <si>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</si>
  <si>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</si>
  <si>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</si>
  <si>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</si>
  <si>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</si>
  <si>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</si>
  <si>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</si>
  <si>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</si>
  <si>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</si>
  <si>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</si>
  <si>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</si>
  <si>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</si>
  <si>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</si>
  <si>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</si>
  <si>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</si>
  <si>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</si>
  <si>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</si>
  <si>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</si>
  <si>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</si>
  <si>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</si>
  <si>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</si>
  <si>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</si>
  <si>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</si>
  <si>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</si>
  <si>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</si>
  <si>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</si>
  <si>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</si>
  <si>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</si>
  <si>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</si>
  <si>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</si>
  <si>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</si>
  <si>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</si>
  <si>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</si>
  <si>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</si>
  <si>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</si>
  <si>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</si>
  <si>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</si>
  <si>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</si>
  <si>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</si>
  <si>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</si>
  <si>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</si>
  <si>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</si>
  <si>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</si>
  <si>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</si>
  <si>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</si>
  <si>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</si>
  <si>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</si>
  <si>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</si>
  <si>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</si>
  <si>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</si>
  <si>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</si>
  <si>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</si>
  <si>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</si>
  <si>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</si>
  <si>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</si>
  <si>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</si>
  <si>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</si>
  <si>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</si>
  <si>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</si>
  <si>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</si>
  <si>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</si>
  <si>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</si>
  <si>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</si>
  <si>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</si>
  <si>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</si>
  <si>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</si>
  <si>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</si>
  <si>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</si>
  <si>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</si>
  <si>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</si>
  <si>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</si>
  <si>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</si>
  <si>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</si>
  <si>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</si>
  <si>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</si>
  <si>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</si>
  <si>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</si>
  <si>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</si>
  <si>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</si>
  <si>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</si>
  <si>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</si>
  <si>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</si>
  <si>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</si>
  <si>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</si>
  <si>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</si>
  <si>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</si>
  <si>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</si>
  <si>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</si>
  <si>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</si>
  <si>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</si>
  <si>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</si>
  <si>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</si>
  <si>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</si>
  <si>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</si>
  <si>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</si>
  <si>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</si>
  <si>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</si>
  <si>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</si>
  <si>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</si>
  <si>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</si>
  <si>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</si>
  <si>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</si>
  <si>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</si>
  <si>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</si>
  <si>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</si>
  <si>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</si>
  <si>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</si>
  <si>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</si>
  <si>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</si>
  <si>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</si>
  <si>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</si>
  <si>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</si>
  <si>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</si>
  <si>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</si>
  <si>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</si>
  <si>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</si>
  <si>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</si>
  <si>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</si>
  <si>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</si>
  <si>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</si>
  <si>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</si>
  <si>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</si>
  <si>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</si>
  <si>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</si>
  <si>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</si>
  <si>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</si>
  <si>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</si>
  <si>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</si>
  <si>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</si>
  <si>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</si>
  <si>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</si>
  <si>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</si>
  <si>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</si>
  <si>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</si>
  <si>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</si>
  <si>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</si>
  <si>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</si>
  <si>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</si>
  <si>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</si>
  <si>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</si>
  <si>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</si>
  <si>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</si>
  <si>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</si>
  <si>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</si>
  <si>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</si>
  <si>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</si>
  <si>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</si>
  <si>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</si>
  <si>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</si>
  <si>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</si>
  <si>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</si>
  <si>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</si>
  <si>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</si>
  <si>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</si>
  <si>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</si>
  <si>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</si>
  <si>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</si>
  <si>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</si>
  <si>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</si>
  <si>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</si>
  <si>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</si>
  <si>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</si>
  <si>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</si>
  <si>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</si>
  <si>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</si>
  <si>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</si>
  <si>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</si>
  <si>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</si>
  <si>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</si>
  <si>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</si>
  <si>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</si>
  <si>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</si>
  <si>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</si>
  <si>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</si>
  <si>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</si>
  <si>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</si>
  <si>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</si>
  <si>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</si>
  <si>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</si>
  <si>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</si>
  <si>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</si>
  <si>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</si>
  <si>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</si>
  <si>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</si>
  <si>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</si>
  <si>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</si>
  <si>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</si>
  <si>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</si>
  <si>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</si>
  <si>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</si>
  <si>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</si>
  <si>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</si>
  <si>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</si>
  <si>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</si>
  <si>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</si>
  <si>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</si>
  <si>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</si>
  <si>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</si>
  <si>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</si>
  <si>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</si>
  <si>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</si>
  <si>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</si>
  <si>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</si>
  <si>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</si>
  <si>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</si>
  <si>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</si>
  <si>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</si>
  <si>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</si>
  <si>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</si>
  <si>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</si>
  <si>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</si>
  <si>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</si>
  <si>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</si>
  <si>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</si>
  <si>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</si>
  <si>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</si>
  <si>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</si>
  <si>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</si>
  <si>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</si>
  <si>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</si>
  <si>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</si>
  <si>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</si>
  <si>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</si>
  <si>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</si>
  <si>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</si>
  <si>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</si>
  <si>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</si>
  <si>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</si>
  <si>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</si>
  <si>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</si>
  <si>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</si>
  <si>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</si>
  <si>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</si>
  <si>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</si>
  <si>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</si>
  <si>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</si>
  <si>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</si>
  <si>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</si>
  <si>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</si>
  <si>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</si>
  <si>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</si>
  <si>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</si>
  <si>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</si>
  <si>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</si>
  <si>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</si>
  <si>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</si>
  <si>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</si>
  <si>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</si>
  <si>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</si>
  <si>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</si>
  <si>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</si>
  <si>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</si>
  <si>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</si>
  <si>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</si>
  <si>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</si>
  <si>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</si>
  <si>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</si>
  <si>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</si>
  <si>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</si>
  <si>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</si>
  <si>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</si>
  <si>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</si>
  <si>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</si>
  <si>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</si>
  <si>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</si>
  <si>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</si>
  <si>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</si>
  <si>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</si>
  <si>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</si>
  <si>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</si>
  <si>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</si>
  <si>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</si>
  <si>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</si>
  <si>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</si>
  <si>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</si>
  <si>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</si>
  <si>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</si>
  <si>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</si>
  <si>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</si>
  <si>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</si>
  <si>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</si>
  <si>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</si>
  <si>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</si>
  <si>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</si>
  <si>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</si>
  <si>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</si>
  <si>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</si>
  <si>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</si>
  <si>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</si>
  <si>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</si>
  <si>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</si>
  <si>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</si>
  <si>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</si>
  <si>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</si>
  <si>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</si>
  <si>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</si>
  <si>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</si>
  <si>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</si>
  <si>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</si>
  <si>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</si>
  <si>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</si>
  <si>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</si>
  <si>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</si>
  <si>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</si>
  <si>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</si>
  <si>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</si>
  <si>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</si>
  <si>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</si>
  <si>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</si>
  <si>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</si>
  <si>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</si>
  <si>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</si>
  <si>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</si>
  <si>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</si>
  <si>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</si>
  <si>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</si>
  <si>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</si>
  <si>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</si>
  <si>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</si>
  <si>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</si>
  <si>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</si>
  <si>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</si>
  <si>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</si>
  <si>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</si>
  <si>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</si>
  <si>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</si>
  <si>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</si>
  <si>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</si>
  <si>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</si>
  <si>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</si>
  <si>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</si>
  <si>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</si>
  <si>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</si>
  <si>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</si>
  <si>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</si>
  <si>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</si>
  <si>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</si>
  <si>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</si>
  <si>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</si>
  <si>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</si>
  <si>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</si>
  <si>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</si>
  <si>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</si>
  <si>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</si>
  <si>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</si>
  <si>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</si>
  <si>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</si>
  <si>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</si>
  <si>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</si>
  <si>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</si>
  <si>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</si>
  <si>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</si>
  <si>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</si>
  <si>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</si>
  <si>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</si>
  <si>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</si>
  <si>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</si>
  <si>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</si>
  <si>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</si>
  <si>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</si>
  <si>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</si>
  <si>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</si>
  <si>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</si>
  <si>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</si>
  <si>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</si>
  <si>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</si>
  <si>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</si>
  <si>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</si>
  <si>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</si>
  <si>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</si>
  <si>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</si>
  <si>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</si>
  <si>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</si>
  <si>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</si>
  <si>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</si>
  <si>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</si>
  <si>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</si>
  <si>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</si>
  <si>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</si>
  <si>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</si>
  <si>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</si>
  <si>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</si>
  <si>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</si>
  <si>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</si>
  <si>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</si>
  <si>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</si>
  <si>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</si>
  <si>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</si>
  <si>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</si>
  <si>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</si>
  <si>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</si>
  <si>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</si>
  <si>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</si>
  <si>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</si>
  <si>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</si>
  <si>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</si>
  <si>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</si>
  <si>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</si>
  <si>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</si>
  <si>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</si>
  <si>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</si>
  <si>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</si>
  <si>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</si>
  <si>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</si>
  <si>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</si>
  <si>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</si>
  <si>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</si>
  <si>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</si>
  <si>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</si>
  <si>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</si>
  <si>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</si>
  <si>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</si>
  <si>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</si>
  <si>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</si>
  <si>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</si>
  <si>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</si>
  <si>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</si>
  <si>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</si>
  <si>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</si>
  <si>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</si>
  <si>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</si>
  <si>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</si>
  <si>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</si>
  <si>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</si>
  <si>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</si>
  <si>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</si>
  <si>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</si>
  <si>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</si>
  <si>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</si>
  <si>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</si>
  <si>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</si>
  <si>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</si>
  <si>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</si>
  <si>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</si>
  <si>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</si>
  <si>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</si>
  <si>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</si>
  <si>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</si>
  <si>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</si>
  <si>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</si>
  <si>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</si>
  <si>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</si>
  <si>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</si>
  <si>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</si>
  <si>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</si>
  <si>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</si>
  <si>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</si>
  <si>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</si>
  <si>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</si>
  <si>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</si>
  <si>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</si>
  <si>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</si>
  <si>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</si>
  <si>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</si>
  <si>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</si>
  <si>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</si>
  <si>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</si>
  <si>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</si>
  <si>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</si>
  <si>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</si>
  <si>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</si>
  <si>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</si>
  <si>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</si>
  <si>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</si>
  <si>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</si>
  <si>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</si>
  <si>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</si>
  <si>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</si>
  <si>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</si>
  <si>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</si>
  <si>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</si>
  <si>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</si>
  <si>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</si>
  <si>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</si>
  <si>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</si>
  <si>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</si>
  <si>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</si>
  <si>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</si>
  <si>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</si>
  <si>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</si>
  <si>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</si>
  <si>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</si>
  <si>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</si>
  <si>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</si>
  <si>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</si>
  <si>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</si>
  <si>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</si>
  <si>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</si>
  <si>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</si>
  <si>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</si>
  <si>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</si>
  <si>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</si>
  <si>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</si>
  <si>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</si>
  <si>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</si>
  <si>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</si>
  <si>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</si>
  <si>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</si>
  <si>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</si>
  <si>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</si>
  <si>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</si>
  <si>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</si>
  <si>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</si>
  <si>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</si>
  <si>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</si>
  <si>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</si>
  <si>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</si>
  <si>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</si>
  <si>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</si>
  <si>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</si>
  <si>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</si>
  <si>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</si>
  <si>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</si>
  <si>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</si>
  <si>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</si>
  <si>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</si>
  <si>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</si>
  <si>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</si>
  <si>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</si>
  <si>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</si>
  <si>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</si>
  <si>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</si>
  <si>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</si>
  <si>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</si>
  <si>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</si>
  <si>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</si>
  <si>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</si>
  <si>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</si>
  <si>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</si>
  <si>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</si>
  <si>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</si>
  <si>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</si>
  <si>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</si>
  <si>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</si>
  <si>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</si>
  <si>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</si>
  <si>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</si>
  <si>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</si>
  <si>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</si>
  <si>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</si>
  <si>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</si>
  <si>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</si>
  <si>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</si>
  <si>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</si>
  <si>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</si>
  <si>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</si>
  <si>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</si>
  <si>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</si>
  <si>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</si>
  <si>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</si>
  <si>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</si>
  <si>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</si>
  <si>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</si>
  <si>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</si>
  <si>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</si>
  <si>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</si>
  <si>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</si>
  <si>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</si>
  <si>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</si>
  <si>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</si>
  <si>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</si>
  <si>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</si>
  <si>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</si>
  <si>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</si>
  <si>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</si>
  <si>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</si>
  <si>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</si>
  <si>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</si>
  <si>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</si>
  <si>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</si>
  <si>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</si>
  <si>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</si>
  <si>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</si>
  <si>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</si>
  <si>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</si>
  <si>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</si>
  <si>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</si>
  <si>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</si>
  <si>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</si>
  <si>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</si>
  <si>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</si>
  <si>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</si>
  <si>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</si>
  <si>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</si>
  <si>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</si>
  <si>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</si>
  <si>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</si>
  <si>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</si>
  <si>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</si>
  <si>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</si>
  <si>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</si>
  <si>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</si>
  <si>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</si>
  <si>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</si>
  <si>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</si>
  <si>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</si>
  <si>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</si>
  <si>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</si>
  <si>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</si>
  <si>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</si>
  <si>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</si>
  <si>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</si>
  <si>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</si>
  <si>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</si>
  <si>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</si>
  <si>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</si>
  <si>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</si>
  <si>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</si>
  <si>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</si>
  <si>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</si>
  <si>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</si>
  <si>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</si>
  <si>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</si>
  <si>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</si>
  <si>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</si>
  <si>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</si>
  <si>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</si>
  <si>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</si>
  <si>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</si>
  <si>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</si>
  <si>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</si>
  <si>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</si>
  <si>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</si>
  <si>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</si>
  <si>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</si>
  <si>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</si>
  <si>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</si>
  <si>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</si>
  <si>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</si>
  <si>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</si>
  <si>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</si>
  <si>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</si>
  <si>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</si>
  <si>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</si>
  <si>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</si>
  <si>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</si>
  <si>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</si>
  <si>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</si>
  <si>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</si>
  <si>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</si>
  <si>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</si>
  <si>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</si>
  <si>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</si>
  <si>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</si>
  <si>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</si>
  <si>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</si>
  <si>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</si>
  <si>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</si>
  <si>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</si>
  <si>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</si>
  <si>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</si>
  <si>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</si>
  <si>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</si>
  <si>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</si>
  <si>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</si>
  <si>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</si>
  <si>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</si>
  <si>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</si>
  <si>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</si>
  <si>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</si>
  <si>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</si>
  <si>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</si>
  <si>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</si>
  <si>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</si>
  <si>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</si>
  <si>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</si>
  <si>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</si>
  <si>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</si>
  <si>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</si>
  <si>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</si>
  <si>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</si>
  <si>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</si>
  <si>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</si>
  <si>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</si>
  <si>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</si>
  <si>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</si>
  <si>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</si>
  <si>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</si>
  <si>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</si>
  <si>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</si>
  <si>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</si>
  <si>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</si>
  <si>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</si>
  <si>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</si>
  <si>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</si>
  <si>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</si>
  <si>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</si>
  <si>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</si>
  <si>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</si>
  <si>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</si>
  <si>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</si>
  <si>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</si>
  <si>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</si>
  <si>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</si>
  <si>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</si>
  <si>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</si>
  <si>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</si>
  <si>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</si>
  <si>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</si>
  <si>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</si>
  <si>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</si>
  <si>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</si>
  <si>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</si>
  <si>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</si>
  <si>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</si>
  <si>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</si>
  <si>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</si>
  <si>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</si>
  <si>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</si>
  <si>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</si>
  <si>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</si>
  <si>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</si>
  <si>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</si>
  <si>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</si>
  <si>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</si>
  <si>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</si>
  <si>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</si>
  <si>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</si>
  <si>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</si>
  <si>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</si>
  <si>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</si>
  <si>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</si>
  <si>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</si>
  <si>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</si>
  <si>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</si>
  <si>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</si>
  <si>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</si>
  <si>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</si>
  <si>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</si>
  <si>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</si>
  <si>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</si>
  <si>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</si>
  <si>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</si>
  <si>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</si>
  <si>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</si>
  <si>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</si>
  <si>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</si>
  <si>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</si>
  <si>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</si>
  <si>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</si>
  <si>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</si>
  <si>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</si>
  <si>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</si>
  <si>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</si>
  <si>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</si>
  <si>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</si>
  <si>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</si>
  <si>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</si>
  <si>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</si>
  <si>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</si>
  <si>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</si>
  <si>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</si>
  <si>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</si>
  <si>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</si>
  <si>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</si>
  <si>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</si>
  <si>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</si>
  <si>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</si>
  <si>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</si>
  <si>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</si>
  <si>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</si>
  <si>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</si>
  <si>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</si>
  <si>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</si>
  <si>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</si>
  <si>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</si>
  <si>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</si>
  <si>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</si>
  <si>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</si>
  <si>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</si>
  <si>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</si>
  <si>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</si>
  <si>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</si>
  <si>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</si>
  <si>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</si>
  <si>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</si>
  <si>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</si>
  <si>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</si>
  <si>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</si>
  <si>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</si>
  <si>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</si>
  <si>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</si>
  <si>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</si>
  <si>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</si>
  <si>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</si>
  <si>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</si>
  <si>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</si>
  <si>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</si>
  <si>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</si>
  <si>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</si>
  <si>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</si>
  <si>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</si>
  <si>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</si>
  <si>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</si>
  <si>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</si>
  <si>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</si>
  <si>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</si>
  <si>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</si>
  <si>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</si>
  <si>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</si>
  <si>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</si>
  <si>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</si>
  <si>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</si>
  <si>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</si>
  <si>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</si>
  <si>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</si>
  <si>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</si>
  <si>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</si>
  <si>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</si>
  <si>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</si>
  <si>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</si>
  <si>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</si>
  <si>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</si>
  <si>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</si>
  <si>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</si>
  <si>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</si>
  <si>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</si>
  <si>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</si>
  <si>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</si>
  <si>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</si>
  <si>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</si>
  <si>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</si>
  <si>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</si>
  <si>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</si>
  <si>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</si>
  <si>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</si>
  <si>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</si>
  <si>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</si>
  <si>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</si>
  <si>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</si>
  <si>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</si>
  <si>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</si>
  <si>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</si>
  <si>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</si>
  <si>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</si>
  <si>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</si>
  <si>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</si>
  <si>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</si>
  <si>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</si>
  <si>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</si>
  <si>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</si>
  <si>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</si>
  <si>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</si>
  <si>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</si>
  <si>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</si>
  <si>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</si>
  <si>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</si>
  <si>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</si>
  <si>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</si>
  <si>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</si>
  <si>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</si>
  <si>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</si>
  <si>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</si>
  <si>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</si>
  <si>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</si>
  <si>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</si>
  <si>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</si>
  <si>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</si>
  <si>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</si>
  <si>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</si>
  <si>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</si>
  <si>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</si>
  <si>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</si>
  <si>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</si>
  <si>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</si>
  <si>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</si>
  <si>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</si>
  <si>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</si>
  <si>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</si>
  <si>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</si>
  <si>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</si>
  <si>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</si>
  <si>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</si>
  <si>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</si>
  <si>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</si>
  <si>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</si>
  <si>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</si>
  <si>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</si>
  <si>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</si>
  <si>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</si>
  <si>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</si>
  <si>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</si>
  <si>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</si>
  <si>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</si>
  <si>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</si>
  <si>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</si>
  <si>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</si>
  <si>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</si>
  <si>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</si>
  <si>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</si>
  <si>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</si>
  <si>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</si>
  <si>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</si>
  <si>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</si>
  <si>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</si>
  <si>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</si>
  <si>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</si>
  <si>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</si>
  <si>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</si>
  <si>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</si>
  <si>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</si>
  <si>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</si>
  <si>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</si>
  <si>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</si>
  <si>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</si>
  <si>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</si>
  <si>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</si>
  <si>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</si>
  <si>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</si>
  <si>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</si>
  <si>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</si>
  <si>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</si>
  <si>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</si>
  <si>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</si>
  <si>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</si>
  <si>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</si>
  <si>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</si>
  <si>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</si>
  <si>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</si>
  <si>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</si>
  <si>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</si>
  <si>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</si>
  <si>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</si>
  <si>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</si>
  <si>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</si>
  <si>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</si>
  <si>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</si>
  <si>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</si>
  <si>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</si>
  <si>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</si>
  <si>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</si>
  <si>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</si>
  <si>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</si>
  <si>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</si>
  <si>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</si>
  <si>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</si>
  <si>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</si>
  <si>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</si>
  <si>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</si>
  <si>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</si>
  <si>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</si>
  <si>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</si>
  <si>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</si>
  <si>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</si>
  <si>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</si>
  <si>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</si>
  <si>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</si>
  <si>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</si>
  <si>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</si>
  <si>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</si>
  <si>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</si>
  <si>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</si>
  <si>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</si>
  <si>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</si>
  <si>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</si>
  <si>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</si>
  <si>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</si>
  <si>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</si>
  <si>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</si>
  <si>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</si>
  <si>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</si>
  <si>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</si>
  <si>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</si>
  <si>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</si>
  <si>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</si>
  <si>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</si>
  <si>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</si>
  <si>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</si>
  <si>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</si>
  <si>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</si>
  <si>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</si>
  <si>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</si>
  <si>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</si>
  <si>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</si>
  <si>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</si>
  <si>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</si>
  <si>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</si>
  <si>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</si>
  <si>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</si>
  <si>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</si>
  <si>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</si>
  <si>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</si>
  <si>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</si>
  <si>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</si>
  <si>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</si>
  <si>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</si>
  <si>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</si>
  <si>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</si>
  <si>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</si>
  <si>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</si>
  <si>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</si>
  <si>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</si>
  <si>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</si>
  <si>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</si>
  <si>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</si>
  <si>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</si>
  <si>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</si>
  <si>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</si>
  <si>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</si>
  <si>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</si>
  <si>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</si>
  <si>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</si>
  <si>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</si>
  <si>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</si>
  <si>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</si>
  <si>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</si>
  <si>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</si>
  <si>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</si>
  <si>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</si>
  <si>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</si>
  <si>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</si>
  <si>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</si>
  <si>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</si>
  <si>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</si>
  <si>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</si>
  <si>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</si>
  <si>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</si>
  <si>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</si>
  <si>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</si>
  <si>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</si>
  <si>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</si>
  <si>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</si>
  <si>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</si>
  <si>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</si>
  <si>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</si>
  <si>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</si>
  <si>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</si>
  <si>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</si>
  <si>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</si>
  <si>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</si>
  <si>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</si>
  <si>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</si>
  <si>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</si>
  <si>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</si>
  <si>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</si>
  <si>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</si>
  <si>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</si>
  <si>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</si>
  <si>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</si>
  <si>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</si>
  <si>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</si>
  <si>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</si>
  <si>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</si>
  <si>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</si>
  <si>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</si>
  <si>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</si>
  <si>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</si>
  <si>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</si>
  <si>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</si>
  <si>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</si>
  <si>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</si>
  <si>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</si>
  <si>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</si>
  <si>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</si>
  <si>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</si>
  <si>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</si>
  <si>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</si>
  <si>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</si>
  <si>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</si>
  <si>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</si>
  <si>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</si>
  <si>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</si>
  <si>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</si>
  <si>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</si>
  <si>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</si>
  <si>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</si>
  <si>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</si>
  <si>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</si>
  <si>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</si>
  <si>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</si>
  <si>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</si>
  <si>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</si>
  <si>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</si>
  <si>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</si>
  <si>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</si>
  <si>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</si>
  <si>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</si>
  <si>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</si>
  <si>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</si>
  <si>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</si>
  <si>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</si>
  <si>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</si>
  <si>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</si>
  <si>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</si>
  <si>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</si>
  <si>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</si>
  <si>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</si>
  <si>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</si>
  <si>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</si>
  <si>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</si>
  <si>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</si>
  <si>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</si>
  <si>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</si>
  <si>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</si>
  <si>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</si>
  <si>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</si>
  <si>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</si>
  <si>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</si>
  <si>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</si>
  <si>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</si>
  <si>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</si>
  <si>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</si>
  <si>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</si>
  <si>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</si>
  <si>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</si>
  <si>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</si>
  <si>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</si>
  <si>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</si>
  <si>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</si>
  <si>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</si>
  <si>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</si>
  <si>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</si>
  <si>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</si>
  <si>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</si>
  <si>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</si>
  <si>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</si>
  <si>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</si>
  <si>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</si>
  <si>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</si>
  <si>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</si>
  <si>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</si>
  <si>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</si>
  <si>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</si>
  <si>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</si>
  <si>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</si>
  <si>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</si>
  <si>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</si>
  <si>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</si>
  <si>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</si>
  <si>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</si>
  <si>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</si>
  <si>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</si>
  <si>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</si>
  <si>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</si>
  <si>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</si>
  <si>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</si>
  <si>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</si>
  <si>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</si>
  <si>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</si>
  <si>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</si>
  <si>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</si>
  <si>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</si>
  <si>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</si>
  <si>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</si>
  <si>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</si>
  <si>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</si>
  <si>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</si>
  <si>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</si>
  <si>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</si>
  <si>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</si>
  <si>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</si>
  <si>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</si>
  <si>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</si>
  <si>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</si>
  <si>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</si>
  <si>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</si>
  <si>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</si>
  <si>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</si>
  <si>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</si>
  <si>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</si>
  <si>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</si>
  <si>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</si>
  <si>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</si>
  <si>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</si>
  <si>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</si>
  <si>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</si>
  <si>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</si>
  <si>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</si>
  <si>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</si>
  <si>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</si>
  <si>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</si>
  <si>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</si>
  <si>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</si>
  <si>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</si>
  <si>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</si>
  <si>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</si>
  <si>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</si>
  <si>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</si>
  <si>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</si>
  <si>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</si>
  <si>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</si>
  <si>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</si>
  <si>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</si>
  <si>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</si>
  <si>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</si>
  <si>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</si>
  <si>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</si>
  <si>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</si>
  <si>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</si>
  <si>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</si>
  <si>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</si>
  <si>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</si>
  <si>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</si>
  <si>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</si>
  <si>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</si>
  <si>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</si>
  <si>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</si>
  <si>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</si>
  <si>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</si>
  <si>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</si>
  <si>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</si>
  <si>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</si>
  <si>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</si>
  <si>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</si>
  <si>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</si>
  <si>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</si>
  <si>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</si>
  <si>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</si>
  <si>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</si>
  <si>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</si>
  <si>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</si>
  <si>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</si>
  <si>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</si>
  <si>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</si>
  <si>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</si>
  <si>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</si>
  <si>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</si>
  <si>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</si>
  <si>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</si>
  <si>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</si>
  <si>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</si>
  <si>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</si>
  <si>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</si>
  <si>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</si>
  <si>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</si>
  <si>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</si>
  <si>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</si>
  <si>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</si>
  <si>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</si>
  <si>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</si>
  <si>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</si>
  <si>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</si>
  <si>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</si>
  <si>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</si>
  <si>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</si>
  <si>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</si>
  <si>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</si>
  <si>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</si>
  <si>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</si>
  <si>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</si>
  <si>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</si>
  <si>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</si>
  <si>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</si>
  <si>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</si>
  <si>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</si>
  <si>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</si>
  <si>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</si>
  <si>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</si>
  <si>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</si>
  <si>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</si>
  <si>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</si>
  <si>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</si>
  <si>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</si>
  <si>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</si>
  <si>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</si>
  <si>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</si>
  <si>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</si>
  <si>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</si>
  <si>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</si>
  <si>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</si>
  <si>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</si>
  <si>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</si>
  <si>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</si>
  <si>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</si>
  <si>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</si>
  <si>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</si>
  <si>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</si>
  <si>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</si>
  <si>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</si>
  <si>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</si>
  <si>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</si>
  <si>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</si>
  <si>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</si>
  <si>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</si>
  <si>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</si>
  <si>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</si>
  <si>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</si>
  <si>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</si>
  <si>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</si>
  <si>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</si>
  <si>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</si>
  <si>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</si>
  <si>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</si>
  <si>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</si>
  <si>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</si>
  <si>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</si>
  <si>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</si>
  <si>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</si>
  <si>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</si>
  <si>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</si>
  <si>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</si>
  <si>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</si>
  <si>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</si>
  <si>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</si>
  <si>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</si>
  <si>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</si>
  <si>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</si>
  <si>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</si>
  <si>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</si>
  <si>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</si>
  <si>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</si>
  <si>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</si>
  <si>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</si>
  <si>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</si>
  <si>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</si>
  <si>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</si>
  <si>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</si>
  <si>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</si>
  <si>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</si>
  <si>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</si>
  <si>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</si>
  <si>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</si>
  <si>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</si>
  <si>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</si>
  <si>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</si>
  <si>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</si>
  <si>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</si>
  <si>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</si>
  <si>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</si>
  <si>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</si>
  <si>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</si>
  <si>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</si>
  <si>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</si>
  <si>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</si>
  <si>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</si>
  <si>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</si>
  <si>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</si>
  <si>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</si>
  <si>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</si>
  <si>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</si>
  <si>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</si>
  <si>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</si>
  <si>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</si>
  <si>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</si>
  <si>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</si>
  <si>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</si>
  <si>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</si>
  <si>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</si>
  <si>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</si>
  <si>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</si>
  <si>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</si>
  <si>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</si>
  <si>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</si>
  <si>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</si>
  <si>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</si>
  <si>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</si>
  <si>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</si>
  <si>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</si>
  <si>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</si>
  <si>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</si>
  <si>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</si>
  <si>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</si>
  <si>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</si>
  <si>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</si>
  <si>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</si>
  <si>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</si>
  <si>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</si>
  <si>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</si>
  <si>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</si>
  <si>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</si>
  <si>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</si>
  <si>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</si>
  <si>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</si>
  <si>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</si>
  <si>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</si>
  <si>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</si>
  <si>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</si>
  <si>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</si>
  <si>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</si>
  <si>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</si>
  <si>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</si>
  <si>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</si>
  <si>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</si>
  <si>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</si>
  <si>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</si>
  <si>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</si>
  <si>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</si>
  <si>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</si>
  <si>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</si>
  <si>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</si>
  <si>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</si>
  <si>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</si>
  <si>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</si>
  <si>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</si>
  <si>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</si>
  <si>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</si>
  <si>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</si>
  <si>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</si>
  <si>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</si>
  <si>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</si>
  <si>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</si>
  <si>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</si>
  <si>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</si>
  <si>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</si>
  <si>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</si>
  <si>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</si>
  <si>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</si>
  <si>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</si>
  <si>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</si>
  <si>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</si>
  <si>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</si>
  <si>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</si>
  <si>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</si>
  <si>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</si>
  <si>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</si>
  <si>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</si>
  <si>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</si>
  <si>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</si>
  <si>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</si>
  <si>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</si>
  <si>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</si>
  <si>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</si>
  <si>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</si>
  <si>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</si>
  <si>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</si>
  <si>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</si>
  <si>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</si>
  <si>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</si>
  <si>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</si>
  <si>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</si>
  <si>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</si>
  <si>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</si>
  <si>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</si>
  <si>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</si>
  <si>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</si>
  <si>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</si>
  <si>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</si>
  <si>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</si>
  <si>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</si>
  <si>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</si>
  <si>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</si>
  <si>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</si>
  <si>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</si>
  <si>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</si>
  <si>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</si>
  <si>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</si>
  <si>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</si>
  <si>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</si>
  <si>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</si>
  <si>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</si>
  <si>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</si>
  <si>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</si>
  <si>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</si>
  <si>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</si>
  <si>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</si>
  <si>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</si>
  <si>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</si>
  <si>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</si>
  <si>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</si>
  <si>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</si>
  <si>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</si>
  <si>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</si>
  <si>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</si>
  <si>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</si>
  <si>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</si>
  <si>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</si>
  <si>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</si>
  <si>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</si>
  <si>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</si>
  <si>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</si>
  <si>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</si>
  <si>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</si>
  <si>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</si>
  <si>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</si>
  <si>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</si>
  <si>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</si>
  <si>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</si>
  <si>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</si>
  <si>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</si>
  <si>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</si>
  <si>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</si>
  <si>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</si>
  <si>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</si>
  <si>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</si>
  <si>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</si>
  <si>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</si>
  <si>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</si>
  <si>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</si>
  <si>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</si>
  <si>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</si>
  <si>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</si>
  <si>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</si>
  <si>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</si>
  <si>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</si>
  <si>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</si>
  <si>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</si>
  <si>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</si>
  <si>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</si>
  <si>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</si>
  <si>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</si>
  <si>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</si>
  <si>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</si>
  <si>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</si>
  <si>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</si>
  <si>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</si>
  <si>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</si>
  <si>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</si>
  <si>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</si>
  <si>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</si>
  <si>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</si>
  <si>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</si>
  <si>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</si>
  <si>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</si>
  <si>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</si>
  <si>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</si>
  <si>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</si>
  <si>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</si>
  <si>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</si>
  <si>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</si>
  <si>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</si>
  <si>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</si>
  <si>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</si>
  <si>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</si>
  <si>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</si>
  <si>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</si>
  <si>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</si>
  <si>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</si>
  <si>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</si>
  <si>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</si>
  <si>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</si>
  <si>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</si>
  <si>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</si>
  <si>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</si>
  <si>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</si>
  <si>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</si>
  <si>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</si>
  <si>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</si>
  <si>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</si>
  <si>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</si>
  <si>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</si>
  <si>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</si>
  <si>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</si>
  <si>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</si>
  <si>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</si>
  <si>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</si>
  <si>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</si>
  <si>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</si>
  <si>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</si>
  <si>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</si>
  <si>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</si>
  <si>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</si>
  <si>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</si>
  <si>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</si>
  <si>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</si>
  <si>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</si>
  <si>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</si>
  <si>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</si>
  <si>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</si>
  <si>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</si>
  <si>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</si>
  <si>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</si>
  <si>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</si>
  <si>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</si>
  <si>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</si>
  <si>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</si>
  <si>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</si>
  <si>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</si>
  <si>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</si>
  <si>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</si>
  <si>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</si>
  <si>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</si>
  <si>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</si>
  <si>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</si>
  <si>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</si>
  <si>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</si>
  <si>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</si>
  <si>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</si>
  <si>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</si>
  <si>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</si>
  <si>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</si>
  <si>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</si>
  <si>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</si>
  <si>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</si>
  <si>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</si>
  <si>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</si>
  <si>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</si>
  <si>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</si>
  <si>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</si>
  <si>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</si>
  <si>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</si>
  <si>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</si>
  <si>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</si>
  <si>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</si>
  <si>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</si>
  <si>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</si>
  <si>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</si>
  <si>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</si>
  <si>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</si>
  <si>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</si>
  <si>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</si>
  <si>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</si>
  <si>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</si>
  <si>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</si>
  <si>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</si>
  <si>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</si>
  <si>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</si>
  <si>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</si>
  <si>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</si>
  <si>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</si>
  <si>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</si>
  <si>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</si>
  <si>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</si>
  <si>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</si>
  <si>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</si>
  <si>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</si>
  <si>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</si>
  <si>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</si>
  <si>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</si>
  <si>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</si>
  <si>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</si>
  <si>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</si>
  <si>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</si>
  <si>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</si>
  <si>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</si>
  <si>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</si>
  <si>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</si>
  <si>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</si>
  <si>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</si>
  <si>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</si>
  <si>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</si>
  <si>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</si>
  <si>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</si>
  <si>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</si>
  <si>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</si>
  <si>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</si>
  <si>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</si>
  <si>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</si>
  <si>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</si>
  <si>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</si>
  <si>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</si>
  <si>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</si>
  <si>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</si>
  <si>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</si>
  <si>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</si>
  <si>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</si>
  <si>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</si>
  <si>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</si>
  <si>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</si>
  <si>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</si>
  <si>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</si>
  <si>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</si>
  <si>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</si>
  <si>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</si>
  <si>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</si>
  <si>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</si>
  <si>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</si>
  <si>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</si>
  <si>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</si>
  <si>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</si>
  <si>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</si>
  <si>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</si>
  <si>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</si>
  <si>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</si>
  <si>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</si>
  <si>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</si>
  <si>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</si>
  <si>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</si>
  <si>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</si>
  <si>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</si>
  <si>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</si>
  <si>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</si>
  <si>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</si>
  <si>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</si>
  <si>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</si>
  <si>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</si>
  <si>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</si>
  <si>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</si>
  <si>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</si>
  <si>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</si>
  <si>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</si>
  <si>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</si>
  <si>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</si>
  <si>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</si>
  <si>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</si>
  <si>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</si>
  <si>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</si>
  <si>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</si>
  <si>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</si>
  <si>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</si>
  <si>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</si>
  <si>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</si>
  <si>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</si>
  <si>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</si>
  <si>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</si>
  <si>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</si>
  <si>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</si>
  <si>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</si>
  <si>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</si>
  <si>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</si>
  <si>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</si>
  <si>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</si>
  <si>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</si>
  <si>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</si>
  <si>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</si>
  <si>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</si>
  <si>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</si>
  <si>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</si>
  <si>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</si>
  <si>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</si>
  <si>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</si>
  <si>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</si>
  <si>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</si>
  <si>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</si>
  <si>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</si>
  <si>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</si>
  <si>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</si>
  <si>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</si>
  <si>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</si>
  <si>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</si>
  <si>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</si>
  <si>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</si>
  <si>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</si>
  <si>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</si>
  <si>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</si>
  <si>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</si>
  <si>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</si>
  <si>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</si>
  <si>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</si>
  <si>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</si>
  <si>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</si>
  <si>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</si>
  <si>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</si>
  <si>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</si>
  <si>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</si>
  <si>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</si>
  <si>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</si>
  <si>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</si>
  <si>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</si>
  <si>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</si>
  <si>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</si>
  <si>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</si>
  <si>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</si>
  <si>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</si>
  <si>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</si>
  <si>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</si>
  <si>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</si>
  <si>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</si>
  <si>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</si>
  <si>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</si>
  <si>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</si>
  <si>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</si>
  <si>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</si>
  <si>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</si>
  <si>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</si>
  <si>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</si>
  <si>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</si>
  <si>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</si>
  <si>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</si>
  <si>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</si>
  <si>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</si>
  <si>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</si>
  <si>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</si>
  <si>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</si>
  <si>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</si>
  <si>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</si>
  <si>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</si>
  <si>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</si>
  <si>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</si>
  <si>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</si>
  <si>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</si>
  <si>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</si>
  <si>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</si>
  <si>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</si>
  <si>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</si>
  <si>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</si>
  <si>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</si>
  <si>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</si>
  <si>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</si>
  <si>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</si>
  <si>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</si>
  <si>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</si>
  <si>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</si>
  <si>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</si>
  <si>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</si>
  <si>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</si>
  <si>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</si>
  <si>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</si>
  <si>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</si>
  <si>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</si>
  <si>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</si>
  <si>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</si>
  <si>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</si>
  <si>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</si>
  <si>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</si>
  <si>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</si>
  <si>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</si>
  <si>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</si>
  <si>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</si>
  <si>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</si>
  <si>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</si>
  <si>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</si>
  <si>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</si>
  <si>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</si>
  <si>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</si>
  <si>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</si>
  <si>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</si>
  <si>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</si>
  <si>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</si>
  <si>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</si>
  <si>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</si>
  <si>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</si>
  <si>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</si>
  <si>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</si>
  <si>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</si>
  <si>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</si>
  <si>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</si>
  <si>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</si>
  <si>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</si>
  <si>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</si>
  <si>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</si>
  <si>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</si>
  <si>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</si>
  <si>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</si>
  <si>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</si>
  <si>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</si>
  <si>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</si>
  <si>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</si>
  <si>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</si>
  <si>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</si>
  <si>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</si>
  <si>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</si>
  <si>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</si>
  <si>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</si>
  <si>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</si>
  <si>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</si>
  <si>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</si>
  <si>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</si>
  <si>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</si>
  <si>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</si>
  <si>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</si>
  <si>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</si>
  <si>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</si>
  <si>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</si>
  <si>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</si>
  <si>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</si>
  <si>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</si>
  <si>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</si>
  <si>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</si>
  <si>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</si>
  <si>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</si>
  <si>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</si>
  <si>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</si>
  <si>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</si>
  <si>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</si>
  <si>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</si>
  <si>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</si>
  <si>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</si>
  <si>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</si>
  <si>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</si>
  <si>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</si>
  <si>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</si>
  <si>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</si>
  <si>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</si>
  <si>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</si>
  <si>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</si>
  <si>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</si>
  <si>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</si>
  <si>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</si>
  <si>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</si>
  <si>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</si>
  <si>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</si>
  <si>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</si>
  <si>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</si>
  <si>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</si>
  <si>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</si>
  <si>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</si>
  <si>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</si>
  <si>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</si>
  <si>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</si>
  <si>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</si>
  <si>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</si>
  <si>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</si>
  <si>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</si>
  <si>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</si>
  <si>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</si>
  <si>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</si>
  <si>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</si>
  <si>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</si>
  <si>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</si>
  <si>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</si>
  <si>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</si>
  <si>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</si>
  <si>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</si>
  <si>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</si>
  <si>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</si>
  <si>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</si>
  <si>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</si>
  <si>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</si>
  <si>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</si>
  <si>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</si>
  <si>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</si>
  <si>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</si>
  <si>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</si>
  <si>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</si>
  <si>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</si>
  <si>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</si>
  <si>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</si>
  <si>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</si>
  <si>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</si>
  <si>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</si>
  <si>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</si>
  <si>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</si>
  <si>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</si>
  <si>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</si>
  <si>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</si>
  <si>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</si>
  <si>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</si>
  <si>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</si>
  <si>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</si>
  <si>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</si>
  <si>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</si>
  <si>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</si>
  <si>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出让</t>
  </si>
  <si>
    <t>是</t>
  </si>
  <si>
    <t>地上</t>
  </si>
  <si>
    <t>底商</t>
  </si>
  <si>
    <t>办公楼</t>
  </si>
  <si>
    <t>地下</t>
  </si>
  <si>
    <t>车库—办公</t>
  </si>
  <si>
    <t>车库</t>
  </si>
  <si>
    <t>仓储</t>
  </si>
  <si>
    <t>戊类库房</t>
  </si>
  <si>
    <t>商业</t>
    <phoneticPr fontId="7" type="noConversion"/>
  </si>
  <si>
    <t>办公</t>
    <phoneticPr fontId="7" type="noConversion"/>
  </si>
  <si>
    <t>车库</t>
    <phoneticPr fontId="7" type="noConversion"/>
  </si>
  <si>
    <t>库房</t>
  </si>
  <si>
    <t>库房</t>
    <phoneticPr fontId="7" type="noConversion"/>
  </si>
  <si>
    <t>商务金融用地（办公类）</t>
  </si>
  <si>
    <t>通路</t>
  </si>
  <si>
    <t>通电</t>
  </si>
  <si>
    <t>通讯</t>
  </si>
  <si>
    <t>通上水</t>
  </si>
  <si>
    <t>通下水</t>
  </si>
  <si>
    <t>平整</t>
  </si>
  <si>
    <t>与级别开发程度不一致</t>
  </si>
  <si>
    <t>按公示增长率计算</t>
  </si>
  <si>
    <t>容积率修正</t>
  </si>
  <si>
    <t>较好</t>
  </si>
  <si>
    <t>好</t>
  </si>
  <si>
    <t>批发零售用地</t>
  </si>
  <si>
    <t>不临58条商业街</t>
  </si>
  <si>
    <t>楼层修正</t>
  </si>
  <si>
    <t>基准地价修正-1</t>
  </si>
  <si>
    <t>基准地价修正-1</t>
    <phoneticPr fontId="16" type="noConversion"/>
  </si>
  <si>
    <t>未包含在土地购买价格中</t>
  </si>
  <si>
    <t>已包含在土地取得成本中</t>
  </si>
  <si>
    <t>成本法</t>
  </si>
  <si>
    <t>假设开发法</t>
  </si>
  <si>
    <t>在建（套用方法）</t>
  </si>
  <si>
    <t>押一</t>
  </si>
  <si>
    <t>按租金收入计税</t>
  </si>
  <si>
    <t>钢混</t>
  </si>
  <si>
    <t>非生产用房</t>
  </si>
  <si>
    <t>收益法</t>
  </si>
  <si>
    <t>收益法-1</t>
  </si>
  <si>
    <t>收益法-1</t>
    <phoneticPr fontId="16" type="noConversion"/>
  </si>
  <si>
    <t>收益法-2</t>
  </si>
  <si>
    <t>收益法-2</t>
    <phoneticPr fontId="16" type="noConversion"/>
  </si>
  <si>
    <t>收益法-3</t>
  </si>
  <si>
    <t>收益法-3</t>
    <phoneticPr fontId="16" type="noConversion"/>
  </si>
  <si>
    <t>自定义</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</si>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</sst>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受贵公司委托，我公司对出让国有建设用地使用权及在建建筑物房地产抵押价值进行了预评估。</v>
      </c>
    </row>
    <row r="7" spans="1:2" s="1589" customFormat="1">
      <c r="A7" s="1587" t="s">
        <v>1260</v>
      </c>
      <c r="B7" s="1588" t="str">
        <f>'预评函-1'!A7</f>
        <v>估价对象为出让国有建设用地使用权及在建建筑物房地产，为所有。根据《国有土地使用证》[]，估价对象（分摊）出让国有建设用地使用权面积为3996.4平方米，建筑面积为27698平方米。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出让国有建设用地使用权及在建建筑物房地产,属开发建设的，该项目尚在开发建设中。根据《国有土地使用证》[]，估价对象（分摊）出让国有建设用地使用权面积为3996.4平方米，规划建筑面积为27698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2019年10月16日</v>
      </c>
    </row>
    <row r="13" spans="1:2" s="1589" customFormat="1">
      <c r="A13" s="1587" t="s">
        <v>1223</v>
      </c>
      <c r="B13" s="1588" t="str">
        <f>'预评函-1'!A18</f>
        <v>本次估价的“房地产价值”是指在正常市场情况下，在价值时点2019年10月16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106238</v>
      </c>
    </row>
    <row r="21" spans="1:2" s="1589" customFormat="1">
      <c r="A21" s="1587" t="s">
        <v>1231</v>
      </c>
      <c r="B21" s="1588">
        <f ca="1">'预评函-2'!D7</f>
        <v>38356</v>
      </c>
    </row>
    <row r="22" spans="1:2" s="1589" customFormat="1">
      <c r="A22" s="1587" t="s">
        <v>1232</v>
      </c>
      <c r="B22" s="1588" t="str">
        <f ca="1">'预评函-2'!D6</f>
        <v>壹拾亿陆仟贰佰叁拾捌万元整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106238</v>
      </c>
    </row>
    <row r="31" spans="1:2" s="1589" customFormat="1">
      <c r="A31" s="1587" t="s">
        <v>1270</v>
      </c>
      <c r="B31" s="1588">
        <f ca="1">'预评函-2'!D15</f>
        <v>38356</v>
      </c>
    </row>
    <row r="32" spans="1:2" s="1589" customFormat="1">
      <c r="A32" s="1587" t="s">
        <v>1237</v>
      </c>
      <c r="B32" s="1588" t="str">
        <f ca="1">'预评函-2'!D14</f>
        <v>壹拾亿陆仟贰佰叁拾捌万元整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出让国有建设用地使用权及在建建筑物房地产</v>
      </c>
    </row>
    <row r="42" spans="1:2" s="1589" customFormat="1">
      <c r="A42" s="1587" t="s">
        <v>1284</v>
      </c>
      <c r="B42" s="1588" t="str">
        <f>'预评函-3'!B2</f>
        <v>建筑面积</v>
      </c>
    </row>
    <row r="43" spans="1:2" s="1589" customFormat="1">
      <c r="A43" s="1587" t="s">
        <v>1285</v>
      </c>
      <c r="B43" s="1588">
        <f>'预评函-3'!B4</f>
        <v>27698</v>
      </c>
    </row>
    <row r="44" spans="1:2" s="1589" customFormat="1">
      <c r="A44" s="1587" t="s">
        <v>1269</v>
      </c>
      <c r="B44" s="1588" t="str">
        <f>'预评函-3'!C2</f>
        <v>(分摊)土地面积</v>
      </c>
    </row>
    <row r="45" spans="1:2" s="1589" customFormat="1">
      <c r="A45" s="1587" t="s">
        <v>1241</v>
      </c>
      <c r="B45" s="1588">
        <f>'预评函-3'!C4</f>
        <v>3996.4</v>
      </c>
    </row>
    <row r="46" spans="1:2" s="1589" customFormat="1">
      <c r="A46" s="1587" t="s">
        <v>1267</v>
      </c>
      <c r="B46" s="1588" t="str">
        <f>'预评函-3'!D2</f>
        <v>出让国有建设用地使用权价值</v>
      </c>
    </row>
    <row r="47" spans="1:2" s="1589" customFormat="1">
      <c r="A47" s="1587" t="s">
        <v>1242</v>
      </c>
      <c r="B47" s="1588">
        <f ca="1">'预评函-3'!D4</f>
        <v>94127</v>
      </c>
    </row>
    <row r="48" spans="1:2" s="1589" customFormat="1">
      <c r="A48" s="1587" t="s">
        <v>1243</v>
      </c>
      <c r="B48" s="1588">
        <f ca="1">'预评函-3'!E4</f>
        <v>33983</v>
      </c>
    </row>
    <row r="49" spans="1:2" s="1589" customFormat="1">
      <c r="A49" s="1587" t="s">
        <v>1244</v>
      </c>
      <c r="B49" s="1588" t="str">
        <f ca="1">'预评函-3'!D5</f>
        <v>玖亿肆仟壹佰贰拾柒万元整</v>
      </c>
    </row>
    <row r="50" spans="1:2" s="1589" customFormat="1">
      <c r="A50" s="1587" t="s">
        <v>1268</v>
      </c>
      <c r="B50" s="1588" t="str">
        <f>'预评函-3'!F2</f>
        <v>在建建筑物价值</v>
      </c>
    </row>
    <row r="51" spans="1:2" s="1589" customFormat="1">
      <c r="A51" s="1587" t="s">
        <v>1245</v>
      </c>
      <c r="B51" s="1588">
        <f ca="1">'预评函-3'!F4</f>
        <v>12111</v>
      </c>
    </row>
    <row r="52" spans="1:2" s="1589" customFormat="1">
      <c r="A52" s="1587" t="s">
        <v>1246</v>
      </c>
      <c r="B52" s="1588">
        <f ca="1">'预评函-3'!G4</f>
        <v>4373</v>
      </c>
    </row>
    <row r="53" spans="1:2" s="1589" customFormat="1">
      <c r="A53" s="1587" t="s">
        <v>1274</v>
      </c>
      <c r="B53" s="1588" t="str">
        <f ca="1">'预评函-3'!F5</f>
        <v>壹亿贰仟壹佰壹拾壹万元整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3087</v>
      </c>
      <c r="C17" s="2010"/>
    </row>
    <row r="18" spans="1:3">
      <c r="A18" s="2009" t="s">
        <v>1762</v>
      </c>
      <c r="B18" s="2012" t="s">
        <v>3099</v>
      </c>
      <c r="C18" s="2010"/>
    </row>
    <row r="19" spans="1:3">
      <c r="A19" s="2009" t="s">
        <v>1763</v>
      </c>
      <c r="B19" s="2012" t="s">
        <v>3101</v>
      </c>
      <c r="C19" s="2010"/>
    </row>
    <row r="20" spans="1:3">
      <c r="A20" s="2009" t="s">
        <v>1764</v>
      </c>
      <c r="B20" s="2012" t="s">
        <v>3103</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4"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7" t="s">
        <v>861</v>
      </c>
      <c r="C54" s="2014" t="s">
        <v>1277</v>
      </c>
    </row>
    <row r="55" spans="1:4">
      <c r="A55" s="3014"/>
      <c r="B55" s="2017" t="s">
        <v>862</v>
      </c>
      <c r="C55" s="2014" t="s">
        <v>1278</v>
      </c>
    </row>
    <row r="56" spans="1:4">
      <c r="A56" s="3014"/>
      <c r="B56" s="2017" t="s">
        <v>863</v>
      </c>
      <c r="C56" s="2014" t="s">
        <v>1282</v>
      </c>
    </row>
    <row r="57" spans="1:4">
      <c r="A57" s="3014"/>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I36" sqref="I36"/>
    </sheetView>
  </sheetViews>
  <sheetFormatPr defaultColWidth="10" defaultRowHeight="18" customHeight="1"/>
  <cols>
    <col min="1" max="1" width="14.875" style="2027" customWidth="1"/>
    <col min="2" max="2" width="10" style="2027" customWidth="1"/>
    <col min="3" max="3" width="11.5" style="2027" customWidth="1"/>
    <col min="4" max="4" width="12.8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15" t="str">
        <f>IF(B10="北京市","北京市",C10)&amp;F10&amp;IF(结果表!G1="在建","出让国有建设用地使用权及在建建筑物",IF(结果表!G1="土地","出让国有建设用地使用权",))&amp;B9&amp;"预评估"</f>
        <v>出让国有建设用地使用权及在建建筑物预评估</v>
      </c>
      <c r="C1" s="3016"/>
      <c r="D1" s="3016"/>
      <c r="E1" s="3016"/>
      <c r="F1" s="3016"/>
      <c r="G1" s="3016"/>
      <c r="H1" s="3016"/>
      <c r="I1" s="301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1" t="s">
        <v>1772</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0" t="s">
        <v>1773</v>
      </c>
      <c r="B3" s="2031"/>
      <c r="C3" s="2032" t="s">
        <v>1774</v>
      </c>
      <c r="D3" s="2031">
        <v>43754</v>
      </c>
      <c r="E3" s="2021"/>
      <c r="F3" s="2021"/>
      <c r="G3" s="2021"/>
      <c r="H3" s="2021"/>
      <c r="I3" s="2021"/>
      <c r="J3" s="2021"/>
      <c r="K3" s="2022"/>
      <c r="L3" s="2023"/>
      <c r="M3" s="2023"/>
      <c r="N3" s="2024"/>
      <c r="O3" s="2025"/>
      <c r="P3" s="2024"/>
      <c r="Q3" s="2024"/>
      <c r="R3" s="2024"/>
      <c r="S3" s="2026"/>
    </row>
    <row r="4" spans="1:19" ht="18" customHeight="1" thickBot="1">
      <c r="A4" s="2033" t="s">
        <v>1775</v>
      </c>
      <c r="B4" s="2034"/>
      <c r="C4" s="1033">
        <f>SUMIF(注册房地产估价师,B4,估价师及机构信息!B3:B24)</f>
        <v>0</v>
      </c>
      <c r="D4" s="2034"/>
      <c r="E4" s="1034">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c r="C8" s="2051"/>
      <c r="D8" s="3018" t="s">
        <v>1780</v>
      </c>
      <c r="E8" s="2052"/>
      <c r="F8" s="2053"/>
      <c r="G8" s="2021"/>
      <c r="H8" s="2021"/>
      <c r="I8" s="2021"/>
      <c r="J8" s="2037"/>
      <c r="K8" s="2038"/>
      <c r="L8" s="2023"/>
      <c r="M8" s="2023"/>
      <c r="N8" s="2024"/>
      <c r="O8" s="2025"/>
      <c r="P8" s="2024"/>
      <c r="Q8" s="2024"/>
      <c r="R8" s="2024"/>
    </row>
    <row r="9" spans="1:19" ht="18" customHeight="1" thickBot="1">
      <c r="A9" s="2035" t="s">
        <v>1781</v>
      </c>
      <c r="B9" s="2054"/>
      <c r="C9" s="2055"/>
      <c r="D9" s="3019"/>
      <c r="E9" s="2054"/>
      <c r="F9" s="2056"/>
      <c r="G9" s="2057"/>
      <c r="H9" s="2057"/>
      <c r="I9" s="2057"/>
      <c r="J9" s="2037"/>
      <c r="K9" s="2049"/>
      <c r="L9" s="2023"/>
      <c r="M9" s="2023"/>
      <c r="N9" s="2024"/>
      <c r="O9" s="2025"/>
      <c r="P9" s="2024"/>
      <c r="Q9" s="2024"/>
      <c r="R9" s="2024"/>
    </row>
    <row r="10" spans="1:19" ht="18" customHeight="1" thickTop="1">
      <c r="A10" s="2058" t="s">
        <v>1782</v>
      </c>
      <c r="B10" s="2059"/>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3056</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v>53350</v>
      </c>
      <c r="F13" s="2075">
        <v>57002</v>
      </c>
      <c r="G13" s="2075">
        <f>F13</f>
        <v>57002</v>
      </c>
      <c r="H13" s="2075">
        <f>G13</f>
        <v>57002</v>
      </c>
      <c r="I13" s="1043"/>
      <c r="J13" s="2037"/>
      <c r="K13" s="2049"/>
      <c r="L13" s="2023"/>
      <c r="M13" s="2023"/>
      <c r="N13" s="2024"/>
      <c r="O13" s="2025"/>
      <c r="P13" s="2024"/>
      <c r="Q13" s="2024"/>
      <c r="R13" s="2024"/>
    </row>
    <row r="14" spans="1:19" ht="18" customHeight="1">
      <c r="A14" s="2072"/>
      <c r="B14" s="2073"/>
      <c r="C14" s="2074" t="s">
        <v>1794</v>
      </c>
      <c r="D14" s="1046"/>
      <c r="E14" s="1046">
        <v>40</v>
      </c>
      <c r="F14" s="1046">
        <v>50</v>
      </c>
      <c r="G14" s="1046">
        <v>50</v>
      </c>
      <c r="H14" s="1046">
        <v>50</v>
      </c>
      <c r="I14" s="1046"/>
      <c r="J14" s="2037"/>
      <c r="K14" s="2076"/>
      <c r="L14" s="2023"/>
      <c r="M14" s="2023"/>
      <c r="N14" s="2024"/>
      <c r="O14" s="2025"/>
      <c r="P14" s="2024"/>
      <c r="Q14" s="2024"/>
      <c r="R14" s="2024"/>
    </row>
    <row r="15" spans="1:19" ht="18" customHeight="1">
      <c r="A15" s="2058"/>
      <c r="B15" s="2077"/>
      <c r="C15" s="2074" t="s">
        <v>1795</v>
      </c>
      <c r="D15" s="1045" t="str">
        <f>IF(B12="出让",IF(D13="","",ROUNDDOWN(MIN((D13-$D$3)/365,D14),2)),D14)</f>
        <v/>
      </c>
      <c r="E15" s="1045">
        <f>IF(B12="出让",IF(E13="","",ROUNDDOWN(MIN((E13-$D$3)/365,E14),2)),E14)</f>
        <v>26.29</v>
      </c>
      <c r="F15" s="1045">
        <f>IF(B12="出让",IF(F13="","",ROUNDDOWN(MIN((F13-$D$3)/365,F14),2)),F14)</f>
        <v>36.29</v>
      </c>
      <c r="G15" s="1045">
        <f>IF(B12="出让",IF(G13="","",ROUNDDOWN(MIN((G13-$D$3)/365,G14),2)),G14)</f>
        <v>36.29</v>
      </c>
      <c r="H15" s="1045">
        <f>IF(B12="出让",IF(H13="","",ROUNDDOWN(MIN((H13-$D$3)/365,H14),2)),H14)</f>
        <v>36.29</v>
      </c>
      <c r="I15" s="1045" t="str">
        <f>IF(B12="出让",IF(I13="","",ROUNDDOWN(MIN((I13-$D$3)/365,I14),2)),I14)</f>
        <v/>
      </c>
      <c r="J15" s="2037"/>
      <c r="K15" s="2078"/>
      <c r="L15" s="2079"/>
      <c r="M15" s="2079"/>
      <c r="N15" s="2080"/>
      <c r="O15" s="2079"/>
      <c r="P15" s="2080"/>
      <c r="Q15" s="2024"/>
      <c r="R15" s="2024"/>
    </row>
    <row r="16" spans="1:19" ht="30.75" customHeight="1">
      <c r="A16" s="2061" t="s">
        <v>1796</v>
      </c>
      <c r="B16" s="3025"/>
      <c r="C16" s="3026"/>
      <c r="D16" s="3027"/>
      <c r="E16" s="2081" t="s">
        <v>1797</v>
      </c>
      <c r="F16" s="3028"/>
      <c r="G16" s="3029"/>
      <c r="H16" s="3029"/>
      <c r="I16" s="3030"/>
      <c r="J16" s="2024"/>
      <c r="K16" s="2078"/>
      <c r="L16" s="2079"/>
      <c r="M16" s="2079"/>
      <c r="N16" s="2080"/>
      <c r="O16" s="2079"/>
      <c r="P16" s="2080"/>
      <c r="Q16" s="2024"/>
      <c r="R16" s="2024"/>
    </row>
    <row r="17" spans="1:22" ht="18" customHeight="1">
      <c r="A17" s="2082" t="s">
        <v>1798</v>
      </c>
      <c r="B17" s="2030" t="s">
        <v>1799</v>
      </c>
      <c r="C17" s="1050">
        <f>'数据-汇总表'!E3</f>
        <v>27698</v>
      </c>
      <c r="D17" s="2083" t="s">
        <v>1800</v>
      </c>
      <c r="E17" s="3031" t="s">
        <v>1801</v>
      </c>
      <c r="F17" s="3032"/>
      <c r="G17" s="3032"/>
      <c r="H17" s="3032"/>
      <c r="I17" s="3033"/>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40">
        <f>'数据-汇总表'!D3</f>
        <v>3996.4</v>
      </c>
      <c r="D18" s="2086" t="s">
        <v>1800</v>
      </c>
      <c r="E18" s="3034" t="s">
        <v>1804</v>
      </c>
      <c r="F18" s="3035"/>
      <c r="G18" s="3035"/>
      <c r="H18" s="3035"/>
      <c r="I18" s="3036"/>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21" t="s">
        <v>1809</v>
      </c>
      <c r="C20" s="3022"/>
      <c r="D20" s="3023" t="s">
        <v>1810</v>
      </c>
      <c r="E20" s="3024"/>
      <c r="F20" s="2093" t="s">
        <v>1811</v>
      </c>
      <c r="G20" s="2037"/>
      <c r="H20" s="2037"/>
      <c r="I20" s="2037"/>
      <c r="J20" s="2037"/>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8"/>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8"/>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38" t="s">
        <v>1824</v>
      </c>
      <c r="B27" s="2058" t="s">
        <v>1825</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38"/>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38"/>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39"/>
      <c r="B30" s="2030" t="s">
        <v>1828</v>
      </c>
      <c r="C30" s="3040"/>
      <c r="D30" s="3041"/>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42" t="s">
        <v>1829</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43"/>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43"/>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c r="C34" s="2129"/>
      <c r="D34" s="2129"/>
      <c r="E34" s="2129"/>
      <c r="F34" s="2129"/>
      <c r="G34" s="2129"/>
      <c r="H34" s="2129"/>
      <c r="I34" s="2037"/>
      <c r="J34" s="2037"/>
      <c r="K34" s="1791">
        <f>COUNTIF(B34:H34,"——")</f>
        <v>0</v>
      </c>
      <c r="L34" s="2070" t="s">
        <v>1831</v>
      </c>
      <c r="M34" s="2070" t="s">
        <v>1832</v>
      </c>
      <c r="N34" s="2070" t="s">
        <v>1833</v>
      </c>
      <c r="O34" s="2070" t="s">
        <v>1834</v>
      </c>
      <c r="P34" s="2070" t="s">
        <v>1835</v>
      </c>
      <c r="Q34" s="2070" t="s">
        <v>1836</v>
      </c>
      <c r="R34" s="2070" t="s">
        <v>1837</v>
      </c>
      <c r="S34" s="3037" t="s">
        <v>1838</v>
      </c>
      <c r="T34" s="2130" t="str">
        <f>NUMBERSTRING(7-K34,1)&amp;"通"</f>
        <v>七通</v>
      </c>
      <c r="U34" s="2024"/>
      <c r="V34" s="2024"/>
    </row>
    <row r="35" spans="1:22" ht="18" customHeight="1">
      <c r="A35" s="2131"/>
      <c r="B35" s="3044" t="s">
        <v>1839</v>
      </c>
      <c r="C35" s="3044"/>
      <c r="D35" s="3044"/>
      <c r="E35" s="3044"/>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t="s">
        <v>212</v>
      </c>
      <c r="C37" s="2136" t="s">
        <v>212</v>
      </c>
      <c r="D37" s="2136" t="s">
        <v>212</v>
      </c>
      <c r="E37" s="2136" t="s">
        <v>212</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t="s">
        <v>213</v>
      </c>
      <c r="C38" s="2138" t="s">
        <v>213</v>
      </c>
      <c r="D38" s="2138" t="s">
        <v>213</v>
      </c>
      <c r="E38" s="2138" t="s">
        <v>213</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1" t="s">
        <v>1849</v>
      </c>
      <c r="C42" s="1791" t="s">
        <v>1850</v>
      </c>
      <c r="D42" s="1791" t="s">
        <v>1851</v>
      </c>
      <c r="E42" s="1791" t="s">
        <v>1852</v>
      </c>
      <c r="F42" s="1791" t="s">
        <v>1853</v>
      </c>
      <c r="G42" s="1791" t="s">
        <v>1854</v>
      </c>
      <c r="H42" s="1791" t="s">
        <v>1855</v>
      </c>
      <c r="I42" s="1791" t="s">
        <v>1856</v>
      </c>
      <c r="J42" s="2148" t="s">
        <v>1857</v>
      </c>
      <c r="K42" s="2071" t="s">
        <v>1858</v>
      </c>
      <c r="L42" s="2071" t="s">
        <v>1859</v>
      </c>
      <c r="M42" s="2071" t="s">
        <v>1860</v>
      </c>
      <c r="N42" s="1791" t="s">
        <v>1861</v>
      </c>
      <c r="O42" s="1791" t="s">
        <v>1862</v>
      </c>
      <c r="P42" s="1791" t="s">
        <v>1863</v>
      </c>
      <c r="Q42" s="2070" t="s">
        <v>1864</v>
      </c>
      <c r="R42" s="2070" t="s">
        <v>1865</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1871</v>
      </c>
      <c r="AZ2" s="1266"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3996.4</v>
      </c>
      <c r="B3" s="14">
        <f>IF(C3="否",G5-AT5,G5)</f>
        <v>27698</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9"/>
      <c r="C5" s="1799"/>
      <c r="D5" s="1802"/>
      <c r="E5" s="16" t="s">
        <v>1</v>
      </c>
      <c r="F5" s="16">
        <f>SUM(F13:F587)</f>
        <v>0</v>
      </c>
      <c r="G5" s="16">
        <f>SUM(G13:G587)</f>
        <v>27698</v>
      </c>
      <c r="H5" s="16">
        <f t="shared" ref="H5:AT5" si="0">SUM(H13:H656)</f>
        <v>26002.7</v>
      </c>
      <c r="I5" s="16">
        <f t="shared" si="0"/>
        <v>355.78</v>
      </c>
      <c r="J5" s="16">
        <f t="shared" si="0"/>
        <v>0</v>
      </c>
      <c r="K5" s="16">
        <f t="shared" si="0"/>
        <v>19486.22</v>
      </c>
      <c r="L5" s="16">
        <f t="shared" si="0"/>
        <v>0</v>
      </c>
      <c r="M5" s="16">
        <f t="shared" si="0"/>
        <v>3919.01</v>
      </c>
      <c r="N5" s="16">
        <f t="shared" si="0"/>
        <v>0</v>
      </c>
      <c r="O5" s="16">
        <f t="shared" si="0"/>
        <v>2241.69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1695.3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1695.3</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27698</v>
      </c>
      <c r="BA5" s="18">
        <f t="shared" si="1"/>
        <v>26002.7</v>
      </c>
      <c r="BB5" s="18">
        <f t="shared" si="1"/>
        <v>355.78</v>
      </c>
      <c r="BC5" s="18">
        <f t="shared" si="1"/>
        <v>19486.22</v>
      </c>
      <c r="BD5" s="18">
        <f t="shared" si="1"/>
        <v>3919.01</v>
      </c>
      <c r="BE5" s="18">
        <f t="shared" si="1"/>
        <v>2241.69</v>
      </c>
      <c r="BF5" s="18">
        <f t="shared" si="1"/>
        <v>0</v>
      </c>
      <c r="BG5" s="18">
        <f t="shared" si="1"/>
        <v>0</v>
      </c>
      <c r="BH5" s="18">
        <f t="shared" si="1"/>
        <v>0</v>
      </c>
      <c r="BI5" s="18">
        <f t="shared" si="1"/>
        <v>0</v>
      </c>
      <c r="BJ5" s="18">
        <f t="shared" si="1"/>
        <v>0</v>
      </c>
      <c r="BK5" s="18">
        <f t="shared" si="1"/>
        <v>0</v>
      </c>
      <c r="BL5" s="18">
        <f t="shared" si="1"/>
        <v>1695.3</v>
      </c>
      <c r="BM5" s="18">
        <f t="shared" si="1"/>
        <v>0</v>
      </c>
      <c r="BN5" s="18">
        <f t="shared" si="1"/>
        <v>0</v>
      </c>
      <c r="BO5" s="18">
        <f t="shared" si="1"/>
        <v>0</v>
      </c>
      <c r="BP5" s="18">
        <f t="shared" si="1"/>
        <v>0</v>
      </c>
      <c r="BQ5" s="18">
        <f t="shared" si="1"/>
        <v>0</v>
      </c>
      <c r="BR5" s="18">
        <f t="shared" si="1"/>
        <v>1695.3</v>
      </c>
      <c r="BS5" s="18">
        <f t="shared" si="1"/>
        <v>0</v>
      </c>
      <c r="BT5" s="19">
        <f t="shared" si="1"/>
        <v>0</v>
      </c>
    </row>
    <row r="6" spans="1:72" s="2173" customFormat="1" ht="12.75">
      <c r="A6" s="15" t="s">
        <v>1876</v>
      </c>
      <c r="B6" s="2170"/>
      <c r="C6" s="2170"/>
      <c r="D6" s="2171"/>
      <c r="E6" s="16">
        <f>H6+AC6+AT6</f>
        <v>3996.4000000000005</v>
      </c>
      <c r="F6" s="16" t="s">
        <v>1</v>
      </c>
      <c r="G6" s="16" t="s">
        <v>2</v>
      </c>
      <c r="H6" s="20">
        <f>SUMIF(I$12:AB$12,"总值",I6:AB6)</f>
        <v>3751.7900000000004</v>
      </c>
      <c r="I6" s="16">
        <f t="shared" ref="I6:AB6" si="2">ROUND($A$3*I5/$B$3,2)</f>
        <v>51.33</v>
      </c>
      <c r="J6" s="16">
        <f t="shared" si="2"/>
        <v>0</v>
      </c>
      <c r="K6" s="16">
        <f t="shared" si="2"/>
        <v>2811.57</v>
      </c>
      <c r="L6" s="16">
        <f t="shared" si="2"/>
        <v>0</v>
      </c>
      <c r="M6" s="16">
        <f t="shared" si="2"/>
        <v>565.45000000000005</v>
      </c>
      <c r="N6" s="16">
        <f t="shared" si="2"/>
        <v>0</v>
      </c>
      <c r="O6" s="16">
        <f t="shared" si="2"/>
        <v>323.44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244.61</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3996.4</v>
      </c>
      <c r="AZ6" s="16" t="s">
        <v>3</v>
      </c>
      <c r="BA6" s="16">
        <f>ROUND($AY$6*BA5/$AZ$5,2)</f>
        <v>3751.79</v>
      </c>
      <c r="BB6" s="16">
        <f>ROUND($AY$6*BB5/$AZ$5,2)</f>
        <v>51.33</v>
      </c>
      <c r="BC6" s="16">
        <f t="shared" ref="BC6:BH6" si="4">ROUND($AY$6*BC5/$AZ$5,2)</f>
        <v>2811.57</v>
      </c>
      <c r="BD6" s="16">
        <f t="shared" si="4"/>
        <v>565.45000000000005</v>
      </c>
      <c r="BE6" s="16">
        <f t="shared" si="4"/>
        <v>323.44</v>
      </c>
      <c r="BF6" s="16">
        <f t="shared" si="4"/>
        <v>0</v>
      </c>
      <c r="BG6" s="16">
        <f t="shared" si="4"/>
        <v>0</v>
      </c>
      <c r="BH6" s="16">
        <f t="shared" si="4"/>
        <v>0</v>
      </c>
      <c r="BI6" s="16">
        <f t="shared" ref="BI6:BT6" si="5">ROUND($AY$6*BI5/$AZ$5,2)</f>
        <v>0</v>
      </c>
      <c r="BJ6" s="16">
        <f t="shared" si="5"/>
        <v>0</v>
      </c>
      <c r="BK6" s="16">
        <f t="shared" si="5"/>
        <v>0</v>
      </c>
      <c r="BL6" s="16">
        <f t="shared" si="5"/>
        <v>244.61</v>
      </c>
      <c r="BM6" s="16">
        <f t="shared" si="5"/>
        <v>0</v>
      </c>
      <c r="BN6" s="16">
        <f t="shared" si="5"/>
        <v>0</v>
      </c>
      <c r="BO6" s="16">
        <f t="shared" si="5"/>
        <v>0</v>
      </c>
      <c r="BP6" s="16">
        <f t="shared" si="5"/>
        <v>0</v>
      </c>
      <c r="BQ6" s="16">
        <f t="shared" si="5"/>
        <v>0</v>
      </c>
      <c r="BR6" s="16">
        <f t="shared" si="5"/>
        <v>244.61</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1884</v>
      </c>
      <c r="AV7" s="23" t="s">
        <v>1885</v>
      </c>
      <c r="AW7" s="2162" t="s">
        <v>1886</v>
      </c>
      <c r="AX7" s="23" t="s">
        <v>1879</v>
      </c>
      <c r="AY7" s="1799"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4"/>
      <c r="K8" s="1814"/>
      <c r="L8" s="1814"/>
      <c r="M8" s="1814"/>
      <c r="N8" s="1814"/>
      <c r="O8" s="1814"/>
      <c r="P8" s="1814"/>
      <c r="Q8" s="1814"/>
      <c r="R8" s="1814"/>
      <c r="S8" s="1814"/>
      <c r="T8" s="1814"/>
      <c r="U8" s="1814"/>
      <c r="V8" s="2182"/>
      <c r="W8" s="1814"/>
      <c r="X8" s="1814"/>
      <c r="Y8" s="1814"/>
      <c r="Z8" s="1814"/>
      <c r="AA8" s="2182"/>
      <c r="AB8" s="2183"/>
      <c r="AC8" s="977" t="s">
        <v>1890</v>
      </c>
      <c r="AD8" s="2184"/>
      <c r="AE8" s="2176"/>
      <c r="AF8" s="1814"/>
      <c r="AG8" s="1814"/>
      <c r="AH8" s="1814"/>
      <c r="AI8" s="1814"/>
      <c r="AJ8" s="1814"/>
      <c r="AK8" s="1814"/>
      <c r="AL8" s="1814"/>
      <c r="AM8" s="1814"/>
      <c r="AN8" s="1814"/>
      <c r="AO8" s="1814"/>
      <c r="AP8" s="1814"/>
      <c r="AQ8" s="1814"/>
      <c r="AR8" s="1814"/>
      <c r="AS8" s="1814"/>
      <c r="AT8" s="1288" t="s">
        <v>1891</v>
      </c>
      <c r="AU8" s="2178" t="s">
        <v>1892</v>
      </c>
      <c r="AV8" s="1288"/>
      <c r="AW8" s="2161"/>
      <c r="AX8" s="1288"/>
      <c r="AY8" s="2162"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1895</v>
      </c>
      <c r="I9" s="2187" t="s">
        <v>3058</v>
      </c>
      <c r="J9" s="977"/>
      <c r="K9" s="2187" t="s">
        <v>3058</v>
      </c>
      <c r="L9" s="977"/>
      <c r="M9" s="2187" t="s">
        <v>3061</v>
      </c>
      <c r="N9" s="977"/>
      <c r="O9" s="2187" t="s">
        <v>3061</v>
      </c>
      <c r="P9" s="977"/>
      <c r="Q9" s="2187"/>
      <c r="R9" s="977"/>
      <c r="S9" s="2187"/>
      <c r="T9" s="977"/>
      <c r="U9" s="2187"/>
      <c r="V9" s="977"/>
      <c r="W9" s="2187"/>
      <c r="X9" s="2188"/>
      <c r="Y9" s="2187"/>
      <c r="Z9" s="977"/>
      <c r="AA9" s="2187"/>
      <c r="AB9" s="977"/>
      <c r="AC9" s="2179"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9"/>
      <c r="AT9" s="2178"/>
      <c r="AU9" s="2178" t="s">
        <v>1898</v>
      </c>
      <c r="AV9" s="1288"/>
      <c r="AW9" s="2161"/>
      <c r="AX9" s="1288"/>
      <c r="AY9" s="28"/>
      <c r="AZ9" s="28" t="s">
        <v>1888</v>
      </c>
      <c r="BA9" s="2190" t="s">
        <v>1899</v>
      </c>
      <c r="BB9" s="2191"/>
      <c r="BC9" s="1334"/>
      <c r="BD9" s="1334"/>
      <c r="BE9" s="1334"/>
      <c r="BF9" s="1334"/>
      <c r="BG9" s="1334"/>
      <c r="BH9" s="1334"/>
      <c r="BI9" s="1334"/>
      <c r="BJ9" s="1334"/>
      <c r="BK9" s="2192"/>
      <c r="BL9" s="15" t="s">
        <v>1900</v>
      </c>
      <c r="BM9" s="1814"/>
      <c r="BN9" s="2181"/>
      <c r="BO9" s="1814"/>
      <c r="BP9" s="1814"/>
      <c r="BQ9" s="1814"/>
      <c r="BR9" s="1814"/>
      <c r="BS9" s="1814"/>
      <c r="BT9" s="26"/>
    </row>
    <row r="10" spans="1:72" s="2185" customFormat="1" ht="12.75">
      <c r="A10" s="2178"/>
      <c r="B10" s="2178"/>
      <c r="C10" s="2178"/>
      <c r="D10" s="2178"/>
      <c r="E10" s="2178"/>
      <c r="F10" s="2178"/>
      <c r="G10" s="1288"/>
      <c r="H10" s="28"/>
      <c r="I10" s="2187" t="s">
        <v>1373</v>
      </c>
      <c r="J10" s="977"/>
      <c r="K10" s="2193" t="s">
        <v>27</v>
      </c>
      <c r="L10" s="977"/>
      <c r="M10" s="2193" t="s">
        <v>3062</v>
      </c>
      <c r="N10" s="977"/>
      <c r="O10" s="2193" t="s">
        <v>3064</v>
      </c>
      <c r="P10" s="977"/>
      <c r="Q10" s="2193"/>
      <c r="R10" s="977"/>
      <c r="S10" s="2193"/>
      <c r="T10" s="977"/>
      <c r="U10" s="2193"/>
      <c r="V10" s="977"/>
      <c r="W10" s="2193"/>
      <c r="X10" s="977"/>
      <c r="Y10" s="2193"/>
      <c r="Z10" s="977"/>
      <c r="AA10" s="2193"/>
      <c r="AB10" s="977"/>
      <c r="AC10" s="1288"/>
      <c r="AD10" s="15" t="s">
        <v>1901</v>
      </c>
      <c r="AE10" s="2194"/>
      <c r="AF10" s="15" t="s">
        <v>1901</v>
      </c>
      <c r="AG10" s="2194"/>
      <c r="AH10" s="15" t="s">
        <v>1902</v>
      </c>
      <c r="AI10" s="2194"/>
      <c r="AJ10" s="15" t="s">
        <v>1902</v>
      </c>
      <c r="AK10" s="2194"/>
      <c r="AL10" s="15" t="s">
        <v>1903</v>
      </c>
      <c r="AM10" s="1294"/>
      <c r="AN10" s="15" t="s">
        <v>1903</v>
      </c>
      <c r="AO10" s="1294"/>
      <c r="AP10" s="15" t="s">
        <v>1904</v>
      </c>
      <c r="AQ10" s="1294"/>
      <c r="AR10" s="15" t="s">
        <v>1904</v>
      </c>
      <c r="AS10" s="1294"/>
      <c r="AT10" s="2178"/>
      <c r="AU10" s="2178"/>
      <c r="AV10" s="1288"/>
      <c r="AW10" s="2161"/>
      <c r="AX10" s="1288"/>
      <c r="AY10" s="28"/>
      <c r="AZ10" s="28"/>
      <c r="BA10" s="2195" t="s">
        <v>1895</v>
      </c>
      <c r="BB10" s="219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3059</v>
      </c>
      <c r="J11" s="2199"/>
      <c r="K11" s="2198" t="s">
        <v>3060</v>
      </c>
      <c r="L11" s="2199"/>
      <c r="M11" s="2198" t="s">
        <v>3063</v>
      </c>
      <c r="N11" s="2199"/>
      <c r="O11" s="2198" t="s">
        <v>3065</v>
      </c>
      <c r="P11" s="2199"/>
      <c r="Q11" s="2198"/>
      <c r="R11" s="2199"/>
      <c r="S11" s="2198"/>
      <c r="T11" s="2199"/>
      <c r="U11" s="2198"/>
      <c r="V11" s="2199"/>
      <c r="W11" s="2198"/>
      <c r="X11" s="2199"/>
      <c r="Y11" s="2198"/>
      <c r="Z11" s="2199"/>
      <c r="AA11" s="2198"/>
      <c r="AB11" s="2199"/>
      <c r="AC11" s="1288"/>
      <c r="AD11" s="2200" t="s">
        <v>1905</v>
      </c>
      <c r="AE11" s="1815"/>
      <c r="AF11" s="2200" t="s">
        <v>1905</v>
      </c>
      <c r="AG11" s="1815"/>
      <c r="AH11" s="2200" t="s">
        <v>1906</v>
      </c>
      <c r="AI11" s="2201"/>
      <c r="AJ11" s="2200" t="s">
        <v>1906</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办公</v>
      </c>
      <c r="BD11" s="2183" t="str">
        <f>M10</f>
        <v>车库—办公</v>
      </c>
      <c r="BE11" s="2183" t="str">
        <f>O10</f>
        <v>仓储</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5"/>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底商</v>
      </c>
      <c r="BC12" s="2208" t="str">
        <f>K11</f>
        <v>办公楼</v>
      </c>
      <c r="BD12" s="2208" t="str">
        <f>M11</f>
        <v>车库</v>
      </c>
      <c r="BE12" s="2183" t="str">
        <f>O11</f>
        <v>戊类库房</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c r="D13" s="2209" t="s">
        <v>3057</v>
      </c>
      <c r="E13" s="16">
        <f>IF($C$3="是",ROUND($A$3*G13/$B$3,2),ROUND($A$3*(G13-AT13)/$B$3,2))</f>
        <v>3996.4</v>
      </c>
      <c r="F13" s="32"/>
      <c r="G13" s="33">
        <f>H13+AC13+AT13</f>
        <v>27698</v>
      </c>
      <c r="H13" s="20">
        <f>SUMIF(I$12:AB$12,"总值",I13:AB13)</f>
        <v>26002.7</v>
      </c>
      <c r="I13" s="2210">
        <v>355.78</v>
      </c>
      <c r="J13" s="2210"/>
      <c r="K13" s="2210">
        <v>19486.22</v>
      </c>
      <c r="L13" s="2210"/>
      <c r="M13" s="2210">
        <v>3919.01</v>
      </c>
      <c r="N13" s="2210"/>
      <c r="O13" s="2210">
        <v>2241.69</v>
      </c>
      <c r="P13" s="2210"/>
      <c r="Q13" s="2210"/>
      <c r="R13" s="2210"/>
      <c r="S13" s="2210"/>
      <c r="T13" s="2210"/>
      <c r="U13" s="2210"/>
      <c r="V13" s="2210"/>
      <c r="W13" s="2210"/>
      <c r="X13" s="2210"/>
      <c r="Y13" s="2210"/>
      <c r="Z13" s="2210"/>
      <c r="AA13" s="2210"/>
      <c r="AB13" s="2210"/>
      <c r="AC13" s="16">
        <f>SUMIF(AD$12:AS$12,"总值",AD13:AS13)</f>
        <v>1695.3</v>
      </c>
      <c r="AD13" s="2211"/>
      <c r="AE13" s="2211"/>
      <c r="AF13" s="2211"/>
      <c r="AG13" s="2211"/>
      <c r="AH13" s="2211"/>
      <c r="AI13" s="2211"/>
      <c r="AJ13" s="2211"/>
      <c r="AK13" s="2211"/>
      <c r="AL13" s="2211"/>
      <c r="AM13" s="2211"/>
      <c r="AN13" s="2211">
        <f>163.3+1532</f>
        <v>1695.3</v>
      </c>
      <c r="AO13" s="2211"/>
      <c r="AP13" s="2211"/>
      <c r="AQ13" s="2211"/>
      <c r="AR13" s="2211"/>
      <c r="AS13" s="2211"/>
      <c r="AT13" s="2212"/>
      <c r="AU13" s="2213"/>
      <c r="AV13" s="11">
        <f t="shared" ref="AV13:AX17" si="6">A13</f>
        <v>0</v>
      </c>
      <c r="AW13" s="11">
        <f t="shared" si="6"/>
        <v>0</v>
      </c>
      <c r="AX13" s="11">
        <f t="shared" si="6"/>
        <v>0</v>
      </c>
      <c r="AY13" s="1802">
        <f>ROUND($AY$6*AZ13/$AZ$5,2)</f>
        <v>3996.4</v>
      </c>
      <c r="AZ13" s="16">
        <f>BA13+BL13</f>
        <v>27698</v>
      </c>
      <c r="BA13" s="16">
        <f>SUM(BB13:BK13)</f>
        <v>26002.7</v>
      </c>
      <c r="BB13" s="16">
        <f>IF($D13="是",I13-J13,0)</f>
        <v>355.78</v>
      </c>
      <c r="BC13" s="16">
        <f>IF($D13="是",K13-L13,0)</f>
        <v>19486.22</v>
      </c>
      <c r="BD13" s="16">
        <f>IF($D13="是",M13-N13,0)</f>
        <v>3919.01</v>
      </c>
      <c r="BE13" s="16">
        <f>IF($D13="是",O13-P13,0)</f>
        <v>2241.69</v>
      </c>
      <c r="BF13" s="16">
        <f>IF($D13="是",Q13-R13,0)</f>
        <v>0</v>
      </c>
      <c r="BG13" s="16">
        <f>IF($D13="是",S13-T13,0)</f>
        <v>0</v>
      </c>
      <c r="BH13" s="16">
        <f>IF($D13="是",U13-V13,0)</f>
        <v>0</v>
      </c>
      <c r="BI13" s="16">
        <f>IF($D13="是",W13-X13,0)</f>
        <v>0</v>
      </c>
      <c r="BJ13" s="16">
        <f>IF($D13="是",Y13-Z13,0)</f>
        <v>0</v>
      </c>
      <c r="BK13" s="16">
        <f>IF($D13="是",AA13-AB13,0)</f>
        <v>0</v>
      </c>
      <c r="BL13" s="16">
        <f>SUM(BM13:BT13)</f>
        <v>1695.3</v>
      </c>
      <c r="BM13" s="16">
        <f>IF($D13="是",AD13-AE13,0)</f>
        <v>0</v>
      </c>
      <c r="BN13" s="16">
        <f>IF($D13="是",AF13-AG13,0)</f>
        <v>0</v>
      </c>
      <c r="BO13" s="16">
        <f>IF($D13="是",AH13-AI13,0)</f>
        <v>0</v>
      </c>
      <c r="BP13" s="16">
        <f>IF($D13="是",AJ13-AK13,0)</f>
        <v>0</v>
      </c>
      <c r="BQ13" s="16">
        <f>IF($D13="是",AL13-AM13,0)</f>
        <v>0</v>
      </c>
      <c r="BR13" s="16">
        <f>IF($D13="是",AN13-AO13,0)</f>
        <v>1695.3</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37" sqref="M3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8"/>
      <c r="C1" s="1388"/>
      <c r="D1" s="1388"/>
      <c r="E1" s="1388"/>
      <c r="F1" s="1388"/>
      <c r="G1" s="1388"/>
      <c r="H1" s="1388"/>
      <c r="I1" s="1388"/>
      <c r="J1" s="1388"/>
      <c r="K1" s="1388"/>
      <c r="L1" s="1388"/>
      <c r="M1" s="1388"/>
      <c r="N1" s="1388"/>
      <c r="O1" s="1388"/>
      <c r="P1" s="1388"/>
    </row>
    <row r="2" spans="1:16" ht="15">
      <c r="A2" s="3056" t="s">
        <v>1935</v>
      </c>
      <c r="B2" s="3056"/>
      <c r="C2" s="3056"/>
      <c r="D2" s="963" t="s">
        <v>1911</v>
      </c>
      <c r="E2" s="2223" t="s">
        <v>1912</v>
      </c>
      <c r="F2" s="1388"/>
      <c r="G2" s="2224"/>
      <c r="H2" s="2225"/>
      <c r="I2" s="2226" t="s">
        <v>1936</v>
      </c>
      <c r="J2" s="1388"/>
      <c r="K2" s="1388"/>
      <c r="L2" s="1388"/>
      <c r="M2" s="1388"/>
      <c r="N2" s="1423"/>
      <c r="O2" s="1388"/>
      <c r="P2" s="1388"/>
    </row>
    <row r="3" spans="1:16" ht="15.75" thickBot="1">
      <c r="A3" s="3057" t="s">
        <v>1909</v>
      </c>
      <c r="B3" s="3057"/>
      <c r="C3" s="3057"/>
      <c r="D3" s="46">
        <f>'数据-基础表'!AY6</f>
        <v>3996.4</v>
      </c>
      <c r="E3" s="46">
        <f>'数据-基础表'!AZ5</f>
        <v>27698</v>
      </c>
      <c r="F3" s="1388"/>
      <c r="G3" s="1395"/>
      <c r="H3" s="1243" t="s">
        <v>1910</v>
      </c>
      <c r="I3" s="55">
        <f>ROUND('数据-基础表'!B3/'数据-基础表'!A3,2)</f>
        <v>6.93</v>
      </c>
      <c r="J3" s="1388"/>
      <c r="K3" s="1388"/>
      <c r="L3" s="1388"/>
      <c r="M3" s="1388"/>
      <c r="N3" s="1423"/>
      <c r="O3" s="1388"/>
      <c r="P3" s="1388"/>
    </row>
    <row r="4" spans="1:16" ht="15">
      <c r="A4" s="3058"/>
      <c r="B4" s="3059"/>
      <c r="C4" s="3060"/>
      <c r="D4" s="2227" t="s">
        <v>1911</v>
      </c>
      <c r="E4" s="2228" t="s">
        <v>1912</v>
      </c>
      <c r="F4" s="1388"/>
      <c r="G4" s="2229" t="s">
        <v>1937</v>
      </c>
      <c r="H4" s="1243" t="s">
        <v>1917</v>
      </c>
      <c r="I4" s="55">
        <f>ROUND(SUMIF('数据-基础表'!I9:AS9,"地上",'数据-基础表'!I5:AS5)/'数据-基础表'!A3,2)</f>
        <v>4.96</v>
      </c>
      <c r="J4" s="1388"/>
      <c r="K4" s="1388"/>
      <c r="L4" s="1388"/>
      <c r="M4" s="1388"/>
      <c r="N4" s="1423"/>
      <c r="O4" s="1388"/>
      <c r="P4" s="1388"/>
    </row>
    <row r="5" spans="1:16">
      <c r="A5" s="47" t="s">
        <v>1913</v>
      </c>
      <c r="B5" s="3061" t="s">
        <v>1914</v>
      </c>
      <c r="C5" s="3061"/>
      <c r="D5" s="48">
        <f>ROUND($D$3*E5/$E$3,2)</f>
        <v>0</v>
      </c>
      <c r="E5" s="49">
        <f>SUMIF('数据-基础表'!$11:$11,"住宅",'数据-基础表'!$5:$5)</f>
        <v>0</v>
      </c>
      <c r="F5" s="1388"/>
      <c r="G5" s="1395"/>
      <c r="H5" s="1243" t="s">
        <v>1910</v>
      </c>
      <c r="I5" s="55">
        <f>ROUND(E31/D31,2)</f>
        <v>6.93</v>
      </c>
      <c r="J5" s="1388"/>
      <c r="K5" s="1388"/>
      <c r="L5" s="1388"/>
      <c r="M5" s="1388"/>
      <c r="N5" s="1388"/>
      <c r="O5" s="1388"/>
      <c r="P5" s="1388"/>
    </row>
    <row r="6" spans="1:16" ht="15" thickBot="1">
      <c r="A6" s="2230"/>
      <c r="B6" s="3061" t="s">
        <v>1915</v>
      </c>
      <c r="C6" s="3061"/>
      <c r="D6" s="48">
        <f>ROUND($D$3*E6/$E$3,2)</f>
        <v>3996.4</v>
      </c>
      <c r="E6" s="49">
        <f>E3-E5</f>
        <v>27698</v>
      </c>
      <c r="F6" s="1388"/>
      <c r="G6" s="2231" t="s">
        <v>1916</v>
      </c>
      <c r="H6" s="1395" t="s">
        <v>1917</v>
      </c>
      <c r="I6" s="935">
        <f>ROUND(F31/D31,2)</f>
        <v>4.96</v>
      </c>
      <c r="J6" s="1388"/>
      <c r="K6" s="1388"/>
      <c r="L6" s="1388"/>
      <c r="M6" s="1388"/>
      <c r="N6" s="1388"/>
      <c r="O6" s="1388"/>
      <c r="P6" s="1388"/>
    </row>
    <row r="7" spans="1:16" ht="15">
      <c r="A7" s="3053"/>
      <c r="B7" s="3054"/>
      <c r="C7" s="3055"/>
      <c r="D7" s="2227" t="s">
        <v>1911</v>
      </c>
      <c r="E7" s="2232" t="s">
        <v>1918</v>
      </c>
      <c r="F7" s="1388"/>
      <c r="G7" s="2224" t="s">
        <v>1919</v>
      </c>
      <c r="H7" s="64"/>
      <c r="I7" s="420"/>
      <c r="J7" s="1388"/>
      <c r="K7" s="1388"/>
      <c r="L7" s="1388"/>
      <c r="M7" s="1388"/>
      <c r="N7" s="1388"/>
      <c r="O7" s="1388"/>
      <c r="P7" s="1388"/>
    </row>
    <row r="8" spans="1:16">
      <c r="A8" s="47" t="s">
        <v>1920</v>
      </c>
      <c r="B8" s="50" t="s">
        <v>1921</v>
      </c>
      <c r="C8" s="48" t="s">
        <v>1922</v>
      </c>
      <c r="D8" s="48">
        <f t="shared" ref="D8:D15" si="0">ROUND($D$3*E8/$E$3,2)</f>
        <v>2862.9</v>
      </c>
      <c r="E8" s="51">
        <f>SUMIF('数据-基础表'!BB10:BK10,"地上",'数据-基础表'!BB5:BK5)</f>
        <v>19842</v>
      </c>
      <c r="F8" s="1388"/>
      <c r="G8" s="2233"/>
      <c r="H8" s="2233"/>
      <c r="I8" s="1388"/>
      <c r="J8" s="1388"/>
      <c r="K8" s="1388"/>
      <c r="L8" s="1388"/>
      <c r="M8" s="1388"/>
      <c r="N8" s="1388"/>
      <c r="O8" s="1388"/>
      <c r="P8" s="1388"/>
    </row>
    <row r="9" spans="1:16">
      <c r="A9" s="2234"/>
      <c r="B9" s="2235"/>
      <c r="C9" s="48" t="s">
        <v>1923</v>
      </c>
      <c r="D9" s="48">
        <f t="shared" si="0"/>
        <v>0</v>
      </c>
      <c r="E9" s="52">
        <v>0</v>
      </c>
      <c r="F9" s="1388"/>
      <c r="G9" s="2233"/>
      <c r="H9" s="2233"/>
      <c r="I9" s="1388"/>
      <c r="J9" s="1388"/>
      <c r="K9" s="1388"/>
      <c r="L9" s="1388"/>
      <c r="M9" s="1388"/>
      <c r="N9" s="1388"/>
      <c r="O9" s="1388"/>
      <c r="P9" s="1388"/>
    </row>
    <row r="10" spans="1:16">
      <c r="A10" s="2234"/>
      <c r="B10" s="2235"/>
      <c r="C10" s="48" t="s">
        <v>1932</v>
      </c>
      <c r="D10" s="48">
        <f t="shared" si="0"/>
        <v>0</v>
      </c>
      <c r="E10" s="51">
        <f>SUMPRODUCT(('数据-基础表'!BB10:BK10="地下")*('数据-基础表'!BB11:BK11="商业")*('数据-基础表'!BB5:BK5))</f>
        <v>0</v>
      </c>
      <c r="F10" s="1388"/>
      <c r="G10" s="2233"/>
      <c r="H10" s="2233"/>
      <c r="I10" s="1388"/>
      <c r="J10" s="1388"/>
      <c r="K10" s="1388"/>
      <c r="L10" s="1388"/>
      <c r="M10" s="1388"/>
      <c r="N10" s="1388"/>
      <c r="O10" s="1388"/>
      <c r="P10" s="1388"/>
    </row>
    <row r="11" spans="1:16">
      <c r="A11" s="2234"/>
      <c r="B11" s="2235"/>
      <c r="C11" s="48" t="s">
        <v>1924</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1925</v>
      </c>
      <c r="D12" s="48">
        <f t="shared" si="0"/>
        <v>323.44</v>
      </c>
      <c r="E12" s="51">
        <f>SUMPRODUCT(('数据-基础表'!BB10:BK10="地下")*('数据-基础表'!BB11:BK11="仓储")*('数据-基础表'!BB5:BK5))</f>
        <v>2241.69</v>
      </c>
      <c r="F12" s="1388"/>
      <c r="G12" s="2233"/>
      <c r="H12" s="2233"/>
      <c r="I12" s="1388"/>
      <c r="J12" s="1388"/>
      <c r="K12" s="1388"/>
      <c r="L12" s="1388"/>
      <c r="M12" s="1388"/>
      <c r="N12" s="1388"/>
      <c r="O12" s="1388"/>
      <c r="P12" s="1388"/>
    </row>
    <row r="13" spans="1:16">
      <c r="A13" s="2234"/>
      <c r="B13" s="2235"/>
      <c r="C13" s="48" t="s">
        <v>1926</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1938</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1933</v>
      </c>
      <c r="D15" s="48">
        <f t="shared" si="0"/>
        <v>565.45000000000005</v>
      </c>
      <c r="E15" s="51">
        <f>SUMPRODUCT(('数据-基础表'!BB10:BK10="地下")*('数据-基础表'!BB11:BK11="车库—办公")*('数据-基础表'!BB5:BK5))</f>
        <v>3919.01</v>
      </c>
      <c r="F15" s="1388"/>
      <c r="G15" s="2233"/>
      <c r="H15" s="2233"/>
      <c r="I15" s="1388"/>
      <c r="J15" s="1388"/>
      <c r="K15" s="1388"/>
      <c r="L15" s="1388"/>
      <c r="M15" s="1388"/>
      <c r="N15" s="1388"/>
      <c r="O15" s="1388"/>
      <c r="P15" s="1388"/>
    </row>
    <row r="16" spans="1:16" ht="15.75" thickBot="1">
      <c r="A16" s="2230"/>
      <c r="B16" s="2235"/>
      <c r="C16" s="50" t="s">
        <v>1927</v>
      </c>
      <c r="D16" s="50">
        <f>SUM(D8:D15)</f>
        <v>3751.79</v>
      </c>
      <c r="E16" s="53">
        <f>SUM(E8:E15)</f>
        <v>26002.699999999997</v>
      </c>
      <c r="F16" s="1388"/>
      <c r="G16" s="2233"/>
      <c r="H16" s="2236" t="s">
        <v>1939</v>
      </c>
      <c r="I16" s="2237"/>
      <c r="J16" s="1388"/>
      <c r="K16" s="3050" t="s">
        <v>1939</v>
      </c>
      <c r="L16" s="3051"/>
      <c r="M16" s="3051"/>
      <c r="N16" s="3051"/>
      <c r="O16" s="3051"/>
      <c r="P16" s="3052"/>
    </row>
    <row r="17" spans="1:19" ht="15">
      <c r="A17" s="2238" t="s">
        <v>1940</v>
      </c>
      <c r="B17" s="2239" t="s">
        <v>1941</v>
      </c>
      <c r="C17" s="2240" t="s">
        <v>1942</v>
      </c>
      <c r="D17" s="2241" t="s">
        <v>1930</v>
      </c>
      <c r="E17" s="2242" t="s">
        <v>1931</v>
      </c>
      <c r="F17" s="2243"/>
      <c r="G17" s="2244"/>
      <c r="H17" s="2245" t="s">
        <v>1943</v>
      </c>
      <c r="I17" s="2246" t="s">
        <v>1928</v>
      </c>
      <c r="J17" s="1388"/>
      <c r="K17" s="3047" t="s">
        <v>1944</v>
      </c>
      <c r="L17" s="3048"/>
      <c r="M17" s="3049"/>
      <c r="N17" s="3047" t="s">
        <v>1945</v>
      </c>
      <c r="O17" s="3048"/>
      <c r="P17" s="3049"/>
      <c r="R17" s="2224" t="s">
        <v>1946</v>
      </c>
      <c r="S17" s="64"/>
    </row>
    <row r="18" spans="1:19" ht="15">
      <c r="A18" s="2234"/>
      <c r="B18" s="2247"/>
      <c r="C18" s="2248"/>
      <c r="D18" s="2249"/>
      <c r="E18" s="2250" t="s">
        <v>1947</v>
      </c>
      <c r="F18" s="2251" t="s">
        <v>1948</v>
      </c>
      <c r="G18" s="2252" t="s">
        <v>1949</v>
      </c>
      <c r="H18" s="1258" t="s">
        <v>1950</v>
      </c>
      <c r="I18" s="2253" t="s">
        <v>1951</v>
      </c>
      <c r="J18" s="1388"/>
      <c r="K18" s="1258" t="s">
        <v>1952</v>
      </c>
      <c r="L18" s="2254" t="s">
        <v>1953</v>
      </c>
      <c r="M18" s="1042" t="s">
        <v>1954</v>
      </c>
      <c r="N18" s="1258" t="s">
        <v>1952</v>
      </c>
      <c r="O18" s="2254" t="s">
        <v>1953</v>
      </c>
      <c r="P18" s="1042" t="s">
        <v>1954</v>
      </c>
      <c r="R18" s="1243" t="s">
        <v>1955</v>
      </c>
      <c r="S18" s="1243" t="s">
        <v>1956</v>
      </c>
    </row>
    <row r="19" spans="1:19">
      <c r="A19" s="2255"/>
      <c r="B19" s="50" t="s">
        <v>1929</v>
      </c>
      <c r="C19" s="3300" t="s">
        <v>3066</v>
      </c>
      <c r="D19" s="48">
        <f>ROUND($D$3*E19/$E$3,2)</f>
        <v>51.33</v>
      </c>
      <c r="E19" s="56">
        <f t="shared" ref="E19:E26" si="1">SUM(F19:G19)</f>
        <v>355.78</v>
      </c>
      <c r="F19" s="57">
        <f>'数据-基础表'!I5</f>
        <v>355.78</v>
      </c>
      <c r="G19" s="58"/>
      <c r="H19" s="723">
        <f>ROUND($D$3*I19/$E$3,2)</f>
        <v>3.35</v>
      </c>
      <c r="I19" s="51">
        <f t="shared" ref="I19:I26" si="2">IF($I$17="自定义",P19,M19)</f>
        <v>23.2</v>
      </c>
      <c r="J19" s="1388"/>
      <c r="K19" s="1387">
        <f t="shared" ref="K19:K26" si="3">ROUND(E$28*E19/E$27,2)</f>
        <v>23.2</v>
      </c>
      <c r="L19" s="1243">
        <f t="shared" ref="L19:L26" si="4">ROUND(IF(COUNTIF(C19,"*住宅*")&gt;0,E$29*E19/E$32,0),2)</f>
        <v>0</v>
      </c>
      <c r="M19" s="1399">
        <f>K19+L19</f>
        <v>23.2</v>
      </c>
      <c r="N19" s="2256"/>
      <c r="O19" s="2257"/>
      <c r="P19" s="1399">
        <f>N19+O19</f>
        <v>0</v>
      </c>
      <c r="R19" s="1243">
        <f t="shared" ref="R19:S26" si="5">D19+H19</f>
        <v>54.68</v>
      </c>
      <c r="S19" s="1244">
        <f t="shared" si="5"/>
        <v>378.97999999999996</v>
      </c>
    </row>
    <row r="20" spans="1:19">
      <c r="A20" s="2258"/>
      <c r="B20" s="50" t="s">
        <v>1957</v>
      </c>
      <c r="C20" s="3300" t="s">
        <v>3067</v>
      </c>
      <c r="D20" s="48">
        <f t="shared" ref="D20:D26" si="6">ROUND($D$3*E20/$E$3,2)</f>
        <v>2811.57</v>
      </c>
      <c r="E20" s="56">
        <f t="shared" si="1"/>
        <v>19486.22</v>
      </c>
      <c r="F20" s="57">
        <f>'数据-基础表'!K5</f>
        <v>19486.22</v>
      </c>
      <c r="G20" s="58"/>
      <c r="H20" s="723">
        <f t="shared" ref="H20:H26" si="7">ROUND($D$3*I20/$E$3,2)</f>
        <v>183.31</v>
      </c>
      <c r="I20" s="51">
        <f t="shared" si="2"/>
        <v>1270.44</v>
      </c>
      <c r="J20" s="1388"/>
      <c r="K20" s="1387">
        <f t="shared" si="3"/>
        <v>1270.44</v>
      </c>
      <c r="L20" s="1243">
        <f t="shared" si="4"/>
        <v>0</v>
      </c>
      <c r="M20" s="1399">
        <f t="shared" ref="M20:M26" si="8">K20+L20</f>
        <v>1270.44</v>
      </c>
      <c r="N20" s="2256"/>
      <c r="O20" s="2257"/>
      <c r="P20" s="1399">
        <f t="shared" ref="P20:P26" si="9">N20+O20</f>
        <v>0</v>
      </c>
      <c r="R20" s="1243">
        <f t="shared" si="5"/>
        <v>2994.88</v>
      </c>
      <c r="S20" s="1244">
        <f t="shared" si="5"/>
        <v>20756.66</v>
      </c>
    </row>
    <row r="21" spans="1:19">
      <c r="A21" s="2258"/>
      <c r="B21" s="50" t="s">
        <v>1957</v>
      </c>
      <c r="C21" s="3300" t="s">
        <v>3068</v>
      </c>
      <c r="D21" s="48">
        <f t="shared" si="6"/>
        <v>565.45000000000005</v>
      </c>
      <c r="E21" s="56">
        <f t="shared" si="1"/>
        <v>3919.01</v>
      </c>
      <c r="F21" s="57"/>
      <c r="G21" s="58">
        <f>'数据-基础表'!M5</f>
        <v>3919.01</v>
      </c>
      <c r="H21" s="723">
        <f t="shared" si="7"/>
        <v>36.869999999999997</v>
      </c>
      <c r="I21" s="51">
        <f t="shared" si="2"/>
        <v>255.51</v>
      </c>
      <c r="J21" s="1388"/>
      <c r="K21" s="1387">
        <f t="shared" si="3"/>
        <v>255.51</v>
      </c>
      <c r="L21" s="1243">
        <f t="shared" si="4"/>
        <v>0</v>
      </c>
      <c r="M21" s="1399">
        <f t="shared" si="8"/>
        <v>255.51</v>
      </c>
      <c r="N21" s="2256"/>
      <c r="O21" s="2257"/>
      <c r="P21" s="1399">
        <f t="shared" si="9"/>
        <v>0</v>
      </c>
      <c r="R21" s="1243">
        <f t="shared" si="5"/>
        <v>602.32000000000005</v>
      </c>
      <c r="S21" s="1244">
        <f t="shared" si="5"/>
        <v>4174.5200000000004</v>
      </c>
    </row>
    <row r="22" spans="1:19">
      <c r="A22" s="2258"/>
      <c r="B22" s="50" t="s">
        <v>1957</v>
      </c>
      <c r="C22" s="3301" t="s">
        <v>3070</v>
      </c>
      <c r="D22" s="48">
        <f t="shared" si="6"/>
        <v>323.44</v>
      </c>
      <c r="E22" s="56">
        <f t="shared" si="1"/>
        <v>2241.69</v>
      </c>
      <c r="F22" s="61"/>
      <c r="G22" s="62">
        <f>'数据-基础表'!O5</f>
        <v>2241.69</v>
      </c>
      <c r="H22" s="723">
        <f t="shared" si="7"/>
        <v>21.09</v>
      </c>
      <c r="I22" s="51">
        <f t="shared" si="2"/>
        <v>146.15</v>
      </c>
      <c r="J22" s="1388"/>
      <c r="K22" s="1387">
        <f t="shared" si="3"/>
        <v>146.15</v>
      </c>
      <c r="L22" s="1243">
        <f t="shared" si="4"/>
        <v>0</v>
      </c>
      <c r="M22" s="1399">
        <f t="shared" si="8"/>
        <v>146.15</v>
      </c>
      <c r="N22" s="2256"/>
      <c r="O22" s="2257"/>
      <c r="P22" s="1399">
        <f t="shared" si="9"/>
        <v>0</v>
      </c>
      <c r="R22" s="1243">
        <f t="shared" si="5"/>
        <v>344.53</v>
      </c>
      <c r="S22" s="1244">
        <f t="shared" si="5"/>
        <v>2387.84</v>
      </c>
    </row>
    <row r="23" spans="1:19">
      <c r="A23" s="2258"/>
      <c r="B23" s="50" t="s">
        <v>1957</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3751.7900000000004</v>
      </c>
      <c r="E27" s="1390">
        <f>IF(SUM(E19:E26)='数据-基础表'!BA5,SUM(E19:E26),IF(F27="地上面积有误","面积有误","地下面积有误"))</f>
        <v>26002.7</v>
      </c>
      <c r="F27" s="1389">
        <f>IF(SUM(F19:F26)=E8,SUM(F19:F26),"地上面积有误")</f>
        <v>19842</v>
      </c>
      <c r="G27" s="1391">
        <f>SUM(G19:G26)</f>
        <v>6160.7000000000007</v>
      </c>
      <c r="H27" s="1392">
        <f>SUM(H19:H26)</f>
        <v>244.62</v>
      </c>
      <c r="I27" s="1393">
        <f>SUM(I19:I26)</f>
        <v>1695.3000000000002</v>
      </c>
      <c r="J27" s="1388"/>
      <c r="K27" s="1396">
        <f>SUM(K19:K26)</f>
        <v>1695.3000000000002</v>
      </c>
      <c r="L27" s="1397">
        <f>SUM(L19:L26)</f>
        <v>0</v>
      </c>
      <c r="M27" s="1400">
        <f>SUM(M19:M26)</f>
        <v>1695.3000000000002</v>
      </c>
      <c r="N27" s="1396">
        <f t="shared" ref="N27:O27" si="10">SUM(N19:N26)</f>
        <v>0</v>
      </c>
      <c r="O27" s="1397">
        <f t="shared" si="10"/>
        <v>0</v>
      </c>
      <c r="P27" s="1398">
        <f>SUM(P19:P26)</f>
        <v>0</v>
      </c>
      <c r="R27" s="1245" t="str">
        <f>IF(SUM(R19:R26)=$D$3,SUM(R19:R26),SUM(R19:R26)&amp;"误差"&amp;ROUND(SUM(R19:R26)-$D$3,2))</f>
        <v>3996.41误差0.01</v>
      </c>
      <c r="S27" s="1243">
        <f>IF(SUM(S19:S26)=$E$3,SUM(S19:S26),SUM(S19:S26)&amp;"误差"&amp;ROUND(SUM(S19:S26)-E3,2))</f>
        <v>27698</v>
      </c>
    </row>
    <row r="28" spans="1:19">
      <c r="A28" s="2258"/>
      <c r="B28" s="50" t="s">
        <v>1959</v>
      </c>
      <c r="C28" s="1255" t="s">
        <v>1960</v>
      </c>
      <c r="D28" s="48">
        <f>ROUND($D$3*E28/$E$3,2)</f>
        <v>244.61</v>
      </c>
      <c r="E28" s="56">
        <f>SUM(F28:G28)</f>
        <v>1695.3</v>
      </c>
      <c r="F28" s="64">
        <f>'数据-基础表'!BQ5+'数据-基础表'!BS5</f>
        <v>0</v>
      </c>
      <c r="G28" s="65">
        <f>'数据-基础表'!BR5+'数据-基础表'!BT5</f>
        <v>1695.3</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244.61</v>
      </c>
      <c r="E30" s="1389">
        <f>SUM(E28:E29)</f>
        <v>1695.3</v>
      </c>
      <c r="F30" s="1389">
        <f>SUM(F28:F29)</f>
        <v>0</v>
      </c>
      <c r="G30" s="1391">
        <f>SUM(G28:G29)</f>
        <v>1695.3</v>
      </c>
      <c r="H30" s="1388"/>
      <c r="I30" s="1388"/>
      <c r="J30" s="1388"/>
      <c r="K30" s="1388"/>
      <c r="L30" s="1388"/>
      <c r="M30" s="1388"/>
      <c r="N30" s="1388"/>
      <c r="O30" s="1388"/>
      <c r="P30" s="1388"/>
    </row>
    <row r="31" spans="1:19" ht="15.75" thickBot="1">
      <c r="A31" s="2264"/>
      <c r="B31" s="2265"/>
      <c r="C31" s="1003" t="s">
        <v>1962</v>
      </c>
      <c r="D31" s="729">
        <f>D27+D30</f>
        <v>3996.4000000000005</v>
      </c>
      <c r="E31" s="729">
        <f>E27+E30</f>
        <v>27698</v>
      </c>
      <c r="F31" s="730">
        <f>F27+F30</f>
        <v>19842</v>
      </c>
      <c r="G31" s="731">
        <f>G27+G30</f>
        <v>7856.0000000000009</v>
      </c>
      <c r="H31" s="1388"/>
      <c r="I31" s="1388"/>
      <c r="J31" s="1388"/>
      <c r="K31" s="1388"/>
      <c r="L31" s="1388"/>
      <c r="M31" s="1388"/>
      <c r="N31" s="1388"/>
      <c r="O31" s="1388"/>
      <c r="P31" s="1388"/>
    </row>
    <row r="32" spans="1:19">
      <c r="A32" s="2229"/>
      <c r="B32" s="2229" t="s">
        <v>1963</v>
      </c>
      <c r="C32" s="2229"/>
      <c r="D32" s="2229"/>
      <c r="E32" s="1270">
        <f>SUMIF(C19:C26,"*住宅*",E19:E26)</f>
        <v>0</v>
      </c>
      <c r="F32" s="2229"/>
      <c r="G32" s="2229"/>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1" t="s">
        <v>1965</v>
      </c>
      <c r="B2" s="1262">
        <f>项目基本情况!D3</f>
        <v>43754</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1985</v>
      </c>
      <c r="O5" s="2291" t="s">
        <v>1986</v>
      </c>
      <c r="P5" s="2294" t="s">
        <v>1987</v>
      </c>
      <c r="Q5" s="69" t="s">
        <v>1988</v>
      </c>
      <c r="R5" s="2295" t="s">
        <v>1989</v>
      </c>
      <c r="S5" s="2296" t="s">
        <v>1990</v>
      </c>
      <c r="T5" s="2297" t="s">
        <v>1991</v>
      </c>
      <c r="U5" s="1263" t="s">
        <v>1992</v>
      </c>
      <c r="V5" s="1264" t="s">
        <v>1993</v>
      </c>
      <c r="W5" s="1264" t="s">
        <v>1994</v>
      </c>
      <c r="X5" s="71"/>
      <c r="Y5" s="70" t="s">
        <v>1995</v>
      </c>
      <c r="Z5" s="2298" t="s">
        <v>1992</v>
      </c>
      <c r="AA5" s="1264" t="s">
        <v>1993</v>
      </c>
      <c r="AB5" s="1264" t="s">
        <v>1994</v>
      </c>
      <c r="AC5" s="71"/>
      <c r="AD5" s="71" t="s">
        <v>1995</v>
      </c>
      <c r="AE5" s="1263" t="s">
        <v>1996</v>
      </c>
      <c r="AF5" s="1264" t="s">
        <v>1997</v>
      </c>
      <c r="AG5" s="70" t="s">
        <v>1998</v>
      </c>
      <c r="AH5" s="1263" t="s">
        <v>1999</v>
      </c>
      <c r="AI5" s="2298" t="s">
        <v>2000</v>
      </c>
      <c r="AJ5" s="2298" t="s">
        <v>2001</v>
      </c>
      <c r="AK5" s="1264" t="s">
        <v>2002</v>
      </c>
      <c r="AL5" s="1264" t="s">
        <v>2003</v>
      </c>
      <c r="AM5" s="70" t="s">
        <v>2004</v>
      </c>
      <c r="AN5" s="2299" t="s">
        <v>2005</v>
      </c>
      <c r="AO5" s="2070" t="s">
        <v>2006</v>
      </c>
      <c r="AP5" s="1245"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商业</v>
      </c>
      <c r="B6" s="2302" t="str">
        <f>IF(A6=0,"","经营性")</f>
        <v>经营性</v>
      </c>
      <c r="C6" s="2303" t="s">
        <v>1373</v>
      </c>
      <c r="D6" s="1047">
        <f>SUMIF(项目基本情况!D$12:I$12,C6,项目基本情况!D$14:I$14)</f>
        <v>40</v>
      </c>
      <c r="E6" s="1044">
        <f>IF(B6="","",SUMIF(项目基本情况!D$12:I$12,C6,项目基本情况!D$13:I$13))</f>
        <v>53350</v>
      </c>
      <c r="F6" s="72">
        <f>SUMIF(项目基本情况!D$12:I$12,C6,项目基本情况!D$15:I$15)</f>
        <v>26.29</v>
      </c>
      <c r="G6" s="73">
        <f>IF(ISERROR(ROUND(POWER(1+H6,D6-F6)*(POWER(1+H6,F6)-1)/(POWER(1+H6,D6)-1),3)),0,ROUND(POWER(1+H6,D6-F6)*(POWER(1+H6,F6)-1)/(POWER(1+H6,D6)-1),3))</f>
        <v>0.85599999999999998</v>
      </c>
      <c r="H6" s="802">
        <v>5.5E-2</v>
      </c>
      <c r="I6" s="802">
        <v>0.06</v>
      </c>
      <c r="J6" s="74">
        <v>8.5000000000000006E-2</v>
      </c>
      <c r="K6" s="1247">
        <f>SUMIF('数据-汇总表'!C$19:C$33,A6,'数据-汇总表'!E$19:E$33)</f>
        <v>355.78</v>
      </c>
      <c r="L6" s="803">
        <v>5500</v>
      </c>
      <c r="M6" s="75">
        <f t="shared" ref="M6:M14" si="0">ROUND(K6*L6/10000,0)</f>
        <v>196</v>
      </c>
      <c r="N6" s="801">
        <v>0.65</v>
      </c>
      <c r="O6" s="75">
        <f>IF($N$5="成新度","——",ROUND(M6*N6,0))</f>
        <v>127</v>
      </c>
      <c r="P6" s="76">
        <f>IF($N$5="成新度","——",M6-O6)</f>
        <v>69</v>
      </c>
      <c r="Q6" s="804">
        <v>0.2</v>
      </c>
      <c r="R6" s="77">
        <f ca="1">SUMIF('数据-汇总表'!C$19:C$33,A6,'数据-汇总表'!R$19:R$27)</f>
        <v>54.68</v>
      </c>
      <c r="S6" s="54">
        <f>IF('数据-汇总表'!$I$17="按面积比例",SUMIF('数据-汇总表'!C$19:C$33,A6,'数据-汇总表'!K$19:K$33),SUMIF('数据-汇总表'!C$19:C$33,A6,'数据-汇总表'!N$19:N$33))</f>
        <v>23.2</v>
      </c>
      <c r="T6" s="1439">
        <f>ROUND($L$14*S6/10000,0)</f>
        <v>10</v>
      </c>
      <c r="U6" s="78">
        <v>13</v>
      </c>
      <c r="V6" s="79">
        <v>3.5000000000000003E-2</v>
      </c>
      <c r="W6" s="79">
        <v>0.1</v>
      </c>
      <c r="X6" s="1257"/>
      <c r="Y6" s="80">
        <v>1</v>
      </c>
      <c r="Z6" s="81"/>
      <c r="AA6" s="74"/>
      <c r="AB6" s="74"/>
      <c r="AC6" s="1257"/>
      <c r="AD6" s="82"/>
      <c r="AE6" s="1258">
        <f ca="1">IF(AN6="",0,SUMIF(INDIRECT("'"&amp;AN6&amp;"'"&amp;"!E:E"),$AE$5,INDIRECT("'"&amp;AN6&amp;"'"&amp;"!F:F")))</f>
        <v>25.59</v>
      </c>
      <c r="AF6" s="1800"/>
      <c r="AG6" s="147">
        <f>IF(AF6="",0,AE6-AF6)</f>
        <v>0</v>
      </c>
      <c r="AH6" s="83"/>
      <c r="AI6" s="85">
        <v>365</v>
      </c>
      <c r="AJ6" s="86"/>
      <c r="AK6" s="87">
        <v>1.4999999999999999E-2</v>
      </c>
      <c r="AL6" s="88">
        <v>1.5E-3</v>
      </c>
      <c r="AM6" s="89">
        <v>0.01</v>
      </c>
      <c r="AN6" s="2304" t="s">
        <v>3097</v>
      </c>
      <c r="AO6" s="55">
        <f ca="1">SUMIF(INDIRECT("'"&amp;AN6&amp;"'"&amp;"!A:A"),"总价",INDIRECT("'"&amp;AN6&amp;"'"&amp;"!B:B"))</f>
        <v>2194</v>
      </c>
      <c r="AP6" s="2305">
        <f>IF(C6="住宅",K6*L6,0)</f>
        <v>0</v>
      </c>
      <c r="AQ6" s="55">
        <f>ROUND($L$14*$N$14*S6/10000,0)</f>
        <v>7</v>
      </c>
      <c r="AR6" s="55">
        <f>ROUND($L$14*(1-$N$14)*S6/10000,0)</f>
        <v>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办公</v>
      </c>
      <c r="B7" s="2302" t="str">
        <f t="shared" ref="B7:B13" si="1">IF(A7=0,"","经营性")</f>
        <v>经营性</v>
      </c>
      <c r="C7" s="2303" t="s">
        <v>27</v>
      </c>
      <c r="D7" s="1047">
        <f>SUMIF(项目基本情况!D$12:I$12,C7,项目基本情况!D$14:I$14)</f>
        <v>50</v>
      </c>
      <c r="E7" s="1044">
        <f>IF(B7="","",SUMIF(项目基本情况!D$12:I$12,C7,项目基本情况!D$13:I$13))</f>
        <v>57002</v>
      </c>
      <c r="F7" s="72">
        <f>SUMIF(项目基本情况!D$12:I$12,C7,项目基本情况!D$15:I$15)</f>
        <v>36.29</v>
      </c>
      <c r="G7" s="73">
        <f t="shared" ref="G7:G11" si="2">IF(ISERROR(ROUND(POWER(1+H7,D7-F7)*(POWER(1+H7,F7)-1)/(POWER(1+H7,D7)-1),3)),0,ROUND(POWER(1+H7,D7-F7)*(POWER(1+H7,F7)-1)/(POWER(1+H7,D7)-1),3))</f>
        <v>0.89700000000000002</v>
      </c>
      <c r="H7" s="802">
        <v>4.4999999999999998E-2</v>
      </c>
      <c r="I7" s="802">
        <v>5.5E-2</v>
      </c>
      <c r="J7" s="74">
        <v>8.5000000000000006E-2</v>
      </c>
      <c r="K7" s="1247">
        <f>SUMIF('数据-汇总表'!C$19:C$33,A7,'数据-汇总表'!E$19:E$33)</f>
        <v>19486.22</v>
      </c>
      <c r="L7" s="803">
        <f>L6</f>
        <v>5500</v>
      </c>
      <c r="M7" s="75">
        <f t="shared" si="0"/>
        <v>10717</v>
      </c>
      <c r="N7" s="801">
        <f>N6</f>
        <v>0.65</v>
      </c>
      <c r="O7" s="75">
        <f t="shared" ref="O7:O14" si="3">IF($N$5="成新度","——",ROUND(M7*N7,0))</f>
        <v>6966</v>
      </c>
      <c r="P7" s="76">
        <f t="shared" ref="P7:P14" si="4">IF($N$5="成新度","——",M7-O7)</f>
        <v>3751</v>
      </c>
      <c r="Q7" s="804">
        <v>0.15</v>
      </c>
      <c r="R7" s="77">
        <f ca="1">SUMIF('数据-汇总表'!C$19:C$33,A7,'数据-汇总表'!R$19:R$27)</f>
        <v>2994.88</v>
      </c>
      <c r="S7" s="54">
        <f>IF('数据-汇总表'!$I$17="按面积比例",SUMIF('数据-汇总表'!C$19:C$33,A7,'数据-汇总表'!K$19:K$33),SUMIF('数据-汇总表'!C$19:C$33,A7,'数据-汇总表'!N$19:N$33))</f>
        <v>1270.44</v>
      </c>
      <c r="T7" s="1439">
        <f t="shared" ref="T7:T13" si="5">ROUND($L$14*S7/10000,0)</f>
        <v>572</v>
      </c>
      <c r="U7" s="78">
        <v>10</v>
      </c>
      <c r="V7" s="79">
        <v>0.03</v>
      </c>
      <c r="W7" s="79">
        <v>0.1</v>
      </c>
      <c r="X7" s="1257"/>
      <c r="Y7" s="80">
        <v>1</v>
      </c>
      <c r="Z7" s="81"/>
      <c r="AA7" s="74"/>
      <c r="AB7" s="74"/>
      <c r="AC7" s="1257"/>
      <c r="AD7" s="82"/>
      <c r="AE7" s="1258">
        <f t="shared" ref="AE7:AE13" ca="1" si="6">IF(AN7="",0,SUMIF(INDIRECT("'"&amp;AN7&amp;"'"&amp;"!E:E"),$AE$5,INDIRECT("'"&amp;AN7&amp;"'"&amp;"!F:F")))</f>
        <v>35.589999999999996</v>
      </c>
      <c r="AF7" s="1800"/>
      <c r="AG7" s="147">
        <f t="shared" ref="AG7:AG13" si="7">IF(AF7="",0,AE7-AF7)</f>
        <v>0</v>
      </c>
      <c r="AH7" s="83"/>
      <c r="AI7" s="85">
        <v>365</v>
      </c>
      <c r="AJ7" s="86"/>
      <c r="AK7" s="87">
        <f>AK6</f>
        <v>1.4999999999999999E-2</v>
      </c>
      <c r="AL7" s="87">
        <f t="shared" ref="AL7:AM7" si="8">AL6</f>
        <v>1.5E-3</v>
      </c>
      <c r="AM7" s="87">
        <f t="shared" si="8"/>
        <v>0.01</v>
      </c>
      <c r="AN7" s="2304" t="s">
        <v>3098</v>
      </c>
      <c r="AO7" s="55">
        <f t="shared" ref="AO7:AO13" ca="1" si="9">SUMIF(INDIRECT("'"&amp;AN7&amp;"'"&amp;"!A:A"),"总价",INDIRECT("'"&amp;AN7&amp;"'"&amp;"!B:B"))</f>
        <v>114611</v>
      </c>
      <c r="AP7" s="2305">
        <f t="shared" ref="AP7:AP13" si="10">IF(C7="住宅",K7*L7,0)</f>
        <v>0</v>
      </c>
      <c r="AQ7" s="55">
        <f t="shared" ref="AQ7:AQ13" si="11">ROUND($L$14*$N$14*S7/10000,0)</f>
        <v>372</v>
      </c>
      <c r="AR7" s="55">
        <f t="shared" ref="AR7:AR13" si="12">ROUND($L$14*(1-$N$14)*S7/10000,0)</f>
        <v>200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车库</v>
      </c>
      <c r="B8" s="2302" t="str">
        <f t="shared" si="1"/>
        <v>经营性</v>
      </c>
      <c r="C8" s="2303" t="s">
        <v>3063</v>
      </c>
      <c r="D8" s="1047">
        <f>SUMIF(项目基本情况!D$12:I$12,C8,项目基本情况!D$14:I$14)</f>
        <v>50</v>
      </c>
      <c r="E8" s="1044">
        <f>IF(B8="","",SUMIF(项目基本情况!D$12:I$12,C8,项目基本情况!D$13:I$13))</f>
        <v>57002</v>
      </c>
      <c r="F8" s="72">
        <f>SUMIF(项目基本情况!D$12:I$12,C8,项目基本情况!D$15:I$15)</f>
        <v>36.29</v>
      </c>
      <c r="G8" s="73">
        <f t="shared" si="2"/>
        <v>0.89700000000000002</v>
      </c>
      <c r="H8" s="802">
        <v>4.4999999999999998E-2</v>
      </c>
      <c r="I8" s="802">
        <v>0.05</v>
      </c>
      <c r="J8" s="74">
        <v>8.5000000000000006E-2</v>
      </c>
      <c r="K8" s="1247">
        <f>SUMIF('数据-汇总表'!C$19:C$33,A8,'数据-汇总表'!E$19:E$33)</f>
        <v>3919.01</v>
      </c>
      <c r="L8" s="803">
        <v>4500</v>
      </c>
      <c r="M8" s="75">
        <f>ROUND(K8*L8/10000,0)</f>
        <v>1764</v>
      </c>
      <c r="N8" s="801">
        <f t="shared" ref="N8:N9" si="13">N7</f>
        <v>0.65</v>
      </c>
      <c r="O8" s="75">
        <f t="shared" si="3"/>
        <v>1147</v>
      </c>
      <c r="P8" s="76">
        <f t="shared" si="4"/>
        <v>617</v>
      </c>
      <c r="Q8" s="804">
        <v>0.05</v>
      </c>
      <c r="R8" s="77">
        <f ca="1">SUMIF('数据-汇总表'!C$19:C$33,A8,'数据-汇总表'!R$19:R$27)</f>
        <v>602.32000000000005</v>
      </c>
      <c r="S8" s="54">
        <f>IF('数据-汇总表'!$I$17="按面积比例",SUMIF('数据-汇总表'!C$19:C$33,A8,'数据-汇总表'!K$19:K$33),SUMIF('数据-汇总表'!C$19:C$33,A8,'数据-汇总表'!N$19:N$33))</f>
        <v>255.51</v>
      </c>
      <c r="T8" s="1439">
        <f t="shared" si="5"/>
        <v>115</v>
      </c>
      <c r="U8" s="805">
        <v>1500</v>
      </c>
      <c r="V8" s="806">
        <v>2.5000000000000001E-2</v>
      </c>
      <c r="W8" s="806">
        <v>0.1</v>
      </c>
      <c r="X8" s="1257"/>
      <c r="Y8" s="80">
        <v>1</v>
      </c>
      <c r="Z8" s="81"/>
      <c r="AA8" s="74"/>
      <c r="AB8" s="74"/>
      <c r="AC8" s="1257"/>
      <c r="AD8" s="82"/>
      <c r="AE8" s="1258">
        <f t="shared" ca="1" si="6"/>
        <v>35.589999999999996</v>
      </c>
      <c r="AF8" s="1800"/>
      <c r="AG8" s="147">
        <f t="shared" si="7"/>
        <v>0</v>
      </c>
      <c r="AH8" s="807">
        <f>ROUNDDOWN(K8/35,0)</f>
        <v>111</v>
      </c>
      <c r="AI8" s="85">
        <v>12</v>
      </c>
      <c r="AJ8" s="86"/>
      <c r="AK8" s="87">
        <f t="shared" ref="AK8:AK9" si="14">AK7</f>
        <v>1.4999999999999999E-2</v>
      </c>
      <c r="AL8" s="87">
        <f t="shared" ref="AL8:AL9" si="15">AL7</f>
        <v>1.5E-3</v>
      </c>
      <c r="AM8" s="87">
        <f t="shared" ref="AM8:AM9" si="16">AM7</f>
        <v>0.01</v>
      </c>
      <c r="AN8" s="2304" t="s">
        <v>3100</v>
      </c>
      <c r="AO8" s="55">
        <f t="shared" ca="1" si="9"/>
        <v>1497</v>
      </c>
      <c r="AP8" s="2305">
        <f t="shared" si="10"/>
        <v>0</v>
      </c>
      <c r="AQ8" s="55">
        <f t="shared" si="11"/>
        <v>75</v>
      </c>
      <c r="AR8" s="55">
        <f t="shared" si="12"/>
        <v>40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t="str">
        <f>'数据-汇总表'!C22</f>
        <v>库房</v>
      </c>
      <c r="B9" s="2302" t="str">
        <f t="shared" si="1"/>
        <v>经营性</v>
      </c>
      <c r="C9" s="2303" t="s">
        <v>3064</v>
      </c>
      <c r="D9" s="1047">
        <f>SUMIF(项目基本情况!D$12:I$12,C9,项目基本情况!D$14:I$14)</f>
        <v>50</v>
      </c>
      <c r="E9" s="1044">
        <f>IF(B9="","",SUMIF(项目基本情况!D$12:I$12,C9,项目基本情况!D$13:I$13))</f>
        <v>57002</v>
      </c>
      <c r="F9" s="72">
        <f>SUMIF(项目基本情况!D$12:I$12,C9,项目基本情况!D$15:I$15)</f>
        <v>36.29</v>
      </c>
      <c r="G9" s="73">
        <f t="shared" si="2"/>
        <v>0.89700000000000002</v>
      </c>
      <c r="H9" s="74">
        <v>4.4999999999999998E-2</v>
      </c>
      <c r="I9" s="74">
        <v>0.05</v>
      </c>
      <c r="J9" s="74">
        <v>8.5000000000000006E-2</v>
      </c>
      <c r="K9" s="1247">
        <f>SUMIF('数据-汇总表'!C$19:C$33,A9,'数据-汇总表'!E$19:E$33)</f>
        <v>2241.69</v>
      </c>
      <c r="L9" s="803">
        <f>L8</f>
        <v>4500</v>
      </c>
      <c r="M9" s="75">
        <f t="shared" si="0"/>
        <v>1009</v>
      </c>
      <c r="N9" s="801">
        <f t="shared" si="13"/>
        <v>0.65</v>
      </c>
      <c r="O9" s="75">
        <f t="shared" si="3"/>
        <v>656</v>
      </c>
      <c r="P9" s="76">
        <f t="shared" si="4"/>
        <v>353</v>
      </c>
      <c r="Q9" s="90">
        <v>0.05</v>
      </c>
      <c r="R9" s="77">
        <f ca="1">SUMIF('数据-汇总表'!C$19:C$33,A9,'数据-汇总表'!R$19:R$27)</f>
        <v>344.53</v>
      </c>
      <c r="S9" s="54">
        <f>IF('数据-汇总表'!$I$17="按面积比例",SUMIF('数据-汇总表'!C$19:C$33,A9,'数据-汇总表'!K$19:K$33),SUMIF('数据-汇总表'!C$19:C$33,A9,'数据-汇总表'!N$19:N$33))</f>
        <v>146.15</v>
      </c>
      <c r="T9" s="1439">
        <f t="shared" si="5"/>
        <v>66</v>
      </c>
      <c r="U9" s="78">
        <v>1.5</v>
      </c>
      <c r="V9" s="79">
        <v>2.5000000000000001E-2</v>
      </c>
      <c r="W9" s="79">
        <v>0.1</v>
      </c>
      <c r="X9" s="1257"/>
      <c r="Y9" s="80">
        <v>1</v>
      </c>
      <c r="Z9" s="81"/>
      <c r="AA9" s="74"/>
      <c r="AB9" s="74"/>
      <c r="AC9" s="1257"/>
      <c r="AD9" s="82"/>
      <c r="AE9" s="1258">
        <f t="shared" ca="1" si="6"/>
        <v>35.589999999999996</v>
      </c>
      <c r="AF9" s="1800"/>
      <c r="AG9" s="147">
        <f t="shared" si="7"/>
        <v>0</v>
      </c>
      <c r="AH9" s="83"/>
      <c r="AI9" s="85">
        <v>365</v>
      </c>
      <c r="AJ9" s="86"/>
      <c r="AK9" s="87">
        <f t="shared" si="14"/>
        <v>1.4999999999999999E-2</v>
      </c>
      <c r="AL9" s="87">
        <f t="shared" si="15"/>
        <v>1.5E-3</v>
      </c>
      <c r="AM9" s="87">
        <f t="shared" si="16"/>
        <v>0.01</v>
      </c>
      <c r="AN9" s="2304" t="s">
        <v>3102</v>
      </c>
      <c r="AO9" s="55">
        <f t="shared" ca="1" si="9"/>
        <v>2419</v>
      </c>
      <c r="AP9" s="2305">
        <f t="shared" si="10"/>
        <v>0</v>
      </c>
      <c r="AQ9" s="55">
        <f t="shared" si="11"/>
        <v>43</v>
      </c>
      <c r="AR9" s="55">
        <f t="shared" si="12"/>
        <v>23</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2010</v>
      </c>
      <c r="B14" s="2302" t="s">
        <v>2011</v>
      </c>
      <c r="C14" s="2307" t="s">
        <v>2010</v>
      </c>
      <c r="D14" s="1047"/>
      <c r="E14" s="1044"/>
      <c r="F14" s="72"/>
      <c r="G14" s="73"/>
      <c r="H14" s="1246"/>
      <c r="I14" s="1246"/>
      <c r="J14" s="1246"/>
      <c r="K14" s="1247">
        <f>SUMIF('数据-汇总表'!C$19:C$33,A14,'数据-汇总表'!E$19:E$33)</f>
        <v>1695.3</v>
      </c>
      <c r="L14" s="91">
        <f>L8</f>
        <v>4500</v>
      </c>
      <c r="M14" s="75">
        <f t="shared" si="0"/>
        <v>763</v>
      </c>
      <c r="N14" s="92">
        <f>N9</f>
        <v>0.65</v>
      </c>
      <c r="O14" s="75">
        <f t="shared" si="3"/>
        <v>496</v>
      </c>
      <c r="P14" s="76">
        <f t="shared" si="4"/>
        <v>267</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2012</v>
      </c>
      <c r="B15" s="2302" t="s">
        <v>2011</v>
      </c>
      <c r="C15" s="2307"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2014</v>
      </c>
      <c r="B16" s="97"/>
      <c r="C16" s="1001"/>
      <c r="D16" s="2309"/>
      <c r="E16" s="97"/>
      <c r="F16" s="97"/>
      <c r="G16" s="98">
        <f>ROUND(SUMPRODUCT(G6:G13,K6:K13)/SUMPRODUCT((G6:G13&gt;0)*(K6:K13)),3)</f>
        <v>0.89600000000000002</v>
      </c>
      <c r="H16" s="99">
        <f>ROUND(SUMPRODUCT(H6:H13,K6:K13)/SUMPRODUCT((H6:H13&gt;0)*(K6:K13)),3)</f>
        <v>4.4999999999999998E-2</v>
      </c>
      <c r="I16" s="100"/>
      <c r="J16" s="100"/>
      <c r="K16" s="101">
        <f>SUM(K6:K15)</f>
        <v>27698</v>
      </c>
      <c r="L16" s="102">
        <f>ROUND(M16*10000/SUM(K6:K14),0)</f>
        <v>5217</v>
      </c>
      <c r="M16" s="102">
        <f>SUM(M6:M14)</f>
        <v>14449</v>
      </c>
      <c r="N16" s="103">
        <f>ROUND(SUMPRODUCT(M6:M14,N6:N14)/M16,3)</f>
        <v>0.65</v>
      </c>
      <c r="O16" s="102">
        <f>SUM(O6:O14)</f>
        <v>9392</v>
      </c>
      <c r="P16" s="102">
        <f>SUM(P6:P14)</f>
        <v>5057</v>
      </c>
      <c r="Q16" s="104">
        <f>ROUND(SUMPRODUCT(Q6:Q13,K6:K13)/SUMPRODUCT((Q6:Q13&gt;0)*(K6:K13)),2)</f>
        <v>0.13</v>
      </c>
      <c r="R16" s="1251">
        <f ca="1">SUM(R6:R13)</f>
        <v>3996.41</v>
      </c>
      <c r="S16" s="105">
        <f>SUM(S6:S13)</f>
        <v>1695.3000000000002</v>
      </c>
      <c r="T16" s="106">
        <f>IF(SUMIF(T6:T13,"&lt;9E307")=M14,SUMIF(T6:T13,"&lt;9E307"),"有误，请检查")</f>
        <v>763</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2016</v>
      </c>
      <c r="B19" s="112">
        <v>0</v>
      </c>
      <c r="C19" s="2272" t="s">
        <v>2017</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2018</v>
      </c>
      <c r="B20" s="113">
        <v>2</v>
      </c>
      <c r="C20" s="2272" t="s">
        <v>2019</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2020</v>
      </c>
      <c r="B21" s="113">
        <f>B20*N16</f>
        <v>1.3</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2021</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2022</v>
      </c>
      <c r="B23" s="114">
        <f>B19+B21</f>
        <v>1.3</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2023</v>
      </c>
      <c r="B24" s="115">
        <f>B20-B21</f>
        <v>0.7</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2024</v>
      </c>
      <c r="B26" s="2315" t="s">
        <v>2025</v>
      </c>
      <c r="C26" s="2316" t="s">
        <v>2026</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2027</v>
      </c>
      <c r="B27" s="116">
        <v>160</v>
      </c>
      <c r="C27" s="1760" t="s">
        <v>2028</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2029</v>
      </c>
      <c r="B28" s="119">
        <v>200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2030</v>
      </c>
      <c r="B29" s="121">
        <f>ROUND(B28*K16/10000,0)</f>
        <v>554</v>
      </c>
      <c r="C29" s="1760" t="s">
        <v>2031</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2032</v>
      </c>
      <c r="B30" s="724">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2033</v>
      </c>
      <c r="B31" s="120">
        <f>B30-B32</f>
        <v>120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2034</v>
      </c>
      <c r="B32" s="725">
        <v>80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2035</v>
      </c>
      <c r="B33" s="726">
        <v>0.05</v>
      </c>
      <c r="C33" s="1759" t="s">
        <v>2036</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2037</v>
      </c>
      <c r="B34" s="122">
        <v>0</v>
      </c>
      <c r="C34" s="1759" t="s">
        <v>2038</v>
      </c>
      <c r="D34" s="2273" t="s">
        <v>2039</v>
      </c>
      <c r="E34" s="732"/>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2040</v>
      </c>
      <c r="B35" s="119">
        <v>200</v>
      </c>
      <c r="C35" s="1759" t="s">
        <v>2041</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2042</v>
      </c>
      <c r="B36" s="123">
        <v>1.4999999999999999E-2</v>
      </c>
      <c r="C36" s="1759" t="s">
        <v>2043</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2044</v>
      </c>
      <c r="B37" s="124">
        <v>0.02</v>
      </c>
      <c r="C37" s="1759" t="s">
        <v>2045</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2046</v>
      </c>
      <c r="B38" s="122">
        <v>0.02</v>
      </c>
      <c r="C38" s="1759" t="s">
        <v>2045</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2047</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2048</v>
      </c>
      <c r="B40" s="1296">
        <f ca="1">存贷款利率!G1</f>
        <v>4.7500000000000001E-2</v>
      </c>
      <c r="C40" s="1759" t="s">
        <v>2049</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2050</v>
      </c>
      <c r="B41" s="125">
        <f>B42+B43</f>
        <v>5.6000000000000001E-2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2051</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2052</v>
      </c>
      <c r="B43" s="127">
        <f>B42*(B44+B45+B46)+B47</f>
        <v>6.000000000000001E-3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2053</v>
      </c>
      <c r="B44" s="128">
        <v>7.0000000000000007E-2</v>
      </c>
      <c r="C44" s="1759" t="s">
        <v>2054</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2055</v>
      </c>
      <c r="B45" s="126">
        <v>0.03</v>
      </c>
      <c r="C45" s="1760" t="s">
        <v>2056</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2057</v>
      </c>
      <c r="B46" s="126">
        <v>0.02</v>
      </c>
      <c r="C46" s="1760" t="s">
        <v>2058</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2059</v>
      </c>
      <c r="B47" s="129">
        <v>0</v>
      </c>
      <c r="C47" s="1760" t="s">
        <v>2060</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2061</v>
      </c>
      <c r="B48" s="130">
        <v>0.03</v>
      </c>
      <c r="C48" s="1767" t="s">
        <v>2062</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2063</v>
      </c>
      <c r="B49" s="126">
        <v>5.0000000000000001E-4</v>
      </c>
      <c r="C49" s="1767" t="s">
        <v>2064</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2065</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2066</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2067</v>
      </c>
      <c r="B52" s="133">
        <f>SUMIF(A54:A63,B53,B54:B63)</f>
        <v>30</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2068</v>
      </c>
      <c r="B53" s="2331" t="s">
        <v>212</v>
      </c>
      <c r="C53" s="1423" t="s">
        <v>2069</v>
      </c>
      <c r="D53" s="2332" t="s">
        <v>2070</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2071</v>
      </c>
      <c r="B54" s="84">
        <v>30</v>
      </c>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2072</v>
      </c>
      <c r="B55" s="84">
        <v>24</v>
      </c>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2073</v>
      </c>
      <c r="B56" s="84">
        <v>18</v>
      </c>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2074</v>
      </c>
      <c r="B57" s="84">
        <v>12</v>
      </c>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2075</v>
      </c>
      <c r="B58" s="84">
        <v>3</v>
      </c>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2076</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2077</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2078</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2079</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2080</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2" t="s">
        <v>2081</v>
      </c>
      <c r="B1" s="3063"/>
      <c r="C1" s="3063"/>
      <c r="D1" s="3063"/>
      <c r="E1" s="3063"/>
      <c r="F1" s="3063"/>
      <c r="G1" s="306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54">
      <c r="A3" s="415" t="s">
        <v>2084</v>
      </c>
      <c r="B3" s="1264" t="s">
        <v>2085</v>
      </c>
      <c r="C3" s="2365" t="s">
        <v>2086</v>
      </c>
      <c r="D3" s="2366"/>
      <c r="E3" s="431" t="s">
        <v>2084</v>
      </c>
      <c r="F3" s="2367" t="s">
        <v>2087</v>
      </c>
      <c r="G3" s="2368" t="s">
        <v>2088</v>
      </c>
      <c r="H3" s="2363"/>
      <c r="I3" s="2363"/>
      <c r="J3" s="2363"/>
      <c r="K3" s="2363"/>
      <c r="L3" s="2363"/>
      <c r="M3" s="2363"/>
      <c r="N3" s="2363"/>
      <c r="O3" s="2363"/>
      <c r="P3" s="2363"/>
      <c r="Q3" s="2363"/>
      <c r="R3" s="2363"/>
    </row>
    <row r="4" spans="1:29" ht="41.25">
      <c r="A4" s="431"/>
      <c r="B4" s="1791" t="s">
        <v>2089</v>
      </c>
      <c r="C4" s="2369" t="s">
        <v>2090</v>
      </c>
      <c r="D4" s="2366"/>
      <c r="E4" s="2370"/>
      <c r="F4" s="42" t="s">
        <v>2091</v>
      </c>
      <c r="G4" s="2371" t="s">
        <v>2092</v>
      </c>
      <c r="H4" s="2363"/>
      <c r="I4" s="2363"/>
      <c r="J4" s="2363"/>
      <c r="K4" s="2363"/>
      <c r="L4" s="2363"/>
      <c r="M4" s="2363"/>
      <c r="N4" s="2363"/>
      <c r="O4" s="2363"/>
      <c r="P4" s="2363"/>
      <c r="Q4" s="2363"/>
      <c r="R4" s="2363"/>
    </row>
    <row r="5" spans="1:29" ht="41.25">
      <c r="A5" s="431"/>
      <c r="B5" s="1791" t="s">
        <v>2093</v>
      </c>
      <c r="C5" s="2369" t="s">
        <v>2094</v>
      </c>
      <c r="D5" s="2366"/>
      <c r="E5" s="2370"/>
      <c r="F5" s="1791" t="s">
        <v>2095</v>
      </c>
      <c r="G5" s="2371" t="s">
        <v>2096</v>
      </c>
      <c r="H5" s="2363"/>
      <c r="I5" s="2363"/>
      <c r="J5" s="2363"/>
      <c r="K5" s="2363"/>
      <c r="L5" s="2363"/>
      <c r="M5" s="2363"/>
      <c r="N5" s="2363"/>
      <c r="O5" s="2363"/>
      <c r="P5" s="2363"/>
      <c r="Q5" s="2363"/>
      <c r="R5" s="2363"/>
    </row>
    <row r="6" spans="1:29" ht="54">
      <c r="A6" s="431"/>
      <c r="B6" s="1791" t="s">
        <v>2097</v>
      </c>
      <c r="C6" s="2371" t="s">
        <v>2092</v>
      </c>
      <c r="D6" s="2366"/>
      <c r="E6" s="2370"/>
      <c r="F6" s="1791" t="s">
        <v>2098</v>
      </c>
      <c r="G6" s="2371" t="s">
        <v>2099</v>
      </c>
      <c r="H6" s="2363"/>
      <c r="I6" s="2363"/>
      <c r="J6" s="2363"/>
      <c r="K6" s="2363"/>
      <c r="L6" s="2363"/>
      <c r="M6" s="2363"/>
      <c r="N6" s="2363"/>
      <c r="O6" s="2363"/>
      <c r="P6" s="2363"/>
      <c r="Q6" s="2363"/>
      <c r="R6" s="2363"/>
    </row>
    <row r="7" spans="1:29" ht="41.25" thickBot="1">
      <c r="A7" s="431"/>
      <c r="B7" s="1791" t="s">
        <v>2095</v>
      </c>
      <c r="C7" s="2371" t="s">
        <v>2096</v>
      </c>
      <c r="D7" s="2372"/>
      <c r="E7" s="2373"/>
      <c r="F7" s="2374" t="s">
        <v>2100</v>
      </c>
      <c r="G7" s="2375" t="s">
        <v>2101</v>
      </c>
      <c r="H7" s="2363"/>
      <c r="I7" s="2363"/>
      <c r="J7" s="2363"/>
      <c r="K7" s="2363"/>
      <c r="L7" s="2363"/>
      <c r="M7" s="2363"/>
      <c r="N7" s="2363"/>
      <c r="O7" s="2363"/>
      <c r="P7" s="2363"/>
      <c r="Q7" s="2363"/>
      <c r="R7" s="2363"/>
    </row>
    <row r="8" spans="1:29" ht="27">
      <c r="A8" s="431"/>
      <c r="B8" s="1791" t="s">
        <v>2098</v>
      </c>
      <c r="C8" s="2371" t="s">
        <v>2099</v>
      </c>
      <c r="D8" s="2372"/>
      <c r="E8" s="2372"/>
      <c r="F8" s="1129"/>
      <c r="G8" s="1129"/>
      <c r="H8" s="2363"/>
      <c r="I8" s="2363"/>
      <c r="J8" s="2363"/>
      <c r="K8" s="2363"/>
      <c r="L8" s="2363"/>
      <c r="M8" s="2363"/>
      <c r="N8" s="2363"/>
      <c r="O8" s="2363"/>
      <c r="P8" s="2363"/>
      <c r="Q8" s="2363"/>
      <c r="R8" s="2363"/>
    </row>
    <row r="9" spans="1:29" ht="27">
      <c r="A9" s="431"/>
      <c r="B9" s="1791" t="s">
        <v>2102</v>
      </c>
      <c r="C9" s="2369" t="s">
        <v>2103</v>
      </c>
      <c r="D9" s="2366"/>
      <c r="E9" s="2372"/>
      <c r="F9" s="1129"/>
      <c r="G9" s="1129"/>
      <c r="H9" s="2363"/>
      <c r="I9" s="2363"/>
      <c r="J9" s="2363"/>
      <c r="K9" s="2363"/>
      <c r="L9" s="2363"/>
      <c r="M9" s="2363"/>
      <c r="N9" s="2363"/>
      <c r="O9" s="2363"/>
      <c r="P9" s="2363"/>
      <c r="Q9" s="2363"/>
      <c r="R9" s="2363"/>
    </row>
    <row r="10" spans="1:29" s="117" customFormat="1" ht="15.75" thickBot="1">
      <c r="A10" s="2376"/>
      <c r="B10" s="2377" t="s">
        <v>2104</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2105</v>
      </c>
      <c r="B13" s="2383"/>
      <c r="C13" s="2383"/>
      <c r="D13" s="2390"/>
      <c r="E13" s="2383"/>
      <c r="F13" s="2383"/>
      <c r="G13" s="2383"/>
    </row>
    <row r="14" spans="1:29" ht="15.75" thickBot="1">
      <c r="A14" s="2394"/>
      <c r="B14" s="2395"/>
      <c r="C14" s="2396" t="s">
        <v>2106</v>
      </c>
      <c r="D14" s="2366"/>
      <c r="E14" s="2397"/>
      <c r="F14" s="2397"/>
      <c r="G14" s="2360" t="s">
        <v>2107</v>
      </c>
    </row>
    <row r="15" spans="1:29" ht="57">
      <c r="A15" s="68" t="s">
        <v>2108</v>
      </c>
      <c r="B15" s="1263" t="s">
        <v>2085</v>
      </c>
      <c r="C15" s="2398" t="str">
        <f>C3</f>
        <v>估价对象周边居住用地比例、居住小区规模和社区发展完善程度，综合评价居住社区成熟度一般</v>
      </c>
      <c r="D15" s="2366"/>
      <c r="E15" s="2399" t="s">
        <v>2109</v>
      </c>
      <c r="F15" s="1263" t="s">
        <v>2110</v>
      </c>
      <c r="G15" s="135" t="str">
        <f>G3</f>
        <v>估价对象位于XX开发区，园区建设成熟度XX，产业集聚程度XX</v>
      </c>
    </row>
    <row r="16" spans="1:29" ht="42.75">
      <c r="A16" s="645"/>
      <c r="B16" s="2400" t="s">
        <v>2089</v>
      </c>
      <c r="C16" s="2401" t="str">
        <f>C4</f>
        <v>估价对象位于XX商圈，周边商业氛围成熟，人流量大，商业繁华度好</v>
      </c>
      <c r="D16" s="2366"/>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2"/>
      <c r="E17" s="2402"/>
      <c r="F17" s="2403" t="s">
        <v>2111</v>
      </c>
      <c r="G17" s="1565"/>
    </row>
    <row r="18" spans="1:18" ht="57">
      <c r="A18" s="645"/>
      <c r="B18" s="2403" t="s">
        <v>2097</v>
      </c>
      <c r="C18" s="136" t="str">
        <f>C6</f>
        <v>估价对象周边道路状况、公共交通通达情况、停车便捷程度，综合评价交通便捷度较好</v>
      </c>
      <c r="D18" s="2372"/>
      <c r="E18" s="2402"/>
      <c r="F18" s="2403" t="s">
        <v>2100</v>
      </c>
      <c r="G18" s="136" t="str">
        <f>G7</f>
        <v>该园区内是否有污染型企业，绿化情况，卫生条件，整体环境状况判断</v>
      </c>
    </row>
    <row r="19" spans="1:18" ht="28.5">
      <c r="A19" s="645"/>
      <c r="B19" s="2403" t="s">
        <v>2112</v>
      </c>
      <c r="C19" s="1565"/>
      <c r="D19" s="2366"/>
      <c r="E19" s="2402"/>
      <c r="F19" s="1791" t="s">
        <v>2095</v>
      </c>
      <c r="G19" s="136" t="str">
        <f>G5</f>
        <v>估价对象所在区域公共配套设施齐备情况</v>
      </c>
    </row>
    <row r="20" spans="1:18" ht="28.5">
      <c r="A20" s="645"/>
      <c r="B20" s="2403" t="s">
        <v>2113</v>
      </c>
      <c r="C20" s="2401" t="str">
        <f>C9</f>
        <v>区域自然环境：；人文环境；综合评价环境状况一般</v>
      </c>
      <c r="D20" s="2372"/>
      <c r="E20" s="2402"/>
      <c r="F20" s="1791" t="s">
        <v>2114</v>
      </c>
      <c r="G20" s="136" t="str">
        <f>G6</f>
        <v>估价对象所在区域基础设施水平</v>
      </c>
    </row>
    <row r="21" spans="1:18" ht="28.5">
      <c r="A21" s="645"/>
      <c r="B21" s="1791" t="s">
        <v>2095</v>
      </c>
      <c r="C21" s="136" t="str">
        <f>C7</f>
        <v>估价对象所在区域公共配套设施齐备情况</v>
      </c>
      <c r="D21" s="2366"/>
      <c r="E21" s="2402"/>
      <c r="F21" s="2403" t="s">
        <v>2115</v>
      </c>
      <c r="G21" s="2404"/>
    </row>
    <row r="22" spans="1:18" ht="13.5" customHeight="1">
      <c r="A22" s="645"/>
      <c r="B22" s="1791" t="s">
        <v>2098</v>
      </c>
      <c r="C22" s="136" t="str">
        <f>C8</f>
        <v>估价对象所在区域基础设施水平</v>
      </c>
      <c r="D22" s="2366"/>
      <c r="E22" s="2402"/>
      <c r="F22" s="2403" t="s">
        <v>2104</v>
      </c>
      <c r="G22" s="1565"/>
    </row>
    <row r="23" spans="1:18" s="2363" customFormat="1" ht="15.75" thickBot="1">
      <c r="A23" s="645"/>
      <c r="B23" s="2403" t="s">
        <v>2115</v>
      </c>
      <c r="C23" s="2404"/>
      <c r="D23" s="2391"/>
      <c r="E23" s="2405"/>
      <c r="F23" s="2406" t="s">
        <v>2116</v>
      </c>
      <c r="G23" s="2407"/>
      <c r="H23" s="2391"/>
      <c r="I23" s="2392"/>
      <c r="J23" s="2391"/>
      <c r="K23" s="2391"/>
      <c r="L23" s="2392"/>
      <c r="M23" s="2391"/>
      <c r="N23" s="2391"/>
      <c r="O23" s="2392"/>
      <c r="P23" s="2391"/>
      <c r="Q23" s="2391"/>
      <c r="R23" s="2393"/>
    </row>
    <row r="24" spans="1:18" s="2363" customFormat="1" ht="15.75" thickBot="1">
      <c r="A24" s="2408"/>
      <c r="B24" s="2406" t="s">
        <v>2117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27698</v>
      </c>
      <c r="C1" s="1738"/>
      <c r="D1" s="1738"/>
      <c r="E1" s="1738"/>
      <c r="F1" s="1738"/>
      <c r="G1" s="1736"/>
    </row>
    <row r="2" spans="1:10" ht="16.5">
      <c r="A2" s="1739" t="s">
        <v>1349</v>
      </c>
      <c r="B2" s="1739">
        <f>SUM(C14:C23)</f>
        <v>3996.4</v>
      </c>
      <c r="C2" s="1738"/>
      <c r="D2" s="1738"/>
      <c r="E2" s="1738"/>
      <c r="F2" s="1738"/>
      <c r="G2" s="1736"/>
    </row>
    <row r="3" spans="1:10" ht="16.5">
      <c r="A3" s="1739" t="s">
        <v>1358</v>
      </c>
      <c r="B3" s="1740">
        <f>项目基本情况!D3</f>
        <v>43754</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106238</v>
      </c>
      <c r="C5" s="1739">
        <f ca="1">ROUND(B5*10000/$B$1,0)</f>
        <v>38356</v>
      </c>
      <c r="D5" s="1739">
        <f ca="1">ROUND(B5*10000/$B$2,0)</f>
        <v>265834</v>
      </c>
      <c r="E5" s="1738"/>
      <c r="F5" s="1736"/>
      <c r="G5" s="1736"/>
    </row>
    <row r="6" spans="1:10" ht="16.5">
      <c r="A6" s="1739" t="s">
        <v>1352</v>
      </c>
      <c r="B6" s="1739">
        <f ca="1">SUM(G14:G23)</f>
        <v>106238</v>
      </c>
      <c r="C6" s="1739">
        <f ca="1">ROUND(B6*10000/$B$1,0)</f>
        <v>38356</v>
      </c>
      <c r="D6" s="1739">
        <f ca="1">ROUND(B6*10000/$B$2,0)</f>
        <v>265834</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27698</v>
      </c>
      <c r="C14" s="1737">
        <f>结果表!C118</f>
        <v>3996.4</v>
      </c>
      <c r="D14" s="1737">
        <f ca="1">结果表!H118</f>
        <v>106238</v>
      </c>
      <c r="E14" s="1737">
        <f ca="1">ROUND(D14*10000/B14,0)</f>
        <v>38356</v>
      </c>
      <c r="F14" s="1737">
        <f ca="1">ROUND(D14*10000/C14,0)</f>
        <v>265834</v>
      </c>
      <c r="G14" s="1737">
        <f ca="1">结果表!D122</f>
        <v>106238</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L118" sqref="L11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2118</v>
      </c>
      <c r="B1" s="2414"/>
      <c r="C1" s="2415"/>
      <c r="D1" s="2414"/>
      <c r="E1" s="2414"/>
      <c r="F1" s="2416" t="s">
        <v>2119</v>
      </c>
      <c r="G1" s="2066" t="s">
        <v>2120</v>
      </c>
      <c r="H1" s="2417" t="str">
        <f>IF(G1="现房","——","估价对象范围")</f>
        <v>估价对象范围</v>
      </c>
      <c r="I1" s="2418"/>
    </row>
    <row r="2" spans="1:12" ht="21.75" customHeight="1" thickBot="1">
      <c r="A2" s="3136" t="str">
        <f>项目基本情况!S2</f>
        <v>出让国有建设用地使用权及在建建筑物房地产</v>
      </c>
      <c r="B2" s="3137"/>
      <c r="C2" s="3137"/>
      <c r="D2" s="3137"/>
      <c r="E2" s="3137"/>
      <c r="F2" s="3137"/>
      <c r="G2" s="3137"/>
      <c r="H2" s="3137"/>
      <c r="I2" s="3138"/>
    </row>
    <row r="3" spans="1:12" ht="12.75">
      <c r="A3" s="3139" t="s">
        <v>2121</v>
      </c>
      <c r="B3" s="3140"/>
      <c r="C3" s="3140"/>
      <c r="D3" s="3140"/>
      <c r="E3" s="3140"/>
      <c r="F3" s="3140"/>
      <c r="G3" s="3140"/>
      <c r="H3" s="3140"/>
      <c r="I3" s="3140"/>
    </row>
    <row r="4" spans="1:12" ht="14.25">
      <c r="A4" s="2421" t="s">
        <v>2122</v>
      </c>
      <c r="B4" s="2422" t="s">
        <v>2123</v>
      </c>
      <c r="C4" s="2423" t="s">
        <v>3090</v>
      </c>
      <c r="D4" s="2423" t="s">
        <v>3091</v>
      </c>
      <c r="E4" s="3120" t="s">
        <v>2124</v>
      </c>
      <c r="F4" s="3133"/>
      <c r="G4" s="3133"/>
      <c r="H4" s="3133"/>
      <c r="I4" s="312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11" t="s">
        <v>2125</v>
      </c>
      <c r="B5" s="3037">
        <v>25</v>
      </c>
      <c r="C5" s="3141"/>
      <c r="D5" s="3129"/>
      <c r="E5" s="140" t="s">
        <v>2126</v>
      </c>
      <c r="F5" s="2425"/>
      <c r="G5" s="2425"/>
      <c r="H5" s="2425"/>
      <c r="I5" s="1827"/>
    </row>
    <row r="6" spans="1:12" ht="12.75">
      <c r="A6" s="3111"/>
      <c r="B6" s="3037"/>
      <c r="C6" s="3143"/>
      <c r="D6" s="3129"/>
      <c r="E6" s="140" t="s">
        <v>2127</v>
      </c>
      <c r="F6" s="2425"/>
      <c r="G6" s="2425"/>
      <c r="H6" s="2425"/>
      <c r="I6" s="1827"/>
    </row>
    <row r="7" spans="1:12" ht="12.75">
      <c r="A7" s="3111"/>
      <c r="B7" s="3037"/>
      <c r="C7" s="3142"/>
      <c r="D7" s="3129"/>
      <c r="E7" s="140" t="s">
        <v>2128</v>
      </c>
      <c r="F7" s="2425"/>
      <c r="G7" s="2425"/>
      <c r="H7" s="2425"/>
      <c r="I7" s="1827"/>
    </row>
    <row r="8" spans="1:12" ht="12.75">
      <c r="A8" s="3111" t="s">
        <v>2129</v>
      </c>
      <c r="B8" s="3037">
        <v>15</v>
      </c>
      <c r="C8" s="3141"/>
      <c r="D8" s="3129"/>
      <c r="E8" s="140" t="s">
        <v>2130</v>
      </c>
      <c r="F8" s="2425"/>
      <c r="G8" s="2425"/>
      <c r="H8" s="2425"/>
      <c r="I8" s="1827"/>
    </row>
    <row r="9" spans="1:12" ht="12.75">
      <c r="A9" s="3111"/>
      <c r="B9" s="3037"/>
      <c r="C9" s="3142"/>
      <c r="D9" s="3129"/>
      <c r="E9" s="140" t="s">
        <v>2131</v>
      </c>
      <c r="F9" s="2425"/>
      <c r="G9" s="2425"/>
      <c r="H9" s="2425"/>
      <c r="I9" s="1827"/>
    </row>
    <row r="10" spans="1:12" ht="12.75">
      <c r="A10" s="3111" t="s">
        <v>2132</v>
      </c>
      <c r="B10" s="3037">
        <v>15</v>
      </c>
      <c r="C10" s="3141"/>
      <c r="D10" s="3129"/>
      <c r="E10" s="140" t="s">
        <v>2133</v>
      </c>
      <c r="F10" s="2425"/>
      <c r="G10" s="2425"/>
      <c r="H10" s="2425"/>
      <c r="I10" s="1827"/>
    </row>
    <row r="11" spans="1:12" ht="12.75">
      <c r="A11" s="3111"/>
      <c r="B11" s="3037"/>
      <c r="C11" s="3142"/>
      <c r="D11" s="3129"/>
      <c r="E11" s="140" t="s">
        <v>2134</v>
      </c>
      <c r="F11" s="2425"/>
      <c r="G11" s="2425"/>
      <c r="H11" s="2425"/>
      <c r="I11" s="1827"/>
    </row>
    <row r="12" spans="1:12" ht="12.75">
      <c r="A12" s="3111" t="s">
        <v>2135</v>
      </c>
      <c r="B12" s="3037">
        <v>15</v>
      </c>
      <c r="C12" s="3141"/>
      <c r="D12" s="3129"/>
      <c r="E12" s="140" t="s">
        <v>2136</v>
      </c>
      <c r="F12" s="2425"/>
      <c r="G12" s="2425"/>
      <c r="H12" s="2425"/>
      <c r="I12" s="1827"/>
    </row>
    <row r="13" spans="1:12" ht="12.75">
      <c r="A13" s="3111"/>
      <c r="B13" s="3037"/>
      <c r="C13" s="3142"/>
      <c r="D13" s="3129"/>
      <c r="E13" s="140" t="s">
        <v>2137</v>
      </c>
      <c r="F13" s="2425"/>
      <c r="G13" s="2425"/>
      <c r="H13" s="2425"/>
      <c r="I13" s="1827"/>
    </row>
    <row r="14" spans="1:12" ht="12.75">
      <c r="A14" s="3111" t="s">
        <v>2138</v>
      </c>
      <c r="B14" s="3037">
        <v>30</v>
      </c>
      <c r="C14" s="3141">
        <v>5</v>
      </c>
      <c r="D14" s="3129">
        <v>5</v>
      </c>
      <c r="E14" s="140" t="s">
        <v>2139</v>
      </c>
      <c r="F14" s="2425"/>
      <c r="G14" s="2425"/>
      <c r="H14" s="2425"/>
      <c r="I14" s="1827"/>
    </row>
    <row r="15" spans="1:12" ht="12.75">
      <c r="A15" s="3111"/>
      <c r="B15" s="3037"/>
      <c r="C15" s="3143"/>
      <c r="D15" s="3129"/>
      <c r="E15" s="140" t="s">
        <v>2140</v>
      </c>
      <c r="F15" s="2425"/>
      <c r="G15" s="2425"/>
      <c r="H15" s="2425"/>
      <c r="I15" s="1827"/>
    </row>
    <row r="16" spans="1:12" ht="12.75">
      <c r="A16" s="3111"/>
      <c r="B16" s="3037"/>
      <c r="C16" s="3142"/>
      <c r="D16" s="3129"/>
      <c r="E16" s="140" t="s">
        <v>2141</v>
      </c>
      <c r="F16" s="2425"/>
      <c r="G16" s="2425"/>
      <c r="H16" s="2425"/>
      <c r="I16" s="1827"/>
    </row>
    <row r="17" spans="1:35" ht="15">
      <c r="A17" s="2426" t="s">
        <v>2142</v>
      </c>
      <c r="B17" s="64"/>
      <c r="C17" s="141">
        <f>SUM(C5:C16)</f>
        <v>5</v>
      </c>
      <c r="D17" s="141">
        <f>SUM(D5:D16)</f>
        <v>5</v>
      </c>
      <c r="E17" s="138"/>
      <c r="F17" s="138"/>
      <c r="G17" s="138"/>
      <c r="H17" s="138"/>
      <c r="I17" s="138"/>
      <c r="K17" s="2424"/>
      <c r="L17" s="2427" t="s">
        <v>2143</v>
      </c>
      <c r="M17" s="2427" t="s">
        <v>2144</v>
      </c>
    </row>
    <row r="18" spans="1:35" ht="15.75" thickBot="1">
      <c r="A18" s="2428" t="s">
        <v>2145</v>
      </c>
      <c r="B18" s="2429"/>
      <c r="C18" s="142">
        <f>ROUND(C17/SUM(C17:D17),2)</f>
        <v>0.5</v>
      </c>
      <c r="D18" s="142">
        <f>1-C18</f>
        <v>0.5</v>
      </c>
      <c r="E18" s="138"/>
      <c r="F18" s="138"/>
      <c r="G18" s="138"/>
      <c r="H18" s="138"/>
      <c r="I18" s="138"/>
      <c r="K18" s="2424" t="s">
        <v>2146</v>
      </c>
      <c r="L18" s="2424">
        <f>IF(C1="",'数据-汇总表'!E3,SUMIF(项目类型,C1,'数据-汇总表'!E17:E26)+SUMIF(项目类型,C1,'数据-汇总表'!I17:I26))</f>
        <v>27698</v>
      </c>
      <c r="M18" s="2424">
        <f>IF(C1="",'数据-汇总表'!E3,SUMIF(项目类型,C1,'数据-汇总表'!E17:E26))</f>
        <v>27698</v>
      </c>
    </row>
    <row r="19" spans="1:35" ht="15">
      <c r="A19" s="2430" t="s">
        <v>2147</v>
      </c>
      <c r="B19" s="2431" t="s">
        <v>2148</v>
      </c>
      <c r="C19" s="143">
        <f ca="1">SUMIF(INDIRECT("'"&amp;C4&amp;"'"&amp;"!A:A"),结果表!B19,INDIRECT("'"&amp;C4&amp;"'"&amp;"!B:B"))</f>
        <v>116486</v>
      </c>
      <c r="D19" s="144">
        <f ca="1">SUMIF(INDIRECT("'"&amp;D4&amp;"'"&amp;"!A:A"),结果表!B19,INDIRECT("'"&amp;D4&amp;"'"&amp;"!B:B"))</f>
        <v>95990</v>
      </c>
      <c r="E19" s="2430" t="s">
        <v>2149</v>
      </c>
      <c r="F19" s="2431" t="s">
        <v>2148</v>
      </c>
      <c r="G19" s="145">
        <f ca="1">ROUND(C19*$C$18+D19*$D$18,0)</f>
        <v>106238</v>
      </c>
      <c r="H19" s="2432" t="s">
        <v>2150</v>
      </c>
      <c r="I19" s="138"/>
      <c r="K19" s="2424" t="s">
        <v>2151</v>
      </c>
      <c r="L19" s="2424">
        <f>IF(C1="",'数据-汇总表'!D3,SUMIF(项目类型,C1,'数据-汇总表'!D17:D26)+SUMIF(项目类型,C1,'数据-汇总表'!H17:H27))</f>
        <v>3996.4</v>
      </c>
      <c r="M19" s="2424">
        <f>IF(C1="",'数据-汇总表'!D3,SUMIF(项目类型,C1,'数据-汇总表'!D17:D26))</f>
        <v>3996.4</v>
      </c>
    </row>
    <row r="20" spans="1:35" ht="15">
      <c r="A20" s="2433"/>
      <c r="B20" s="1243" t="s">
        <v>2152</v>
      </c>
      <c r="C20" s="146">
        <f ca="1">SUMIF(INDIRECT("'"&amp;C4&amp;"'"&amp;"!A:A"),结果表!B20,INDIRECT("'"&amp;C4&amp;"'"&amp;"!B:B"))</f>
        <v>42056</v>
      </c>
      <c r="D20" s="147">
        <f ca="1">SUMIF(INDIRECT("'"&amp;D4&amp;"'"&amp;"!A:A"),结果表!B20,INDIRECT("'"&amp;D4&amp;"'"&amp;"!B:B"))</f>
        <v>34656</v>
      </c>
      <c r="E20" s="2433"/>
      <c r="F20" s="1243" t="s">
        <v>2152</v>
      </c>
      <c r="G20" s="148">
        <f ca="1">ROUND(C20*$C$18+D20*$D$18,0)</f>
        <v>38356</v>
      </c>
      <c r="H20" s="976" t="s">
        <v>2153</v>
      </c>
      <c r="I20" s="138"/>
    </row>
    <row r="21" spans="1:35" ht="15" customHeight="1" thickBot="1">
      <c r="A21" s="996"/>
      <c r="B21" s="2434" t="s">
        <v>2154</v>
      </c>
      <c r="C21" s="789">
        <f ca="1">ROUND(C19*10000/L19,0)</f>
        <v>291477</v>
      </c>
      <c r="D21" s="790">
        <f ca="1">ROUND(D19*10000/L19,0)</f>
        <v>240191</v>
      </c>
      <c r="E21" s="996"/>
      <c r="F21" s="2434" t="s">
        <v>2154</v>
      </c>
      <c r="G21" s="149">
        <f ca="1">ROUND(G19*10000/L19,0)</f>
        <v>265834</v>
      </c>
      <c r="H21" s="2435" t="s">
        <v>2153</v>
      </c>
      <c r="I21" s="138"/>
    </row>
    <row r="22" spans="1:35" ht="15" thickBot="1">
      <c r="A22" s="2276" t="s">
        <v>2155</v>
      </c>
      <c r="B22" s="2436"/>
      <c r="C22" s="2437"/>
      <c r="D22" s="791">
        <f ca="1">IF(C19&lt;D19,D19/C19-1,C19/D19-1)</f>
        <v>0.21352224190019786</v>
      </c>
      <c r="E22" s="138"/>
      <c r="F22" s="138"/>
      <c r="G22" s="138"/>
      <c r="H22" s="138"/>
      <c r="I22" s="138"/>
    </row>
    <row r="23" spans="1:35" ht="13.5" thickBot="1">
      <c r="A23" s="2414"/>
      <c r="B23" s="2414"/>
      <c r="C23" s="2414"/>
      <c r="D23" s="2414"/>
      <c r="E23" s="138"/>
      <c r="F23" s="138"/>
      <c r="G23" s="138"/>
      <c r="H23" s="138"/>
      <c r="I23" s="138"/>
    </row>
    <row r="24" spans="1:35" ht="14.25">
      <c r="A24" s="3150" t="s">
        <v>2156</v>
      </c>
      <c r="B24" s="2431" t="s">
        <v>2148</v>
      </c>
      <c r="C24" s="145">
        <f>IF(B30=0,0,D30)</f>
        <v>0</v>
      </c>
      <c r="D24" s="2438"/>
      <c r="E24" s="138"/>
      <c r="F24" s="138"/>
      <c r="G24" s="138"/>
      <c r="H24" s="138"/>
      <c r="I24" s="138"/>
    </row>
    <row r="25" spans="1:35" ht="14.25">
      <c r="A25" s="3151"/>
      <c r="B25" s="1243" t="s">
        <v>2152</v>
      </c>
      <c r="C25" s="150">
        <f>IF(B30=0,0,C30)</f>
        <v>0</v>
      </c>
      <c r="D25" s="2439"/>
      <c r="E25" s="138"/>
      <c r="F25" s="138"/>
      <c r="G25" s="138"/>
      <c r="H25" s="138"/>
      <c r="I25" s="138"/>
    </row>
    <row r="26" spans="1:35" ht="13.5" customHeight="1">
      <c r="A26" s="2440" t="s">
        <v>2157</v>
      </c>
      <c r="B26" s="151" t="s">
        <v>2158</v>
      </c>
      <c r="C26" s="151" t="s">
        <v>2159</v>
      </c>
      <c r="D26" s="152" t="s">
        <v>2160</v>
      </c>
      <c r="E26" s="138"/>
      <c r="F26" s="138"/>
      <c r="G26" s="138"/>
      <c r="H26" s="138"/>
      <c r="I26" s="138"/>
    </row>
    <row r="27" spans="1:35" ht="14.25">
      <c r="A27" s="2440"/>
      <c r="B27" s="151">
        <v>0</v>
      </c>
      <c r="C27" s="151">
        <v>0</v>
      </c>
      <c r="D27" s="152">
        <f ca="1">G19/'数据-汇总表'!F31*10000</f>
        <v>53541.981655075091</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2161</v>
      </c>
      <c r="B30" s="151"/>
      <c r="C30" s="151"/>
      <c r="D30" s="151"/>
      <c r="E30" s="291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2162</v>
      </c>
      <c r="B32" s="2444"/>
      <c r="C32" s="153">
        <f ca="1">IF(D32="总价",G19-C24,G20-C25)</f>
        <v>106238</v>
      </c>
      <c r="D32" s="2445" t="s">
        <v>2163</v>
      </c>
      <c r="E32" s="138"/>
      <c r="F32" s="138"/>
      <c r="G32" s="138"/>
      <c r="H32" s="138"/>
      <c r="I32" s="138"/>
    </row>
    <row r="33" spans="1:15" ht="15">
      <c r="A33" s="953" t="s">
        <v>2164</v>
      </c>
      <c r="B33" s="2446"/>
      <c r="C33" s="2447" t="s">
        <v>3105</v>
      </c>
      <c r="D33" s="2448" t="s">
        <v>3090</v>
      </c>
      <c r="E33" s="2449" t="s">
        <v>2165</v>
      </c>
      <c r="F33" s="2450" t="str">
        <f>IF(D32="楼面单价","取值（单价）","取值（总价）")</f>
        <v>取值（总价）</v>
      </c>
      <c r="G33" s="138"/>
      <c r="H33" s="138"/>
      <c r="I33" s="138"/>
    </row>
    <row r="34" spans="1:15" ht="15">
      <c r="A34" s="2451"/>
      <c r="B34" s="2452" t="s">
        <v>2166</v>
      </c>
      <c r="C34" s="157">
        <f ca="1">IF(C33="自定义",F34,C32-C35)</f>
        <v>94127</v>
      </c>
      <c r="D34" s="1051">
        <f ca="1">IF(C33="自定义",ROUND(C34/C32,3),IF(C33="收益比率",SUMIF(INDIRECT("'"&amp;D33&amp;"'"&amp;"!b:b"),"土地收益比率",INDIRECT("'"&amp;D33&amp;"'"&amp;"!c:c")),SUMIF(INDIRECT("'"&amp;D33&amp;"'"&amp;"!b:b"),"土地成本比率",INDIRECT("'"&amp;D33&amp;"'"&amp;"!c:c"))))</f>
        <v>0.88600000000000001</v>
      </c>
      <c r="E34" s="2453" t="s">
        <v>2167</v>
      </c>
      <c r="F34" s="1732"/>
      <c r="G34" s="138"/>
      <c r="H34" s="138"/>
      <c r="I34" s="138"/>
    </row>
    <row r="35" spans="1:15" ht="15.75" thickBot="1">
      <c r="A35" s="2454"/>
      <c r="B35" s="2455" t="s">
        <v>2168</v>
      </c>
      <c r="C35" s="1437">
        <f ca="1">IF(C33="自定义",F35,ROUND(C32*D35,0))</f>
        <v>12111</v>
      </c>
      <c r="D35" s="1438">
        <f ca="1">IF(C33="自定义",ROUND(C35/C32,3),IF(C33="收益比率",SUMIF(INDIRECT("'"&amp;D33&amp;"'"&amp;"!b:b"),"建筑物收益比率",INDIRECT("'"&amp;D33&amp;"'"&amp;"!c:c")),SUMIF(INDIRECT("'"&amp;D33&amp;"'"&amp;"!b:b"),"建筑物成本比率",INDIRECT("'"&amp;D33&amp;"'"&amp;"!c:c"))))</f>
        <v>0.114</v>
      </c>
      <c r="E35" s="2456" t="s">
        <v>2169</v>
      </c>
      <c r="F35" s="163"/>
      <c r="G35" s="138"/>
      <c r="H35" s="138"/>
      <c r="I35" s="138"/>
    </row>
    <row r="36" spans="1:15" ht="15.75" thickBot="1">
      <c r="A36" s="3130" t="s">
        <v>2170</v>
      </c>
      <c r="B36" s="2457" t="s">
        <v>2171</v>
      </c>
      <c r="C36" s="154"/>
      <c r="D36" s="2458"/>
      <c r="E36" s="2459"/>
      <c r="F36" s="2460"/>
      <c r="G36" s="138"/>
      <c r="H36" s="138"/>
      <c r="I36" s="138"/>
    </row>
    <row r="37" spans="1:15" ht="15.75" thickBot="1">
      <c r="A37" s="3131"/>
      <c r="B37" s="2262" t="s">
        <v>2172</v>
      </c>
      <c r="C37" s="156"/>
      <c r="D37" s="1388"/>
      <c r="E37" s="1388"/>
      <c r="F37" s="2460"/>
      <c r="G37" s="138"/>
      <c r="H37" s="138"/>
      <c r="I37" s="138"/>
    </row>
    <row r="38" spans="1:15" ht="15.75" thickBot="1">
      <c r="A38" s="3132"/>
      <c r="B38" s="2461" t="s">
        <v>2173</v>
      </c>
      <c r="C38" s="727"/>
      <c r="D38" s="2462" t="s">
        <v>2174</v>
      </c>
      <c r="E38" s="1388"/>
      <c r="F38" s="2460"/>
      <c r="G38" s="138"/>
      <c r="H38" s="138"/>
      <c r="I38" s="138"/>
    </row>
    <row r="39" spans="1:15" ht="15">
      <c r="A39" s="2433" t="s">
        <v>2175</v>
      </c>
      <c r="B39" s="2463" t="s">
        <v>2176</v>
      </c>
      <c r="C39" s="2464" t="s">
        <v>2177</v>
      </c>
      <c r="D39" s="2464" t="s">
        <v>2178</v>
      </c>
      <c r="E39" s="2465" t="s">
        <v>2179</v>
      </c>
      <c r="F39" s="2460"/>
      <c r="G39" s="138"/>
      <c r="H39" s="138"/>
      <c r="I39" s="138"/>
    </row>
    <row r="40" spans="1:15" ht="14.25">
      <c r="A40" s="2466" t="s">
        <v>2180</v>
      </c>
      <c r="B40" s="158"/>
      <c r="C40" s="159"/>
      <c r="D40" s="159"/>
      <c r="E40" s="160"/>
      <c r="F40" s="2460"/>
      <c r="G40" s="138"/>
      <c r="H40" s="138"/>
      <c r="I40" s="138"/>
    </row>
    <row r="41" spans="1:15" ht="14.25">
      <c r="A41" s="2466" t="s">
        <v>2181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147" t="s">
        <v>2184</v>
      </c>
      <c r="B45" s="3148"/>
      <c r="C45" s="3149"/>
      <c r="D45" s="164">
        <f ca="1">ROUND(H101*F45,0)</f>
        <v>106238</v>
      </c>
      <c r="E45" s="165" t="s">
        <v>2185</v>
      </c>
      <c r="F45" s="166">
        <v>1</v>
      </c>
      <c r="G45" s="167" t="s">
        <v>2186</v>
      </c>
      <c r="H45" s="138"/>
      <c r="I45" s="138"/>
      <c r="J45" s="3066" t="s">
        <v>2187</v>
      </c>
      <c r="K45" s="3066"/>
      <c r="L45" s="3066"/>
      <c r="M45" s="3066"/>
      <c r="N45" s="3066"/>
      <c r="O45" s="3066"/>
    </row>
    <row r="46" spans="1:15" ht="14.25" customHeight="1">
      <c r="A46" s="3144" t="s">
        <v>2188</v>
      </c>
      <c r="B46" s="3145"/>
      <c r="C46" s="3145"/>
      <c r="D46" s="3145"/>
      <c r="E46" s="3145"/>
      <c r="F46" s="3145"/>
      <c r="G46" s="3146"/>
      <c r="H46" s="2476"/>
      <c r="I46" s="168"/>
      <c r="J46" s="1805">
        <v>1</v>
      </c>
      <c r="K46" s="3066" t="s">
        <v>2189</v>
      </c>
      <c r="L46" s="3066"/>
      <c r="M46" s="3067"/>
      <c r="N46" s="3067"/>
      <c r="O46" s="3067"/>
    </row>
    <row r="47" spans="1:15" ht="12" customHeight="1">
      <c r="A47" s="169" t="s">
        <v>2190</v>
      </c>
      <c r="B47" s="170"/>
      <c r="C47" s="171"/>
      <c r="D47" s="172" t="s">
        <v>2191</v>
      </c>
      <c r="E47" s="24" t="s">
        <v>2192</v>
      </c>
      <c r="F47" s="173" t="s">
        <v>2193</v>
      </c>
      <c r="G47" s="174" t="s">
        <v>2194</v>
      </c>
      <c r="H47" s="2476"/>
      <c r="I47" s="168"/>
      <c r="J47" s="1805">
        <v>2</v>
      </c>
      <c r="K47" s="3066" t="s">
        <v>2195</v>
      </c>
      <c r="L47" s="3066"/>
      <c r="M47" s="3068">
        <f>'数据-取费表'!B2</f>
        <v>43754</v>
      </c>
      <c r="N47" s="3068"/>
      <c r="O47" s="3068"/>
    </row>
    <row r="48" spans="1:15" ht="25.5">
      <c r="A48" s="3134" t="s">
        <v>2196</v>
      </c>
      <c r="B48" s="3135"/>
      <c r="C48" s="3135"/>
      <c r="D48" s="140">
        <f>IF(H48="情况1",0,IF(H48="情况2",D52,IF(H48="情况3",D53,IF(H48="情况4",D54))))</f>
        <v>0</v>
      </c>
      <c r="E48" s="1794" t="str">
        <f>IF(H48="情况4","(销售额-原购置价)×税（费）率","销售额×税（费）率")</f>
        <v>销售额×税（费）率</v>
      </c>
      <c r="F48" s="175" t="str">
        <f>IF(H48="情况1","免征",'数据-取费表'!B41)</f>
        <v>免征</v>
      </c>
      <c r="G48" s="2477" t="s">
        <v>2197</v>
      </c>
      <c r="H48" s="2478" t="s">
        <v>2198</v>
      </c>
      <c r="I48" s="2476"/>
      <c r="J48" s="1805">
        <v>3</v>
      </c>
      <c r="K48" s="3066" t="s">
        <v>2199</v>
      </c>
      <c r="L48" s="3066"/>
      <c r="M48" s="3069">
        <f ca="1">H101</f>
        <v>106238</v>
      </c>
      <c r="N48" s="3069"/>
      <c r="O48" s="3069"/>
    </row>
    <row r="49" spans="1:35" ht="25.5" customHeight="1">
      <c r="A49" s="176" t="s">
        <v>2200</v>
      </c>
      <c r="B49" s="3114" t="s">
        <v>2201</v>
      </c>
      <c r="C49" s="3114"/>
      <c r="D49" s="177">
        <v>0</v>
      </c>
      <c r="E49" s="23" t="s">
        <v>2202</v>
      </c>
      <c r="F49" s="28" t="s">
        <v>34</v>
      </c>
      <c r="G49" s="3095"/>
      <c r="H49" s="138"/>
      <c r="I49" s="2479"/>
      <c r="J49" s="1805">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2203</v>
      </c>
      <c r="C50" s="3114"/>
      <c r="D50" s="179"/>
      <c r="E50" s="31"/>
      <c r="F50" s="180"/>
      <c r="G50" s="3096"/>
      <c r="H50" s="138"/>
      <c r="I50" s="2479"/>
      <c r="J50" s="3066" t="s">
        <v>2204</v>
      </c>
      <c r="K50" s="3066"/>
      <c r="L50" s="3066"/>
      <c r="M50" s="3066"/>
      <c r="N50" s="3066"/>
      <c r="O50" s="3066"/>
    </row>
    <row r="51" spans="1:35" ht="12" customHeight="1">
      <c r="A51" s="181"/>
      <c r="B51" s="3114" t="s">
        <v>2205</v>
      </c>
      <c r="C51" s="3114"/>
      <c r="D51" s="182"/>
      <c r="E51" s="30"/>
      <c r="F51" s="180"/>
      <c r="G51" s="3097"/>
      <c r="H51" s="138"/>
      <c r="I51" s="2479"/>
      <c r="J51" s="2480" t="s">
        <v>2206</v>
      </c>
      <c r="K51" s="3066" t="s">
        <v>2207</v>
      </c>
      <c r="L51" s="3066"/>
      <c r="M51" s="2480" t="s">
        <v>2208</v>
      </c>
      <c r="N51" s="2480" t="s">
        <v>2209</v>
      </c>
      <c r="O51" s="2480" t="s">
        <v>2210</v>
      </c>
    </row>
    <row r="52" spans="1:35" ht="24" customHeight="1">
      <c r="A52" s="183" t="s">
        <v>2211</v>
      </c>
      <c r="B52" s="3114" t="s">
        <v>2212</v>
      </c>
      <c r="C52" s="3114"/>
      <c r="D52" s="182">
        <f ca="1">ROUND(D45*'数据-取费表'!B41/(1+'数据-取费表'!C42),0)</f>
        <v>5666</v>
      </c>
      <c r="E52" s="11" t="s">
        <v>2213</v>
      </c>
      <c r="F52" s="184">
        <f>'数据-取费表'!B41</f>
        <v>5.6000000000000001E-2</v>
      </c>
      <c r="G52" s="2481"/>
      <c r="H52" s="138"/>
      <c r="I52" s="2479"/>
      <c r="J52" s="1805">
        <v>1</v>
      </c>
      <c r="K52" s="3089" t="s">
        <v>2214</v>
      </c>
      <c r="L52" s="3089"/>
      <c r="M52" s="1747">
        <f>D48</f>
        <v>0</v>
      </c>
      <c r="N52" s="1805" t="str">
        <f>E48</f>
        <v>销售额×税（费）率</v>
      </c>
      <c r="O52" s="1748" t="str">
        <f>F48</f>
        <v>免征</v>
      </c>
    </row>
    <row r="53" spans="1:35" ht="12" customHeight="1">
      <c r="A53" s="183" t="s">
        <v>2215</v>
      </c>
      <c r="B53" s="3115" t="s">
        <v>2216</v>
      </c>
      <c r="C53" s="3116"/>
      <c r="D53" s="182">
        <f ca="1">ROUND(D45*'数据-取费表'!B41/(1+'数据-取费表'!C42),0)</f>
        <v>5666</v>
      </c>
      <c r="E53" s="11" t="s">
        <v>2213</v>
      </c>
      <c r="F53" s="184">
        <f>'数据-取费表'!B41</f>
        <v>5.6000000000000001E-2</v>
      </c>
      <c r="G53" s="2481"/>
      <c r="H53" s="138"/>
      <c r="I53" s="2479"/>
      <c r="J53" s="1805">
        <v>2</v>
      </c>
      <c r="K53" s="3089" t="s">
        <v>2217</v>
      </c>
      <c r="L53" s="3089"/>
      <c r="M53" s="1747">
        <f t="shared" ref="M53:O54" ca="1" si="0">D55</f>
        <v>53</v>
      </c>
      <c r="N53" s="1805" t="str">
        <f t="shared" si="0"/>
        <v>销售额×税（费）率</v>
      </c>
      <c r="O53" s="1748">
        <f t="shared" si="0"/>
        <v>5.0000000000000001E-4</v>
      </c>
    </row>
    <row r="54" spans="1:35" ht="12" customHeight="1">
      <c r="A54" s="183" t="s">
        <v>2218</v>
      </c>
      <c r="B54" s="3115" t="s">
        <v>2219</v>
      </c>
      <c r="C54" s="3116"/>
      <c r="D54" s="182">
        <f ca="1">C68</f>
        <v>5666</v>
      </c>
      <c r="E54" s="30" t="s">
        <v>2220</v>
      </c>
      <c r="F54" s="184">
        <f>'数据-取费表'!B41</f>
        <v>5.6000000000000001E-2</v>
      </c>
      <c r="G54" s="2481"/>
      <c r="H54" s="2482"/>
      <c r="I54" s="2479"/>
      <c r="J54" s="1805">
        <v>3</v>
      </c>
      <c r="K54" s="3089" t="s">
        <v>2221</v>
      </c>
      <c r="L54" s="3089"/>
      <c r="M54" s="1747">
        <f t="shared" ca="1" si="0"/>
        <v>60131</v>
      </c>
      <c r="N54" s="1805" t="str">
        <f t="shared" si="0"/>
        <v>增值额×税（费）率</v>
      </c>
      <c r="O54" s="1749" t="str">
        <f t="shared" si="0"/>
        <v>——</v>
      </c>
    </row>
    <row r="55" spans="1:35" ht="24" customHeight="1">
      <c r="A55" s="3153" t="s">
        <v>2222</v>
      </c>
      <c r="B55" s="3135"/>
      <c r="C55" s="3135"/>
      <c r="D55" s="185">
        <f ca="1">IF(H55="个人住宅",0,ROUND(D45*I55,0))</f>
        <v>53</v>
      </c>
      <c r="E55" s="11" t="s">
        <v>2223</v>
      </c>
      <c r="F55" s="184">
        <f>IF(H55="正常",I55,"免征")</f>
        <v>5.0000000000000001E-4</v>
      </c>
      <c r="G55" s="2481"/>
      <c r="H55" s="2478" t="s">
        <v>2224</v>
      </c>
      <c r="I55" s="186">
        <f>'数据-取费表'!B49</f>
        <v>5.0000000000000001E-4</v>
      </c>
      <c r="J55" s="1805" t="str">
        <f>IF(H59="非个人房产","",4)</f>
        <v/>
      </c>
      <c r="K55" s="3089" t="str">
        <f>IF(H59="非个人房产","——","个人所得税")</f>
        <v>——</v>
      </c>
      <c r="L55" s="3089"/>
      <c r="M55" s="1750" t="str">
        <f>D59</f>
        <v>——</v>
      </c>
      <c r="N55" s="1803" t="str">
        <f>E59</f>
        <v>——</v>
      </c>
      <c r="O55" s="1751" t="str">
        <f>F59</f>
        <v>——</v>
      </c>
    </row>
    <row r="56" spans="1:35" ht="24.75">
      <c r="A56" s="3153" t="s">
        <v>2225</v>
      </c>
      <c r="B56" s="3135"/>
      <c r="C56" s="3135"/>
      <c r="D56" s="185">
        <f ca="1">IF(H56="个人住宅",D57,D58)</f>
        <v>60131</v>
      </c>
      <c r="E56" s="11" t="s">
        <v>2226</v>
      </c>
      <c r="F56" s="184" t="str">
        <f>IF(H56="正常",F58,"免征")</f>
        <v>——</v>
      </c>
      <c r="G56" s="2483" t="s">
        <v>2227</v>
      </c>
      <c r="H56" s="2484" t="s">
        <v>2224</v>
      </c>
      <c r="I56" s="2485"/>
      <c r="J56" s="1805" t="str">
        <f>IF(项目基本情况!K6="上海银行",IF(J55="",4,J55+1),"")</f>
        <v/>
      </c>
      <c r="K56" s="3072" t="str">
        <f>IF(项目基本情况!K6="上海银行","其他处置费用","")</f>
        <v/>
      </c>
      <c r="L56" s="3073"/>
      <c r="M56" s="1747" t="str">
        <f>IF(项目基本情况!K6="上海银行",M69,"")</f>
        <v/>
      </c>
      <c r="N56" s="3075" t="str">
        <f>IF(项目基本情况!K6="上海银行","包含处置中涉及的律师、诉讼、拍卖、评估等费用","")</f>
        <v/>
      </c>
      <c r="O56" s="3076"/>
    </row>
    <row r="57" spans="1:35" ht="12.75">
      <c r="A57" s="183" t="s">
        <v>2200</v>
      </c>
      <c r="B57" s="3120" t="s">
        <v>2228</v>
      </c>
      <c r="C57" s="3121"/>
      <c r="D57" s="187">
        <v>0</v>
      </c>
      <c r="E57" s="23" t="s">
        <v>2202</v>
      </c>
      <c r="F57" s="155"/>
      <c r="G57" s="2481"/>
      <c r="H57" s="2485"/>
      <c r="I57" s="2485"/>
      <c r="J57" s="3089">
        <f>IF(AND(J55="",J56=""),4,IF(项目基本情况!K6="上海银行",结果表!J56+1,结果表!J55+1))</f>
        <v>4</v>
      </c>
      <c r="K57" s="3089" t="s">
        <v>2229</v>
      </c>
      <c r="L57" s="2486" t="s">
        <v>2230</v>
      </c>
      <c r="M57" s="1752"/>
      <c r="N57" s="1753">
        <f ca="1">SUMIF(M52:M56,"&lt;9e307")</f>
        <v>60184</v>
      </c>
      <c r="O57" s="2487"/>
      <c r="P57" s="1746" t="e">
        <f ca="1">N57/M49</f>
        <v>#VALUE!</v>
      </c>
    </row>
    <row r="58" spans="1:35" ht="24.75">
      <c r="A58" s="183" t="s">
        <v>2211</v>
      </c>
      <c r="B58" s="3120" t="s">
        <v>2231</v>
      </c>
      <c r="C58" s="3133"/>
      <c r="D58" s="185">
        <f ca="1">IF(H58="转让取得",C81,C97)</f>
        <v>60131</v>
      </c>
      <c r="E58" s="11" t="s">
        <v>2226</v>
      </c>
      <c r="F58" s="24" t="s">
        <v>34</v>
      </c>
      <c r="G58" s="2481"/>
      <c r="H58" s="2484" t="s">
        <v>2232</v>
      </c>
      <c r="I58" s="2485"/>
      <c r="J58" s="3089"/>
      <c r="K58" s="3089"/>
      <c r="L58" s="2486" t="s">
        <v>2233</v>
      </c>
      <c r="M58" s="1754"/>
      <c r="N58" s="2488" t="str">
        <f ca="1">NUMBERSTRING(INT(N57*10000),2)&amp;"元整"</f>
        <v>陆亿零壹佰捌拾肆万元整</v>
      </c>
      <c r="O58" s="2489"/>
    </row>
    <row r="59" spans="1:35" ht="24.75" thickBot="1">
      <c r="A59" s="3093" t="s">
        <v>2234</v>
      </c>
      <c r="B59" s="3094"/>
      <c r="C59" s="3094"/>
      <c r="D59" s="188" t="str">
        <f>IF(H59="非个人房产","——",IF(H59="个人住宅",0,ROUND(D45*I59,0)))</f>
        <v>——</v>
      </c>
      <c r="E59" s="189" t="str">
        <f>IF(H59="非个人房产","——","销售额×税（费）率")</f>
        <v>——</v>
      </c>
      <c r="F59" s="190" t="str">
        <f>IF(H59="非个人房产","——",IF(H59="个人住宅","免征",I59))</f>
        <v>——</v>
      </c>
      <c r="G59" s="2490" t="s">
        <v>2227</v>
      </c>
      <c r="H59" s="2484" t="s">
        <v>2235</v>
      </c>
      <c r="I59" s="191">
        <v>0.01</v>
      </c>
      <c r="J59" s="3091">
        <f>J57+1</f>
        <v>5</v>
      </c>
      <c r="K59" s="3089" t="s">
        <v>2236</v>
      </c>
      <c r="L59" s="1805" t="s">
        <v>2230</v>
      </c>
      <c r="M59" s="1755"/>
      <c r="N59" s="1756" t="e">
        <f ca="1">M49-N57</f>
        <v>#VALUE!</v>
      </c>
      <c r="O59" s="2491"/>
    </row>
    <row r="60" spans="1:35" ht="12" customHeight="1">
      <c r="A60" s="2492"/>
      <c r="B60" s="2414"/>
      <c r="C60" s="2414"/>
      <c r="D60" s="2414"/>
      <c r="E60" s="2162"/>
      <c r="F60" s="2485"/>
      <c r="G60" s="2485"/>
      <c r="H60" s="2493"/>
      <c r="I60" s="138"/>
      <c r="J60" s="3092"/>
      <c r="K60" s="3089"/>
      <c r="L60" s="2486" t="s">
        <v>2233</v>
      </c>
      <c r="M60" s="1754"/>
      <c r="N60" s="2488" t="e">
        <f ca="1">NUMBERSTRING(INT(N59*10000),2)&amp;"元整"</f>
        <v>#VALUE!</v>
      </c>
      <c r="O60" s="2489"/>
    </row>
    <row r="61" spans="1:35" ht="13.5" thickBot="1">
      <c r="A61" s="3152" t="s">
        <v>2237</v>
      </c>
      <c r="B61" s="3152"/>
      <c r="C61" s="3152"/>
      <c r="D61" s="3152"/>
      <c r="E61" s="3152"/>
      <c r="F61" s="2485"/>
      <c r="G61" s="2485"/>
      <c r="H61" s="2493"/>
      <c r="I61" s="138"/>
      <c r="J61" s="1805">
        <f>J59+1</f>
        <v>6</v>
      </c>
      <c r="K61" s="3089" t="s">
        <v>2238</v>
      </c>
      <c r="L61" s="3089"/>
      <c r="M61" s="1757"/>
      <c r="N61" s="1758" t="e">
        <f ca="1">ROUND(N59*10000/'数据-汇总表'!E3,0)</f>
        <v>#VALUE!</v>
      </c>
      <c r="O61" s="2494"/>
    </row>
    <row r="62" spans="1:35" ht="12.75">
      <c r="A62" s="3109" t="s">
        <v>2239</v>
      </c>
      <c r="B62" s="3110"/>
      <c r="C62" s="1797"/>
      <c r="D62" s="1797" t="s">
        <v>2240</v>
      </c>
      <c r="E62" s="192" t="s">
        <v>2241</v>
      </c>
      <c r="F62" s="2485"/>
      <c r="G62" s="2485"/>
      <c r="H62" s="2493"/>
      <c r="I62" s="138"/>
    </row>
    <row r="63" spans="1:35" ht="12.75">
      <c r="A63" s="203" t="s">
        <v>775</v>
      </c>
      <c r="B63" s="193" t="s">
        <v>2242</v>
      </c>
      <c r="C63" s="194">
        <f ca="1">ROUND((C64+C65)/(1+'数据-取费表'!C42),0)</f>
        <v>101179</v>
      </c>
      <c r="D63" s="195"/>
      <c r="E63" s="196"/>
      <c r="F63" s="2485"/>
      <c r="G63" s="2485"/>
      <c r="H63" s="2493"/>
      <c r="I63" s="138"/>
      <c r="J63" s="3074" t="s">
        <v>2243</v>
      </c>
      <c r="K63" s="2495" t="s">
        <v>2244</v>
      </c>
      <c r="L63" s="1745" t="e">
        <f>IF(M49&gt;10000,M49*0.5%,IF(AND(M49&gt;1000,M49&lt;=10000),M49*1%,IF(AND(M49&gt;100,M49&lt;=1000),M49*3%,IF(AND(M49&gt;10,M49&lt;=100),M49*5%,M49*8%))))</f>
        <v>#VALUE!</v>
      </c>
      <c r="M63" s="24" t="e">
        <f>ROUND(L63,1)</f>
        <v>#VALUE!</v>
      </c>
      <c r="Z63" s="2419"/>
      <c r="AI63" s="2420"/>
    </row>
    <row r="64" spans="1:35" ht="14.25" customHeight="1">
      <c r="A64" s="197" t="s">
        <v>770</v>
      </c>
      <c r="B64" s="198" t="s">
        <v>2245</v>
      </c>
      <c r="C64" s="199">
        <f ca="1">D45</f>
        <v>106238</v>
      </c>
      <c r="D64" s="200" t="s">
        <v>32</v>
      </c>
      <c r="E64" s="201"/>
      <c r="F64" s="2485"/>
      <c r="G64" s="2485"/>
      <c r="H64" s="2493"/>
      <c r="I64" s="138"/>
      <c r="J64" s="3074"/>
      <c r="K64" s="2495" t="s">
        <v>2246</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19"/>
      <c r="AI64" s="2420"/>
    </row>
    <row r="65" spans="1:35" ht="14.25" customHeight="1">
      <c r="A65" s="197" t="s">
        <v>771</v>
      </c>
      <c r="B65" s="198" t="s">
        <v>2248</v>
      </c>
      <c r="C65" s="202"/>
      <c r="D65" s="200"/>
      <c r="E65" s="201"/>
      <c r="F65" s="2485"/>
      <c r="G65" s="2485"/>
      <c r="H65" s="2493"/>
      <c r="I65" s="138"/>
      <c r="J65" s="3074"/>
      <c r="K65" s="2495" t="s">
        <v>2249</v>
      </c>
      <c r="L65" s="1745" t="e">
        <f>IF(M49&gt;1000,M49*0.1%,IF(AND(M49&gt;500,M49&lt;=1000),M49*0.5%,IF(AND(M49&gt;50,M49&lt;=500),M49*1%,IF(AND(M49&gt;1,M49&lt;=50),M49*1.5%))))</f>
        <v>#VALUE!</v>
      </c>
      <c r="M65" s="24" t="e">
        <f t="shared" si="1"/>
        <v>#VALUE!</v>
      </c>
      <c r="N65" s="138" t="s">
        <v>2247</v>
      </c>
      <c r="Z65" s="2419"/>
      <c r="AI65" s="2420"/>
    </row>
    <row r="66" spans="1:35" ht="14.25" customHeight="1">
      <c r="A66" s="203" t="s">
        <v>772</v>
      </c>
      <c r="B66" s="204" t="s">
        <v>2250</v>
      </c>
      <c r="C66" s="205"/>
      <c r="D66" s="206" t="s">
        <v>32</v>
      </c>
      <c r="E66" s="1769" t="s">
        <v>1367</v>
      </c>
      <c r="F66" s="2485"/>
      <c r="G66" s="2485"/>
      <c r="H66" s="2493"/>
      <c r="I66" s="138"/>
      <c r="J66" s="3074"/>
      <c r="K66" s="2495" t="s">
        <v>2251</v>
      </c>
      <c r="L66" s="1745" t="e">
        <f>M49*0.5%</f>
        <v>#VALUE!</v>
      </c>
      <c r="M66" s="24" t="e">
        <f>IF(L66&gt;0.5,0.5,ROUND(L66,0))</f>
        <v>#VALUE!</v>
      </c>
      <c r="N66" s="138" t="s">
        <v>2252</v>
      </c>
      <c r="Z66" s="2419"/>
      <c r="AI66" s="2420"/>
    </row>
    <row r="67" spans="1:35" ht="14.25" customHeight="1">
      <c r="A67" s="203" t="s">
        <v>773</v>
      </c>
      <c r="B67" s="204" t="s">
        <v>2253</v>
      </c>
      <c r="C67" s="207">
        <f ca="1">C63-C66</f>
        <v>101179</v>
      </c>
      <c r="D67" s="200" t="s">
        <v>32</v>
      </c>
      <c r="E67" s="201"/>
      <c r="F67" s="2485"/>
      <c r="G67" s="2485"/>
      <c r="H67" s="2493"/>
      <c r="I67" s="138"/>
      <c r="J67" s="3074"/>
      <c r="K67" s="2495" t="s">
        <v>2254</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2255</v>
      </c>
      <c r="C68" s="210">
        <f ca="1">IF(C67&lt;=0,0,ROUND(C67*D68,0))</f>
        <v>5666</v>
      </c>
      <c r="D68" s="211">
        <f>'数据-取费表'!B41</f>
        <v>5.6000000000000001E-2</v>
      </c>
      <c r="E68" s="212"/>
      <c r="F68" s="2485"/>
      <c r="G68" s="2485"/>
      <c r="H68" s="2493"/>
      <c r="I68" s="138"/>
      <c r="J68" s="3074"/>
      <c r="K68" s="2495" t="s">
        <v>2256</v>
      </c>
      <c r="L68" s="1745"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074"/>
      <c r="K69" s="2495" t="s">
        <v>2257</v>
      </c>
      <c r="L69" s="2501"/>
      <c r="M69" s="24" t="e">
        <f>ROUND(SUM(M63:M68),0)</f>
        <v>#VALUE!</v>
      </c>
      <c r="N69" s="1746"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8" t="s">
        <v>2258</v>
      </c>
      <c r="B70" s="3119"/>
      <c r="C70" s="3119"/>
      <c r="D70" s="3119"/>
      <c r="E70" s="3119"/>
      <c r="F70" s="3119"/>
      <c r="G70" s="3119"/>
      <c r="H70" s="31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9" t="s">
        <v>2239</v>
      </c>
      <c r="B71" s="3110"/>
      <c r="C71" s="1797"/>
      <c r="D71" s="1797" t="s">
        <v>2240</v>
      </c>
      <c r="E71" s="213" t="s">
        <v>2241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2259</v>
      </c>
      <c r="C72" s="207">
        <f ca="1">ROUND(D45/(1+'数据-取费表'!C42),0)</f>
        <v>101179</v>
      </c>
      <c r="D72" s="200" t="s">
        <v>32</v>
      </c>
      <c r="E72" s="1796"/>
      <c r="F72" s="1790"/>
      <c r="G72" s="1790"/>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2260</v>
      </c>
      <c r="C73" s="207">
        <f ca="1">C74+C78</f>
        <v>607</v>
      </c>
      <c r="D73" s="200" t="s">
        <v>32</v>
      </c>
      <c r="E73" s="1796"/>
      <c r="F73" s="1790"/>
      <c r="G73" s="1790"/>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2261</v>
      </c>
      <c r="C74" s="200">
        <f>ROUND(IF(G77="2016年5月1日后购买",C75/(1+'数据-取费表'!C42)+C76+C77,C75+C76+C77),0)</f>
        <v>0</v>
      </c>
      <c r="D74" s="200" t="s">
        <v>32</v>
      </c>
      <c r="E74" s="1796"/>
      <c r="F74" s="1790"/>
      <c r="G74" s="1790"/>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2262</v>
      </c>
      <c r="C75" s="218"/>
      <c r="D75" s="200" t="s">
        <v>32</v>
      </c>
      <c r="E75" s="219" t="s">
        <v>2263</v>
      </c>
      <c r="F75" s="2507" t="s">
        <v>2264</v>
      </c>
      <c r="G75" s="219" t="s">
        <v>2265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2266</v>
      </c>
      <c r="C76" s="200">
        <f>IF(F75="购房发票",ROUND(C75*H75*D76,0),0)</f>
        <v>0</v>
      </c>
      <c r="D76" s="222">
        <v>0.05</v>
      </c>
      <c r="E76" s="3115" t="s">
        <v>2267</v>
      </c>
      <c r="F76" s="3114"/>
      <c r="G76" s="3114"/>
      <c r="H76" s="31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9" t="s">
        <v>2270</v>
      </c>
      <c r="H77" s="180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2271</v>
      </c>
      <c r="C78" s="225">
        <f ca="1">ROUND(D45*D78/(1+'数据-取费表'!C42),0)</f>
        <v>607</v>
      </c>
      <c r="D78" s="226">
        <f>'数据-取费表'!B43</f>
        <v>6.000000000000001E-3</v>
      </c>
      <c r="E78" s="3106" t="s">
        <v>2272</v>
      </c>
      <c r="F78" s="3107"/>
      <c r="G78" s="3107"/>
      <c r="H78" s="310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2273</v>
      </c>
      <c r="C79" s="207">
        <f ca="1">C72-C73</f>
        <v>100572</v>
      </c>
      <c r="D79" s="200" t="s">
        <v>32</v>
      </c>
      <c r="E79" s="1796"/>
      <c r="F79" s="1790"/>
      <c r="G79" s="1790"/>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2274</v>
      </c>
      <c r="C80" s="227">
        <f ca="1">IF(C79&lt;=0,0,C79/C73)</f>
        <v>165.68698517298188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2275</v>
      </c>
      <c r="C81" s="228">
        <f ca="1">ROUND(IF(C79&lt;=0,0,IF(C80&gt;=200%,C79*60%-C73*35%,IF(C80&gt;=100%,C79*50%-C73*15%,IF(C80&gt;=50%,C79*40%-C73*5%,IF(C80&lt;50%,C79*30%,0))))),0)</f>
        <v>60131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8" t="s">
        <v>2276</v>
      </c>
      <c r="B83" s="3119"/>
      <c r="C83" s="3119"/>
      <c r="D83" s="3119"/>
      <c r="E83" s="3119"/>
      <c r="F83" s="3119"/>
      <c r="G83" s="3119"/>
      <c r="H83" s="31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9" t="s">
        <v>2239</v>
      </c>
      <c r="B84" s="3110"/>
      <c r="C84" s="1797"/>
      <c r="D84" s="1797" t="s">
        <v>2240</v>
      </c>
      <c r="E84" s="213" t="s">
        <v>2241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2259</v>
      </c>
      <c r="C85" s="207">
        <f ca="1">ROUND(D45/(1+'数据-取费表'!C42),0)</f>
        <v>101179</v>
      </c>
      <c r="D85" s="200" t="s">
        <v>32</v>
      </c>
      <c r="E85" s="1796"/>
      <c r="F85" s="1790"/>
      <c r="G85" s="1790"/>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2260</v>
      </c>
      <c r="C86" s="207">
        <f ca="1">IF(H88="仅含出让金",C87+C90+C91+C92+C93+C94,C87+C91+C92+C93+C94)</f>
        <v>607</v>
      </c>
      <c r="D86" s="235"/>
      <c r="E86" s="1796"/>
      <c r="F86" s="1790"/>
      <c r="G86" s="1790"/>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2277</v>
      </c>
      <c r="C87" s="225">
        <f>C88+C89</f>
        <v>0</v>
      </c>
      <c r="D87" s="226"/>
      <c r="E87" s="1792"/>
      <c r="F87" s="1793"/>
      <c r="G87" s="1793"/>
      <c r="H87" s="179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2278</v>
      </c>
      <c r="C88" s="236"/>
      <c r="D88" s="226"/>
      <c r="E88" s="237" t="s">
        <v>2279</v>
      </c>
      <c r="F88" s="1793"/>
      <c r="G88" s="238"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2268</v>
      </c>
      <c r="C89" s="225">
        <f>ROUND(C88*D89,0)</f>
        <v>0</v>
      </c>
      <c r="D89" s="226">
        <f>'数据-取费表'!B48+'数据-取费表'!B49</f>
        <v>3.0499999999999999E-2</v>
      </c>
      <c r="E89" s="237" t="s">
        <v>2281</v>
      </c>
      <c r="F89" s="1793"/>
      <c r="G89" s="1793"/>
      <c r="H89" s="179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2282</v>
      </c>
      <c r="C90" s="236"/>
      <c r="D90" s="226"/>
      <c r="E90" s="237" t="str">
        <f>IF(H88="-","土地取得成本中已包含该笔费用"," ")</f>
        <v xml:space="preserve"> </v>
      </c>
      <c r="F90" s="1793"/>
      <c r="G90" s="1793"/>
      <c r="H90" s="179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2283</v>
      </c>
      <c r="B91" s="198" t="s">
        <v>2284</v>
      </c>
      <c r="C91" s="225">
        <f>IF(H91="——",成本法!C33,I91)</f>
        <v>0</v>
      </c>
      <c r="D91" s="226"/>
      <c r="E91" s="3106" t="s">
        <v>2285</v>
      </c>
      <c r="F91" s="3107"/>
      <c r="G91" s="3107"/>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2287</v>
      </c>
      <c r="B92" s="198" t="s">
        <v>2288</v>
      </c>
      <c r="C92" s="225">
        <f>ROUND((C87+C90+C91)*D92,0)</f>
        <v>0</v>
      </c>
      <c r="D92" s="226">
        <v>0.1</v>
      </c>
      <c r="E92" s="3106" t="s">
        <v>2289</v>
      </c>
      <c r="F92" s="3107"/>
      <c r="G92" s="3107"/>
      <c r="H92" s="310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2290</v>
      </c>
      <c r="B93" s="198" t="s">
        <v>2271</v>
      </c>
      <c r="C93" s="225">
        <f ca="1">ROUND(D45*D93/(1+'数据-取费表'!C42),0)</f>
        <v>607</v>
      </c>
      <c r="D93" s="226">
        <f>'数据-取费表'!B43</f>
        <v>6.000000000000001E-3</v>
      </c>
      <c r="E93" s="3106" t="s">
        <v>2272</v>
      </c>
      <c r="F93" s="3107"/>
      <c r="G93" s="3107"/>
      <c r="H93" s="310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2291</v>
      </c>
      <c r="B94" s="198" t="s">
        <v>2292</v>
      </c>
      <c r="C94" s="236">
        <f>ROUND((C87+C90+C91)*D94,0)</f>
        <v>0</v>
      </c>
      <c r="D94" s="226">
        <v>0.2</v>
      </c>
      <c r="E94" s="3154" t="s">
        <v>2293</v>
      </c>
      <c r="F94" s="3155"/>
      <c r="G94" s="3155"/>
      <c r="H94" s="315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2273</v>
      </c>
      <c r="C95" s="207">
        <f ca="1">ROUND(C85-C86,0)</f>
        <v>100572</v>
      </c>
      <c r="D95" s="200" t="s">
        <v>32</v>
      </c>
      <c r="E95" s="1796"/>
      <c r="F95" s="1790"/>
      <c r="G95" s="1790"/>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2274</v>
      </c>
      <c r="C96" s="227">
        <f ca="1">IF(C95&lt;=0,0,C95/C86)</f>
        <v>165.68698517298188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2275</v>
      </c>
      <c r="C97" s="228">
        <f ca="1">ROUND(IF(C95&lt;=0,0,IF(C96&gt;=200%,C95*60%-C86*35%,IF(C96&gt;=100%,C95*50%-C86*15%,IF(C96&gt;=50%,C95*40%-C86*5%,IF(C96&lt;50%,C95*30%,0))))),0)</f>
        <v>60131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2294</v>
      </c>
      <c r="B99" s="2414"/>
      <c r="C99" s="2414"/>
      <c r="D99" s="2414"/>
      <c r="E99" s="2162"/>
      <c r="F99" s="2162"/>
      <c r="G99" s="2162"/>
      <c r="H99" s="2161"/>
      <c r="I99" s="138"/>
    </row>
    <row r="100" spans="1:35" ht="18.75" customHeight="1">
      <c r="A100" s="3058" t="s">
        <v>2295</v>
      </c>
      <c r="B100" s="3059"/>
      <c r="C100" s="3059"/>
      <c r="D100" s="3090"/>
      <c r="E100" s="3059" t="s">
        <v>2296</v>
      </c>
      <c r="F100" s="3059"/>
      <c r="G100" s="3059"/>
      <c r="H100" s="3090"/>
      <c r="I100" s="138"/>
    </row>
    <row r="101" spans="1:35" ht="18.75" customHeight="1">
      <c r="A101" s="3098" t="s">
        <v>2297</v>
      </c>
      <c r="B101" s="3099"/>
      <c r="C101" s="736" t="str">
        <f>C4</f>
        <v>成本法</v>
      </c>
      <c r="D101" s="737" t="str">
        <f>D4</f>
        <v>假设开发法</v>
      </c>
      <c r="E101" s="3070" t="s">
        <v>2298</v>
      </c>
      <c r="F101" s="3071"/>
      <c r="G101" s="2516" t="s">
        <v>2299</v>
      </c>
      <c r="H101" s="1041">
        <f ca="1">H118</f>
        <v>106238</v>
      </c>
      <c r="I101" s="138"/>
    </row>
    <row r="102" spans="1:35" ht="18.75" customHeight="1">
      <c r="A102" s="3100" t="s">
        <v>2300</v>
      </c>
      <c r="B102" s="2516" t="s">
        <v>2299</v>
      </c>
      <c r="C102" s="736">
        <f ca="1">C19</f>
        <v>116486</v>
      </c>
      <c r="D102" s="737">
        <f ca="1">D19</f>
        <v>95990</v>
      </c>
      <c r="E102" s="3070"/>
      <c r="F102" s="3071"/>
      <c r="G102" s="2516" t="s">
        <v>2301</v>
      </c>
      <c r="H102" s="371">
        <f ca="1">I118</f>
        <v>38356</v>
      </c>
      <c r="I102" s="138"/>
    </row>
    <row r="103" spans="1:35" ht="42.75" customHeight="1">
      <c r="A103" s="3100"/>
      <c r="B103" s="2516" t="s">
        <v>2301</v>
      </c>
      <c r="C103" s="738">
        <f ca="1">C20</f>
        <v>42056</v>
      </c>
      <c r="D103" s="739">
        <f ca="1">D20</f>
        <v>34656</v>
      </c>
      <c r="E103" s="3064" t="s">
        <v>2302</v>
      </c>
      <c r="F103" s="3065"/>
      <c r="G103" s="2517" t="s">
        <v>2303</v>
      </c>
      <c r="H103" s="1041">
        <f>IF(D36="正常操作",H104+H105+H106,H105+H106)</f>
        <v>0</v>
      </c>
      <c r="I103" s="138"/>
    </row>
    <row r="104" spans="1:35" ht="18.75" customHeight="1">
      <c r="A104" s="3100" t="s">
        <v>2304</v>
      </c>
      <c r="B104" s="2518" t="s">
        <v>2299</v>
      </c>
      <c r="C104" s="740">
        <f ca="1">H118</f>
        <v>106238</v>
      </c>
      <c r="D104" s="741"/>
      <c r="E104" s="2262" t="s">
        <v>2305</v>
      </c>
      <c r="F104" s="2254"/>
      <c r="G104" s="2517" t="s">
        <v>2303</v>
      </c>
      <c r="H104" s="1042">
        <f>IF(D36="同一抵押权人同一抵押物续贷",C36&amp;"（未扣减，详见特别提示）",C36)</f>
        <v>0</v>
      </c>
      <c r="I104" s="138"/>
    </row>
    <row r="105" spans="1:35" ht="18.75" customHeight="1" thickBot="1">
      <c r="A105" s="3112"/>
      <c r="B105" s="2519" t="s">
        <v>2301</v>
      </c>
      <c r="C105" s="742">
        <f ca="1">I118</f>
        <v>38356</v>
      </c>
      <c r="D105" s="743"/>
      <c r="E105" s="2262" t="s">
        <v>2306</v>
      </c>
      <c r="F105" s="2254"/>
      <c r="G105" s="2517" t="s">
        <v>2303</v>
      </c>
      <c r="H105" s="1042">
        <f>C37</f>
        <v>0</v>
      </c>
      <c r="I105" s="138"/>
    </row>
    <row r="106" spans="1:35" ht="18.75" customHeight="1">
      <c r="A106" s="2414" t="s">
        <v>2307</v>
      </c>
      <c r="B106" s="2414"/>
      <c r="C106" s="2414"/>
      <c r="D106" s="2414"/>
      <c r="E106" s="2520" t="s">
        <v>2308</v>
      </c>
      <c r="F106" s="2254"/>
      <c r="G106" s="2517" t="s">
        <v>2303</v>
      </c>
      <c r="H106" s="1042">
        <f>C38</f>
        <v>0</v>
      </c>
      <c r="I106" s="138"/>
    </row>
    <row r="107" spans="1:35" ht="18.75" customHeight="1">
      <c r="A107" s="138"/>
      <c r="B107" s="138"/>
      <c r="C107" s="138"/>
      <c r="D107" s="138"/>
      <c r="E107" s="3101" t="str">
        <f>IF(项目基本情况!E8="已注销","——","3.房地产抵押价值")</f>
        <v>3.房地产抵押价值</v>
      </c>
      <c r="F107" s="3071"/>
      <c r="G107" s="2516" t="s">
        <v>2299</v>
      </c>
      <c r="H107" s="1041">
        <f ca="1">IF(E107="——","——",H101-H103)</f>
        <v>106238</v>
      </c>
      <c r="I107" s="138"/>
    </row>
    <row r="108" spans="1:35" ht="18.75" customHeight="1">
      <c r="A108" s="138"/>
      <c r="B108" s="138"/>
      <c r="C108" s="138"/>
      <c r="D108" s="138"/>
      <c r="E108" s="3101"/>
      <c r="F108" s="3071"/>
      <c r="G108" s="2516" t="s">
        <v>2301</v>
      </c>
      <c r="H108" s="371">
        <f ca="1">ROUND(H107*10000/'数据-汇总表'!E3,0)</f>
        <v>38356</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16" t="s">
        <v>2299</v>
      </c>
      <c r="H109" s="348" t="str">
        <f>IF(E109="——","——",H101-H105-H106)</f>
        <v>——</v>
      </c>
      <c r="I109" s="138"/>
    </row>
    <row r="110" spans="1:35" ht="18.75" customHeight="1">
      <c r="A110" s="138"/>
      <c r="B110" s="138"/>
      <c r="C110" s="138"/>
      <c r="D110" s="138"/>
      <c r="E110" s="3101"/>
      <c r="F110" s="3071"/>
      <c r="G110" s="2516" t="s">
        <v>2301</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16" t="s">
        <v>2299</v>
      </c>
      <c r="H111" s="1041" t="str">
        <f>IF(E111="——","——",N59)</f>
        <v>——</v>
      </c>
      <c r="I111" s="138"/>
    </row>
    <row r="112" spans="1:35" ht="18.75" customHeight="1" thickBot="1">
      <c r="A112" s="138"/>
      <c r="B112" s="138"/>
      <c r="C112" s="138"/>
      <c r="D112" s="138"/>
      <c r="E112" s="3104"/>
      <c r="F112" s="3105"/>
      <c r="G112" s="2521" t="s">
        <v>2301</v>
      </c>
      <c r="H112" s="790" t="str">
        <f>IF(E111="——","——",N61)</f>
        <v>——</v>
      </c>
      <c r="I112" s="138"/>
    </row>
    <row r="113" spans="1:11" ht="18.75" customHeight="1">
      <c r="A113" s="138"/>
      <c r="B113" s="138"/>
      <c r="C113" s="138"/>
      <c r="D113" s="138"/>
      <c r="E113" s="3113" t="s">
        <v>2307</v>
      </c>
      <c r="F113" s="3113"/>
      <c r="G113" s="3113"/>
      <c r="H113" s="3113"/>
      <c r="I113" s="138"/>
    </row>
    <row r="114" spans="1:11" ht="3.75" customHeight="1">
      <c r="A114" s="2414"/>
      <c r="B114" s="2414"/>
      <c r="C114" s="2414"/>
      <c r="D114" s="2414"/>
      <c r="E114" s="2492"/>
      <c r="F114" s="2492"/>
      <c r="G114" s="2492"/>
      <c r="H114" s="2492"/>
      <c r="I114" s="2414"/>
    </row>
    <row r="115" spans="1:11" ht="18.75" customHeight="1">
      <c r="A115" s="3126" t="s">
        <v>2309</v>
      </c>
      <c r="B115" s="3127"/>
      <c r="C115" s="3127"/>
      <c r="D115" s="3127"/>
      <c r="E115" s="3127"/>
      <c r="F115" s="3127"/>
      <c r="G115" s="3127"/>
      <c r="H115" s="3127"/>
      <c r="I115" s="3128"/>
    </row>
    <row r="116" spans="1:11" ht="27" customHeight="1">
      <c r="A116" s="3037" t="s">
        <v>2310</v>
      </c>
      <c r="B116" s="3080" t="s">
        <v>2311</v>
      </c>
      <c r="C116" s="3080" t="s">
        <v>2312</v>
      </c>
      <c r="D116" s="3086" t="s">
        <v>2313</v>
      </c>
      <c r="E116" s="3087"/>
      <c r="F116" s="3122" t="s">
        <v>2314</v>
      </c>
      <c r="G116" s="3122"/>
      <c r="H116" s="3037" t="s">
        <v>2315</v>
      </c>
      <c r="I116" s="3037"/>
    </row>
    <row r="117" spans="1:11" ht="18.75" customHeight="1">
      <c r="A117" s="3037"/>
      <c r="B117" s="3081"/>
      <c r="C117" s="3081"/>
      <c r="D117" s="1791" t="s">
        <v>2316</v>
      </c>
      <c r="E117" s="1791" t="s">
        <v>2317</v>
      </c>
      <c r="F117" s="1791" t="s">
        <v>2316</v>
      </c>
      <c r="G117" s="1791" t="s">
        <v>2318</v>
      </c>
      <c r="H117" s="1791" t="s">
        <v>2316</v>
      </c>
      <c r="I117" s="1791" t="s">
        <v>2318</v>
      </c>
    </row>
    <row r="118" spans="1:11" ht="24.75" customHeight="1">
      <c r="A118" s="2522" t="str">
        <f>项目基本情况!S2</f>
        <v>出让国有建设用地使用权及在建建筑物房地产</v>
      </c>
      <c r="B118" s="1791">
        <f>M18</f>
        <v>27698</v>
      </c>
      <c r="C118" s="1791">
        <f>M19</f>
        <v>3996.4</v>
      </c>
      <c r="D118" s="1791">
        <f ca="1">ROUND(IF(D32="总价",C34,E118*B118/10000),0)</f>
        <v>94127</v>
      </c>
      <c r="E118" s="1791">
        <f ca="1">ROUND(IF(C33="自定义",IF(D32="楼面单价",C34,D118*10000/B118),I118-G118),0)</f>
        <v>33983</v>
      </c>
      <c r="F118" s="1791">
        <f ca="1">ROUND(IF(D32="总价",C35,G118*B118/10000),0)</f>
        <v>12111</v>
      </c>
      <c r="G118" s="1791">
        <f ca="1">ROUND(IF(D32="楼面单价",C35,F118*10000/B118),0)</f>
        <v>4373</v>
      </c>
      <c r="H118" s="1791">
        <f ca="1">ROUND(IF(D32="总价",C32,I118*B118/10000),0)</f>
        <v>106238</v>
      </c>
      <c r="I118" s="1791">
        <f ca="1">ROUND(IF(D32="楼面单价",C32,H118*10000/B118),0)</f>
        <v>38356</v>
      </c>
      <c r="J118" s="795">
        <f ca="1">D118/'数据-汇总表'!F31*10000</f>
        <v>47438.262271948392</v>
      </c>
    </row>
    <row r="119" spans="1:11" ht="18.75" customHeight="1">
      <c r="A119" s="3037" t="s">
        <v>2319</v>
      </c>
      <c r="B119" s="3037"/>
      <c r="C119" s="3037"/>
      <c r="D119" s="3082" t="str">
        <f ca="1">NUMBERSTRING(INT(D118*10000),2)&amp;"元整"</f>
        <v>玖亿肆仟壹佰贰拾柒万元整</v>
      </c>
      <c r="E119" s="3083"/>
      <c r="F119" s="3082" t="str">
        <f ca="1">NUMBERSTRING(INT(F118*10000),2)&amp;"元整"</f>
        <v>壹亿贰仟壹佰壹拾壹万元整</v>
      </c>
      <c r="G119" s="3083"/>
      <c r="H119" s="3082" t="str">
        <f ca="1">NUMBERSTRING(INT(H118*10000),2)&amp;"元整"</f>
        <v>壹拾亿陆仟贰佰叁拾捌万元整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19" t="str">
        <f>IF(D120=0,"故，本次评估不存在"&amp;A120,"故，本次评估"&amp;A120&amp;"为人民币"&amp;D120&amp;"万元整。")</f>
        <v>故，本次评估不存在估价师知悉的法定优先受偿款</v>
      </c>
    </row>
    <row r="121" spans="1:11" ht="18.75" customHeight="1">
      <c r="A121" s="3123" t="s">
        <v>2319</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106238</v>
      </c>
      <c r="E122" s="3078"/>
      <c r="F122" s="3078"/>
      <c r="G122" s="3078"/>
      <c r="H122" s="3078"/>
      <c r="I122" s="3079"/>
    </row>
    <row r="123" spans="1:11" ht="18.75" customHeight="1">
      <c r="A123" s="3037" t="s">
        <v>2319</v>
      </c>
      <c r="B123" s="3037"/>
      <c r="C123" s="3037"/>
      <c r="D123" s="3082" t="str">
        <f ca="1">NUMBERSTRING(INT(D122*10000),2)&amp;"元整"</f>
        <v>壹拾亿陆仟贰佰叁拾捌万元整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2319</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2319</v>
      </c>
      <c r="B127" s="3037"/>
      <c r="C127" s="3037"/>
      <c r="D127" s="3082" t="e">
        <f>NUMBERSTRING(INT(D126*10000),2)&amp;"元整"</f>
        <v>#VALUE!</v>
      </c>
      <c r="E127" s="3084"/>
      <c r="F127" s="3084"/>
      <c r="G127" s="3084"/>
      <c r="H127" s="3084"/>
      <c r="I127" s="3083"/>
    </row>
    <row r="128" spans="1:11" ht="21.75" customHeight="1">
      <c r="A128" s="3085" t="s">
        <v>2320</v>
      </c>
      <c r="B128" s="3085"/>
      <c r="C128" s="3085"/>
      <c r="D128" s="3085"/>
      <c r="E128" s="3085"/>
      <c r="F128" s="3085"/>
      <c r="G128" s="3085"/>
      <c r="H128" s="3085"/>
      <c r="I128" s="3085"/>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2323</v>
      </c>
      <c r="G135" s="2540"/>
      <c r="H135" s="2540"/>
      <c r="I135" s="2541" t="s">
        <v>2324</v>
      </c>
    </row>
    <row r="136" spans="1:35" ht="21.75" customHeight="1">
      <c r="A136" s="795"/>
      <c r="B136" s="2542"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2326</v>
      </c>
    </row>
    <row r="139" spans="1:35" ht="21.75" customHeight="1">
      <c r="A139" s="795"/>
      <c r="B139" s="2542" t="s">
        <v>2327</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2326</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L47" sqref="L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2"/>
      <c r="C1" s="242"/>
      <c r="D1" s="242"/>
      <c r="E1" s="242"/>
      <c r="F1" s="242"/>
      <c r="G1" s="1375">
        <f>MATCH(B1,'数据-取费表'!A6:A16,0)+5</f>
        <v>10</v>
      </c>
    </row>
    <row r="2" spans="1:9" s="244" customFormat="1" ht="18" customHeight="1">
      <c r="A2" s="245" t="s">
        <v>2329</v>
      </c>
      <c r="B2" s="246">
        <f ca="1">IF(D2="——",C52,C52-E2)</f>
        <v>116486</v>
      </c>
      <c r="C2" s="243" t="s">
        <v>2330</v>
      </c>
      <c r="D2" s="2545" t="s">
        <v>70</v>
      </c>
      <c r="E2" s="1436" t="e">
        <f ca="1">SUMIF(INDIRECT("'"&amp;G2&amp;"'"&amp;"!A:A"),"承租人权益价值",INDIRECT("'"&amp;G2&amp;"'"&amp;"!c:c"))</f>
        <v>#REF!</v>
      </c>
      <c r="F2" s="2546" t="s">
        <v>2330</v>
      </c>
      <c r="G2" s="2547"/>
    </row>
    <row r="3" spans="1:9" s="244" customFormat="1" ht="18" customHeight="1" thickBot="1">
      <c r="A3" s="247" t="s">
        <v>2331</v>
      </c>
      <c r="B3" s="248">
        <f ca="1">ROUND(B2*10000/(IF(B1="",'数据-汇总表'!E3,INDIRECT("'数据-取费表'!k"&amp;$G$1))),0)</f>
        <v>42056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81610</v>
      </c>
      <c r="D5" s="255" t="s">
        <v>2336</v>
      </c>
      <c r="E5" s="256" t="s">
        <v>2337</v>
      </c>
      <c r="F5" s="256" t="s">
        <v>2338</v>
      </c>
      <c r="G5" s="257"/>
    </row>
    <row r="6" spans="1:9" s="258" customFormat="1" ht="13.5" customHeight="1">
      <c r="A6" s="945" t="s">
        <v>2339</v>
      </c>
      <c r="B6" s="259" t="s">
        <v>2340</v>
      </c>
      <c r="C6" s="260">
        <f ca="1">'基准地价（汇总）'!B2</f>
        <v>78657</v>
      </c>
      <c r="D6" s="261"/>
      <c r="E6" s="262"/>
      <c r="F6" s="262"/>
      <c r="G6" s="263"/>
    </row>
    <row r="7" spans="1:9" s="258" customFormat="1" ht="13.5" customHeight="1">
      <c r="A7" s="945" t="s">
        <v>2341</v>
      </c>
      <c r="B7" s="259" t="s">
        <v>2342</v>
      </c>
      <c r="C7" s="264">
        <f ca="1">ROUND(C6*F7,0)</f>
        <v>2399</v>
      </c>
      <c r="D7" s="264"/>
      <c r="E7" s="262"/>
      <c r="F7" s="265">
        <f>IF(项目基本情况!B8="出让",0,'数据-取费表'!B48+'数据-取费表'!B49)</f>
        <v>3.0499999999999999E-2</v>
      </c>
      <c r="G7" s="263"/>
    </row>
    <row r="8" spans="1:9" s="267" customFormat="1">
      <c r="A8" s="945" t="s">
        <v>2343</v>
      </c>
      <c r="B8" s="259" t="s">
        <v>2344</v>
      </c>
      <c r="C8" s="264">
        <f>IF(G8="已包含在土地购买价格中","0",IF(B1="",'数据-取费表'!B29,IF(G9="全部缴纳",C9+C10,H9)))</f>
        <v>554</v>
      </c>
      <c r="D8" s="266"/>
      <c r="E8" s="264"/>
      <c r="F8" s="265"/>
      <c r="G8" s="2548" t="s">
        <v>3088</v>
      </c>
    </row>
    <row r="9" spans="1:9" s="258" customFormat="1" ht="13.5" customHeight="1">
      <c r="A9" s="946" t="s">
        <v>800</v>
      </c>
      <c r="B9" s="268" t="s">
        <v>2345</v>
      </c>
      <c r="C9" s="269">
        <f ca="1">ROUND(D9*E9/10000,0)</f>
        <v>0</v>
      </c>
      <c r="D9" s="1028">
        <f ca="1">IF(B1="",'数据-汇总表'!E5,IF(INDIRECT("'数据-取费表'!c"&amp;$G$1)="住宅",INDIRECT("'数据-取费表'!k"&amp;$G$1),0))</f>
        <v>0</v>
      </c>
      <c r="E9" s="269">
        <f>'数据-取费表'!B27</f>
        <v>160</v>
      </c>
      <c r="F9" s="265"/>
      <c r="G9" s="2549"/>
      <c r="H9" s="1386"/>
      <c r="I9" s="2550" t="s">
        <v>2346</v>
      </c>
    </row>
    <row r="10" spans="1:9" s="258" customFormat="1" ht="13.5" customHeight="1">
      <c r="A10" s="946" t="s">
        <v>801</v>
      </c>
      <c r="B10" s="268" t="s">
        <v>2347</v>
      </c>
      <c r="C10" s="269">
        <f ca="1">ROUND(D10*E10/10000,0)</f>
        <v>554</v>
      </c>
      <c r="D10" s="1028">
        <f ca="1">IF(B1="",'数据-汇总表'!E6,IF(INDIRECT("'数据-取费表'!c"&amp;$G$1)="住宅",INDIRECT("'数据-取费表'!s"&amp;$G$1),INDIRECT("'数据-取费表'!k"&amp;$G$1)+INDIRECT("'数据-取费表'!s"&amp;$G$1)))</f>
        <v>27698</v>
      </c>
      <c r="E10" s="269">
        <f>'数据-取费表'!B28</f>
        <v>200</v>
      </c>
      <c r="F10" s="265"/>
      <c r="G10" s="270"/>
    </row>
    <row r="11" spans="1:9" s="258" customFormat="1" ht="13.5" hidden="1" customHeight="1">
      <c r="A11" s="271" t="s">
        <v>7</v>
      </c>
      <c r="B11" s="259" t="s">
        <v>2348</v>
      </c>
      <c r="C11" s="255"/>
      <c r="D11" s="1030"/>
      <c r="E11" s="262"/>
      <c r="F11" s="262"/>
      <c r="G11" s="263"/>
    </row>
    <row r="12" spans="1:9" s="258" customFormat="1" ht="13.5" hidden="1" customHeight="1">
      <c r="A12" s="271" t="s">
        <v>8</v>
      </c>
      <c r="B12" s="259" t="s">
        <v>2349</v>
      </c>
      <c r="C12" s="255">
        <v>0</v>
      </c>
      <c r="D12" s="1030"/>
      <c r="E12" s="272"/>
      <c r="F12" s="265">
        <v>3.0499999999999999E-2</v>
      </c>
      <c r="G12" s="263"/>
    </row>
    <row r="13" spans="1:9" s="258" customFormat="1" ht="13.5" hidden="1" customHeight="1">
      <c r="A13" s="271" t="s">
        <v>9</v>
      </c>
      <c r="B13" s="259" t="s">
        <v>2350</v>
      </c>
      <c r="C13" s="255"/>
      <c r="D13" s="1030"/>
      <c r="E13" s="262"/>
      <c r="F13" s="262"/>
      <c r="G13" s="263"/>
    </row>
    <row r="14" spans="1:9" s="258" customFormat="1" ht="13.5" hidden="1" customHeight="1">
      <c r="A14" s="271" t="s">
        <v>10</v>
      </c>
      <c r="B14" s="259" t="s">
        <v>2351</v>
      </c>
      <c r="C14" s="255"/>
      <c r="D14" s="1030"/>
      <c r="E14" s="262"/>
      <c r="F14" s="262"/>
      <c r="G14" s="263" t="s">
        <v>2352</v>
      </c>
    </row>
    <row r="15" spans="1:9" s="258" customFormat="1" ht="13.5" hidden="1" customHeight="1">
      <c r="A15" s="271" t="s">
        <v>11</v>
      </c>
      <c r="B15" s="259" t="s">
        <v>2353</v>
      </c>
      <c r="C15" s="264"/>
      <c r="D15" s="1030"/>
      <c r="E15" s="262"/>
      <c r="F15" s="262"/>
      <c r="G15" s="263" t="s">
        <v>2354</v>
      </c>
    </row>
    <row r="16" spans="1:9" s="258" customFormat="1" ht="13.5" hidden="1" customHeight="1">
      <c r="A16" s="271" t="s">
        <v>12</v>
      </c>
      <c r="B16" s="259" t="s">
        <v>2351</v>
      </c>
      <c r="C16" s="264"/>
      <c r="D16" s="1030"/>
      <c r="E16" s="262"/>
      <c r="F16" s="262"/>
      <c r="G16" s="263"/>
    </row>
    <row r="17" spans="1:8" s="258" customFormat="1" ht="13.5" hidden="1" customHeight="1">
      <c r="A17" s="271" t="s">
        <v>13</v>
      </c>
      <c r="B17" s="259" t="s">
        <v>2355</v>
      </c>
      <c r="C17" s="273"/>
      <c r="D17" s="1031"/>
      <c r="E17" s="273"/>
      <c r="F17" s="273"/>
      <c r="G17" s="263" t="s">
        <v>2354</v>
      </c>
    </row>
    <row r="18" spans="1:8" s="258" customFormat="1" ht="13.5" hidden="1" customHeight="1">
      <c r="A18" s="271" t="s">
        <v>14</v>
      </c>
      <c r="B18" s="259" t="s">
        <v>2356</v>
      </c>
      <c r="C18" s="264">
        <v>0</v>
      </c>
      <c r="D18" s="1030"/>
      <c r="E18" s="262"/>
      <c r="F18" s="265">
        <v>3.0499999999999999E-2</v>
      </c>
      <c r="G18" s="263" t="s">
        <v>2357</v>
      </c>
    </row>
    <row r="19" spans="1:8" s="267" customFormat="1" ht="13.5" customHeight="1">
      <c r="A19" s="299" t="s">
        <v>2358</v>
      </c>
      <c r="B19" s="254" t="s">
        <v>2359</v>
      </c>
      <c r="C19" s="255" t="str">
        <f>IF(G19="已包含在土地取得成本中","0",ROUND(D19*E19/10000,0))</f>
        <v>0</v>
      </c>
      <c r="D19" s="1032">
        <f ca="1">D9+D10</f>
        <v>27698</v>
      </c>
      <c r="E19" s="255">
        <f>'数据-取费表'!B31</f>
        <v>120</v>
      </c>
      <c r="F19" s="275"/>
      <c r="G19" s="2548" t="s">
        <v>3089</v>
      </c>
    </row>
    <row r="20" spans="1:8" s="258" customFormat="1" ht="13.5" customHeight="1">
      <c r="A20" s="299" t="s">
        <v>2360</v>
      </c>
      <c r="B20" s="254" t="s">
        <v>2361</v>
      </c>
      <c r="C20" s="276">
        <f ca="1">ROUND((C5+C19)*F20,0)</f>
        <v>1632</v>
      </c>
      <c r="D20" s="276"/>
      <c r="E20" s="276"/>
      <c r="F20" s="277">
        <f>'数据-取费表'!B37</f>
        <v>0.02</v>
      </c>
      <c r="G20" s="278" t="s">
        <v>2362</v>
      </c>
    </row>
    <row r="21" spans="1:8" s="258" customFormat="1" ht="13.5" customHeight="1">
      <c r="A21" s="299" t="s">
        <v>2363</v>
      </c>
      <c r="B21" s="254" t="s">
        <v>2364</v>
      </c>
      <c r="C21" s="279">
        <f>F21</f>
        <v>0.02</v>
      </c>
      <c r="D21" s="280" t="s">
        <v>2365</v>
      </c>
      <c r="E21" s="276"/>
      <c r="F21" s="277">
        <f>'数据-取费表'!B38</f>
        <v>0.02</v>
      </c>
      <c r="G21" s="278" t="s">
        <v>2366</v>
      </c>
    </row>
    <row r="22" spans="1:8" s="258" customFormat="1" ht="13.5" customHeight="1">
      <c r="A22" s="299" t="s">
        <v>2367</v>
      </c>
      <c r="B22" s="254" t="s">
        <v>2368</v>
      </c>
      <c r="C22" s="1350">
        <f ca="1">ROUND(SUM(C23:C25),0)</f>
        <v>5125</v>
      </c>
      <c r="D22" s="279">
        <f ca="1">C26</f>
        <v>5.9999999999999995E-4</v>
      </c>
      <c r="E22" s="280" t="s">
        <v>2365</v>
      </c>
      <c r="F22" s="281">
        <f ca="1">'数据-取费表'!B40</f>
        <v>4.7500000000000001E-2</v>
      </c>
      <c r="G22" s="278" t="str">
        <f>IF('数据-取费表'!B22&lt;=1,"单利计息","复利计息")</f>
        <v>复利计息</v>
      </c>
    </row>
    <row r="23" spans="1:8" s="258" customFormat="1" ht="13.5" customHeight="1">
      <c r="A23" s="947" t="s">
        <v>2369</v>
      </c>
      <c r="B23" s="259" t="s">
        <v>2370</v>
      </c>
      <c r="C23" s="1351">
        <f ca="1">ROUND(IF('数据-取费表'!B22&lt;=1,C5*F22*'数据-取费表'!B23,C5*(POWER((1+F22),'数据-取费表'!B23)-1)),0)</f>
        <v>5075</v>
      </c>
      <c r="D23" s="282"/>
      <c r="E23" s="282"/>
      <c r="F23" s="283"/>
      <c r="G23" s="284" t="s">
        <v>2371</v>
      </c>
    </row>
    <row r="24" spans="1:8" s="258" customFormat="1" ht="13.5" customHeight="1">
      <c r="A24" s="947" t="s">
        <v>2372</v>
      </c>
      <c r="B24" s="259" t="s">
        <v>2373</v>
      </c>
      <c r="C24" s="1351">
        <f ca="1">ROUND(IF('数据-取费表'!B22&lt;=1,C19*F22*('数据-取费表'!B19/2+'数据-取费表'!B21),C19*(POWER((1+F22),('数据-取费表'!B19/2+'数据-取费表'!B21))-1)),0)</f>
        <v>0</v>
      </c>
      <c r="D24" s="282"/>
      <c r="E24" s="282"/>
      <c r="F24" s="283"/>
      <c r="G24" s="284" t="s">
        <v>2374</v>
      </c>
    </row>
    <row r="25" spans="1:8" s="258" customFormat="1" ht="24">
      <c r="A25" s="947" t="s">
        <v>2375</v>
      </c>
      <c r="B25" s="259" t="s">
        <v>2376</v>
      </c>
      <c r="C25" s="1351">
        <f ca="1">ROUND(IF('数据-取费表'!B22&lt;=1,C20*F22*'数据-取费表'!B23/2,C20*(POWER((1+F22),'数据-取费表'!B23/2)-1)),0)</f>
        <v>50</v>
      </c>
      <c r="D25" s="282"/>
      <c r="E25" s="285"/>
      <c r="F25" s="283"/>
      <c r="G25" s="286" t="s">
        <v>2377</v>
      </c>
    </row>
    <row r="26" spans="1:8" s="258" customFormat="1">
      <c r="A26" s="947" t="s">
        <v>795</v>
      </c>
      <c r="B26" s="259" t="s">
        <v>2378</v>
      </c>
      <c r="C26" s="282">
        <f ca="1">ROUND(IF('数据-取费表'!B22&lt;=1,F21*F22*'数据-取费表'!B23/2,F21*(POWER((1+F22),'数据-取费表'!B23/2)-1)),4)</f>
        <v>5.9999999999999995E-4</v>
      </c>
      <c r="D26" s="282"/>
      <c r="E26" s="285"/>
      <c r="F26" s="283"/>
      <c r="G26" s="287"/>
    </row>
    <row r="27" spans="1:8" s="258" customFormat="1" ht="24.75">
      <c r="A27" s="299" t="s">
        <v>2379</v>
      </c>
      <c r="B27" s="288" t="s">
        <v>2380</v>
      </c>
      <c r="C27" s="289">
        <f ca="1">C28</f>
        <v>7034</v>
      </c>
      <c r="D27" s="279">
        <f ca="1">C29</f>
        <v>1.6999999999999999E-3</v>
      </c>
      <c r="E27" s="280" t="s">
        <v>2381</v>
      </c>
      <c r="F27" s="290">
        <f ca="1">IF(B1="",'数据-取费表'!Q16,INDIRECT("'数据-取费表'!q"&amp;$G$1))</f>
        <v>0.13</v>
      </c>
      <c r="G27" s="291" t="s">
        <v>2382</v>
      </c>
    </row>
    <row r="28" spans="1:8" s="258" customFormat="1" ht="13.5" customHeight="1">
      <c r="A28" s="947" t="s">
        <v>791</v>
      </c>
      <c r="B28" s="292" t="s">
        <v>2383</v>
      </c>
      <c r="C28" s="293">
        <f ca="1">ROUND((C5+C19+C20)*F27*'数据-取费表'!B21/'数据-取费表'!B20,0)</f>
        <v>7034</v>
      </c>
      <c r="D28" s="279"/>
      <c r="E28" s="280"/>
      <c r="F28" s="290"/>
      <c r="G28" s="291"/>
    </row>
    <row r="29" spans="1:8" s="258" customFormat="1" ht="13.5" customHeight="1">
      <c r="A29" s="947" t="s">
        <v>792</v>
      </c>
      <c r="B29" s="292" t="s">
        <v>2384</v>
      </c>
      <c r="C29" s="282">
        <f ca="1">ROUND(C21*F27*'数据-取费表'!B21/'数据-取费表'!B20,4)</f>
        <v>1.6999999999999999E-3</v>
      </c>
      <c r="D29" s="279"/>
      <c r="E29" s="280"/>
      <c r="F29" s="290"/>
      <c r="G29" s="291"/>
    </row>
    <row r="30" spans="1:8" s="258" customFormat="1" ht="13.5" customHeight="1">
      <c r="A30" s="299" t="s">
        <v>2385</v>
      </c>
      <c r="B30" s="254" t="s">
        <v>2386</v>
      </c>
      <c r="C30" s="279">
        <f>ROUND(F30/(1+'数据-取费表'!C42),4)</f>
        <v>5.33E-2</v>
      </c>
      <c r="D30" s="280" t="s">
        <v>2381</v>
      </c>
      <c r="E30" s="285"/>
      <c r="F30" s="281">
        <f>'数据-取费表'!B41</f>
        <v>5.6000000000000001E-2</v>
      </c>
      <c r="G30" s="278" t="s">
        <v>2387</v>
      </c>
    </row>
    <row r="31" spans="1:8" ht="16.5" customHeight="1">
      <c r="A31" s="253">
        <v>1</v>
      </c>
      <c r="B31" s="254" t="s">
        <v>2388</v>
      </c>
      <c r="C31" s="255">
        <f ca="1">ROUND((C5+C19+C20+C22+C27)/(1-C21-D22-D27-C30),0)</f>
        <v>103203</v>
      </c>
      <c r="D31" s="274"/>
      <c r="E31" s="255"/>
      <c r="F31" s="294"/>
      <c r="G31" s="278" t="s">
        <v>2389</v>
      </c>
      <c r="H31" s="295">
        <f ca="1">C31/'数据-汇总表'!F31*10000</f>
        <v>52012.39794375567</v>
      </c>
    </row>
    <row r="32" spans="1:8" s="252" customFormat="1" ht="15.75">
      <c r="A32" s="296" t="s">
        <v>2390</v>
      </c>
      <c r="B32" s="297"/>
      <c r="C32" s="297"/>
      <c r="D32" s="297"/>
      <c r="E32" s="297"/>
      <c r="F32" s="297"/>
      <c r="G32" s="298"/>
    </row>
    <row r="33" spans="1:7" s="258" customFormat="1" ht="13.5" customHeight="1">
      <c r="A33" s="299" t="s">
        <v>782</v>
      </c>
      <c r="B33" s="254" t="s">
        <v>2391</v>
      </c>
      <c r="C33" s="300">
        <f ca="1">SUM(C34:C38)</f>
        <v>10363</v>
      </c>
      <c r="D33" s="276"/>
      <c r="E33" s="256"/>
      <c r="F33" s="285"/>
      <c r="G33" s="278"/>
    </row>
    <row r="34" spans="1:7" s="302" customFormat="1" ht="13.5" customHeight="1">
      <c r="A34" s="947" t="s">
        <v>791</v>
      </c>
      <c r="B34" s="259" t="s">
        <v>2392</v>
      </c>
      <c r="C34" s="264">
        <f ca="1">IF(B1="",IF(F34=100%,'数据-取费表'!M16,'数据-取费表'!O16),IF(F34=100%,INDIRECT("'数据-取费表'!m"&amp;$G$1)+INDIRECT("'数据-取费表'!t"&amp;$G$1),INDIRECT("'数据-取费表'!o"&amp;$G$1)+INDIRECT("'数据-取费表'!aq"&amp;$G$1)))</f>
        <v>9392</v>
      </c>
      <c r="D34" s="261"/>
      <c r="E34" s="264"/>
      <c r="F34" s="301">
        <f ca="1">IF('数据-取费表'!B24=0,1,IF(B1="",'数据-取费表'!N16,INDIRECT("'数据-取费表'!n"&amp;$G$1)))</f>
        <v>0.65</v>
      </c>
      <c r="G34" s="263" t="s">
        <v>2393</v>
      </c>
    </row>
    <row r="35" spans="1:7" ht="13.5" customHeight="1">
      <c r="A35" s="947" t="s">
        <v>796</v>
      </c>
      <c r="B35" s="259" t="s">
        <v>2394</v>
      </c>
      <c r="C35" s="264">
        <f ca="1">ROUND(C34*F35,0)</f>
        <v>470</v>
      </c>
      <c r="D35" s="264"/>
      <c r="E35" s="264"/>
      <c r="F35" s="303">
        <f>'数据-取费表'!B33</f>
        <v>0.05</v>
      </c>
      <c r="G35" s="263" t="s">
        <v>2395</v>
      </c>
    </row>
    <row r="36" spans="1:7" ht="24">
      <c r="A36" s="947"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7" t="s">
        <v>798</v>
      </c>
      <c r="B37" s="259" t="s">
        <v>2398</v>
      </c>
      <c r="C37" s="293">
        <f ca="1">ROUND(E37*D37*F34/10000,0)</f>
        <v>360</v>
      </c>
      <c r="D37" s="261">
        <f ca="1">D19</f>
        <v>27698</v>
      </c>
      <c r="E37" s="293">
        <f>'数据-取费表'!B35</f>
        <v>200</v>
      </c>
      <c r="F37" s="303"/>
      <c r="G37" s="305" t="s">
        <v>2399</v>
      </c>
    </row>
    <row r="38" spans="1:7" ht="13.5" customHeight="1">
      <c r="A38" s="947" t="s">
        <v>799</v>
      </c>
      <c r="B38" s="259" t="s">
        <v>2400</v>
      </c>
      <c r="C38" s="264">
        <f ca="1">ROUND(C34*F38,0)</f>
        <v>141</v>
      </c>
      <c r="D38" s="264"/>
      <c r="E38" s="264"/>
      <c r="F38" s="303">
        <f>'数据-取费表'!B36</f>
        <v>1.4999999999999999E-2</v>
      </c>
      <c r="G38" s="263" t="s">
        <v>2395</v>
      </c>
    </row>
    <row r="39" spans="1:7" s="258" customFormat="1" ht="13.5" customHeight="1">
      <c r="A39" s="299" t="s">
        <v>2401</v>
      </c>
      <c r="B39" s="254" t="s">
        <v>2402</v>
      </c>
      <c r="C39" s="276">
        <f ca="1">ROUND(C33*F20,0)</f>
        <v>207</v>
      </c>
      <c r="D39" s="276"/>
      <c r="E39" s="276"/>
      <c r="F39" s="277"/>
      <c r="G39" s="278" t="s">
        <v>2403</v>
      </c>
    </row>
    <row r="40" spans="1:7" s="258" customFormat="1" ht="13.5" customHeight="1">
      <c r="A40" s="299" t="s">
        <v>2404</v>
      </c>
      <c r="B40" s="254" t="s">
        <v>2405</v>
      </c>
      <c r="C40" s="1724">
        <f>F21</f>
        <v>0.02</v>
      </c>
      <c r="D40" s="280" t="s">
        <v>2406</v>
      </c>
      <c r="E40" s="276"/>
      <c r="F40" s="277"/>
      <c r="G40" s="278" t="s">
        <v>2407</v>
      </c>
    </row>
    <row r="41" spans="1:7" s="258" customFormat="1" ht="13.5" customHeight="1">
      <c r="A41" s="299" t="s">
        <v>2408</v>
      </c>
      <c r="B41" s="254" t="s">
        <v>2409</v>
      </c>
      <c r="C41" s="276">
        <f ca="1">ROUND(SUM(C42:C43),0)</f>
        <v>323</v>
      </c>
      <c r="D41" s="279">
        <f ca="1">C44</f>
        <v>5.9999999999999995E-4</v>
      </c>
      <c r="E41" s="280" t="s">
        <v>2406</v>
      </c>
      <c r="F41" s="281"/>
      <c r="G41" s="278" t="str">
        <f>IF('数据-取费表'!B22&lt;=1,"单利计息","复利计息")</f>
        <v>复利计息</v>
      </c>
    </row>
    <row r="42" spans="1:7" ht="13.5" customHeight="1">
      <c r="A42" s="947" t="s">
        <v>791</v>
      </c>
      <c r="B42" s="259" t="s">
        <v>2410</v>
      </c>
      <c r="C42" s="282">
        <f ca="1">ROUND(IF('数据-取费表'!B22&lt;=1,C33*F22*'数据-取费表'!B21/2,C33*(POWER((1+F22),'数据-取费表'!B21/2)-1)),0)</f>
        <v>317</v>
      </c>
      <c r="D42" s="282"/>
      <c r="E42" s="282"/>
      <c r="F42" s="283"/>
      <c r="G42" s="3157" t="s">
        <v>2411</v>
      </c>
    </row>
    <row r="43" spans="1:7" ht="13.5" customHeight="1">
      <c r="A43" s="947" t="s">
        <v>792</v>
      </c>
      <c r="B43" s="259" t="s">
        <v>2412</v>
      </c>
      <c r="C43" s="282">
        <f ca="1">ROUND(IF('数据-取费表'!B22&lt;=1,C39*F22*'数据-取费表'!B21/2,C39*(POWER((1+F22),'数据-取费表'!B21/2)-1)),0)</f>
        <v>6</v>
      </c>
      <c r="D43" s="282"/>
      <c r="E43" s="282"/>
      <c r="F43" s="283"/>
      <c r="G43" s="3158"/>
    </row>
    <row r="44" spans="1:7" ht="13.5" customHeight="1">
      <c r="A44" s="947" t="s">
        <v>793</v>
      </c>
      <c r="B44" s="259" t="s">
        <v>2413</v>
      </c>
      <c r="C44" s="282">
        <f ca="1">ROUND(IF('数据-取费表'!B22&lt;=1,C40*F22*'数据-取费表'!B21/2,C40*(POWER((1+F22),'数据-取费表'!B21/2)-1)),4)</f>
        <v>5.9999999999999995E-4</v>
      </c>
      <c r="D44" s="282"/>
      <c r="E44" s="282"/>
      <c r="F44" s="283"/>
      <c r="G44" s="3159"/>
    </row>
    <row r="45" spans="1:7" s="258" customFormat="1" ht="13.5" customHeight="1">
      <c r="A45" s="299" t="s">
        <v>2414</v>
      </c>
      <c r="B45" s="288" t="s">
        <v>2380</v>
      </c>
      <c r="C45" s="289">
        <f ca="1">C46</f>
        <v>1374</v>
      </c>
      <c r="D45" s="279">
        <f ca="1">C47</f>
        <v>2.5999999999999999E-3</v>
      </c>
      <c r="E45" s="280" t="s">
        <v>2406</v>
      </c>
      <c r="F45" s="290"/>
      <c r="G45" s="291" t="s">
        <v>2415</v>
      </c>
    </row>
    <row r="46" spans="1:7" s="258" customFormat="1" ht="13.5" customHeight="1">
      <c r="A46" s="947" t="s">
        <v>791</v>
      </c>
      <c r="B46" s="292" t="s">
        <v>2416</v>
      </c>
      <c r="C46" s="293">
        <f ca="1">ROUND((C33+C39)*F27,0)</f>
        <v>1374</v>
      </c>
      <c r="D46" s="307"/>
      <c r="E46" s="280"/>
      <c r="F46" s="290"/>
      <c r="G46" s="291"/>
    </row>
    <row r="47" spans="1:7" s="258" customFormat="1" ht="13.5" customHeight="1">
      <c r="A47" s="947" t="s">
        <v>792</v>
      </c>
      <c r="B47" s="292" t="s">
        <v>2417</v>
      </c>
      <c r="C47" s="282">
        <f ca="1">ROUND(C40*F27,4)</f>
        <v>2.5999999999999999E-3</v>
      </c>
      <c r="D47" s="307"/>
      <c r="E47" s="280"/>
      <c r="F47" s="290"/>
      <c r="G47" s="291"/>
    </row>
    <row r="48" spans="1:7" s="258" customFormat="1" ht="13.5" customHeight="1">
      <c r="A48" s="299" t="s">
        <v>2379</v>
      </c>
      <c r="B48" s="254" t="s">
        <v>2418</v>
      </c>
      <c r="C48" s="1724">
        <f>ROUND(F30/(1+'数据-取费表'!C42),4)</f>
        <v>5.33E-2</v>
      </c>
      <c r="D48" s="280" t="s">
        <v>2406</v>
      </c>
      <c r="E48" s="276"/>
      <c r="F48" s="281"/>
      <c r="G48" s="278" t="s">
        <v>2419</v>
      </c>
    </row>
    <row r="49" spans="1:7" ht="16.5" customHeight="1">
      <c r="A49" s="299" t="s">
        <v>2385</v>
      </c>
      <c r="B49" s="254" t="s">
        <v>2420</v>
      </c>
      <c r="C49" s="276">
        <f ca="1">ROUND((C33+C39+C41+C45)/(1-C40-D41-D45-C48),0)</f>
        <v>13283</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13283</v>
      </c>
      <c r="D51" s="276"/>
      <c r="E51" s="276"/>
      <c r="F51" s="308"/>
      <c r="G51" s="278" t="s">
        <v>2427</v>
      </c>
    </row>
    <row r="52" spans="1:7" s="252" customFormat="1" ht="16.5" thickBot="1">
      <c r="A52" s="309" t="s">
        <v>2428</v>
      </c>
      <c r="B52" s="310"/>
      <c r="C52" s="311">
        <f ca="1">C31+C51</f>
        <v>116486</v>
      </c>
      <c r="D52" s="310"/>
      <c r="E52" s="310"/>
      <c r="F52" s="310"/>
      <c r="G52" s="312"/>
    </row>
    <row r="55" spans="1:7" ht="15">
      <c r="B55" s="314" t="s">
        <v>2429</v>
      </c>
      <c r="C55" s="315"/>
    </row>
    <row r="56" spans="1:7">
      <c r="B56" s="317" t="s">
        <v>1508</v>
      </c>
      <c r="C56" s="319">
        <f ca="1">1-C57</f>
        <v>0.88600000000000001</v>
      </c>
    </row>
    <row r="57" spans="1:7">
      <c r="B57" s="317" t="s">
        <v>1509</v>
      </c>
      <c r="C57" s="318">
        <f ca="1">ROUND(C51/C52,3)</f>
        <v>0.114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71" t="str">
        <f>项目基本情况!B1</f>
        <v>出让国有建设用地使用权及在建建筑物预评估</v>
      </c>
      <c r="C37" s="2971"/>
      <c r="D37" s="2971"/>
      <c r="E37" s="2971"/>
      <c r="F37" s="2971"/>
      <c r="G37" s="2971"/>
      <c r="H37" s="2971"/>
      <c r="I37" s="2971"/>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项目基本情况!K4</f>
        <v>（注册号：0)、（注册号：0)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2"/>
      <c r="C1" s="2551" t="s">
        <v>2430</v>
      </c>
      <c r="D1" s="242"/>
      <c r="E1" s="242"/>
      <c r="F1" s="242"/>
      <c r="G1" s="1375">
        <f>MATCH(B1,'数据-取费表'!A6:A16,0)+5</f>
        <v>10</v>
      </c>
      <c r="H1" s="1278" t="str">
        <f>IF(ISERROR(FIND("住宅",B1)),"非住宅","住宅")</f>
        <v>非住宅</v>
      </c>
    </row>
    <row r="2" spans="1:8" s="244" customFormat="1" ht="18" customHeight="1">
      <c r="A2" s="245" t="s">
        <v>2329</v>
      </c>
      <c r="B2" s="246">
        <f ca="1">ROUND(IF(D2="——",C52/10000,C52/10000-E2),0)</f>
        <v>21942</v>
      </c>
      <c r="C2" s="243" t="s">
        <v>2330</v>
      </c>
      <c r="D2" s="2545" t="s">
        <v>70</v>
      </c>
      <c r="E2" s="1436" t="e">
        <f ca="1">SUMIF(INDIRECT("'"&amp;G2&amp;"'"&amp;"!A:A"),"承租人权益价值",INDIRECT("'"&amp;G2&amp;"'"&amp;"!c:c"))</f>
        <v>#REF!</v>
      </c>
      <c r="F2" s="2546" t="s">
        <v>2330</v>
      </c>
      <c r="G2" s="2547"/>
    </row>
    <row r="3" spans="1:8" s="244" customFormat="1" ht="18" customHeight="1" thickBot="1">
      <c r="A3" s="247" t="s">
        <v>2331</v>
      </c>
      <c r="B3" s="248">
        <f ca="1">ROUND(B2*10000/(IF(B1="",'数据-汇总表'!E3,INDIRECT("'数据-取费表'!k"&amp;$G$1))),0)</f>
        <v>7922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5539600</v>
      </c>
      <c r="D5" s="255" t="s">
        <v>2336</v>
      </c>
      <c r="E5" s="256" t="s">
        <v>2337</v>
      </c>
      <c r="F5" s="256" t="s">
        <v>2338</v>
      </c>
      <c r="G5" s="257"/>
    </row>
    <row r="6" spans="1:8" s="258" customFormat="1" ht="13.5" customHeight="1">
      <c r="A6" s="945" t="s">
        <v>2339</v>
      </c>
      <c r="B6" s="259" t="s">
        <v>2340</v>
      </c>
      <c r="C6" s="260"/>
      <c r="D6" s="261"/>
      <c r="E6" s="262"/>
      <c r="F6" s="262"/>
      <c r="G6" s="263"/>
    </row>
    <row r="7" spans="1:8" s="258" customFormat="1" ht="13.5" customHeight="1">
      <c r="A7" s="945" t="s">
        <v>2341</v>
      </c>
      <c r="B7" s="259" t="s">
        <v>2342</v>
      </c>
      <c r="C7" s="264">
        <f>ROUND(C6*F7,0)</f>
        <v>0</v>
      </c>
      <c r="D7" s="264"/>
      <c r="E7" s="262"/>
      <c r="F7" s="265">
        <f>IF(项目基本情况!B8="出让",0,'数据-取费表'!B48+'数据-取费表'!B49)</f>
        <v>3.0499999999999999E-2</v>
      </c>
      <c r="G7" s="263"/>
    </row>
    <row r="8" spans="1:8" s="267" customFormat="1">
      <c r="A8" s="945" t="s">
        <v>2343</v>
      </c>
      <c r="B8" s="259" t="s">
        <v>2344</v>
      </c>
      <c r="C8" s="264">
        <f ca="1">IF(G8="已包含在土地购买价格中",0,C9+C10)</f>
        <v>5539600</v>
      </c>
      <c r="D8" s="266"/>
      <c r="E8" s="264"/>
      <c r="F8" s="265"/>
      <c r="G8" s="2548"/>
    </row>
    <row r="9" spans="1:8" s="258" customFormat="1" ht="13.5" customHeight="1">
      <c r="A9" s="946" t="s">
        <v>800</v>
      </c>
      <c r="B9" s="268" t="s">
        <v>2345</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2347</v>
      </c>
      <c r="C10" s="269">
        <f ca="1">ROUND(D10*E10,0)</f>
        <v>5539600</v>
      </c>
      <c r="D10" s="1028">
        <f ca="1">IF(B1="",'数据-汇总表'!E6,IF(INDIRECT("'数据-取费表'!c"&amp;$G$1)="住宅",INDIRECT("'数据-取费表'!s"&amp;$G$1),INDIRECT("'数据-取费表'!k"&amp;$G$1)+INDIRECT("'数据-取费表'!s"&amp;$G$1)))</f>
        <v>27698</v>
      </c>
      <c r="E10" s="269">
        <f>'数据-取费表'!B28</f>
        <v>200</v>
      </c>
      <c r="F10" s="265"/>
      <c r="G10" s="270"/>
    </row>
    <row r="11" spans="1:8" s="258" customFormat="1" ht="13.5" hidden="1" customHeight="1">
      <c r="A11" s="271" t="s">
        <v>7</v>
      </c>
      <c r="B11" s="259" t="s">
        <v>2348</v>
      </c>
      <c r="C11" s="255"/>
      <c r="D11" s="1030"/>
      <c r="E11" s="262"/>
      <c r="F11" s="262"/>
      <c r="G11" s="263"/>
    </row>
    <row r="12" spans="1:8" s="258" customFormat="1" ht="13.5" hidden="1" customHeight="1">
      <c r="A12" s="271" t="s">
        <v>8</v>
      </c>
      <c r="B12" s="259" t="s">
        <v>2431</v>
      </c>
      <c r="C12" s="255">
        <v>0</v>
      </c>
      <c r="D12" s="1030"/>
      <c r="E12" s="272"/>
      <c r="F12" s="265">
        <v>3.0499999999999999E-2</v>
      </c>
      <c r="G12" s="263"/>
    </row>
    <row r="13" spans="1:8" s="258" customFormat="1" ht="13.5" hidden="1" customHeight="1">
      <c r="A13" s="271" t="s">
        <v>9</v>
      </c>
      <c r="B13" s="259" t="s">
        <v>2432</v>
      </c>
      <c r="C13" s="255"/>
      <c r="D13" s="1030"/>
      <c r="E13" s="262"/>
      <c r="F13" s="262"/>
      <c r="G13" s="263"/>
    </row>
    <row r="14" spans="1:8" s="258" customFormat="1" ht="13.5" hidden="1" customHeight="1">
      <c r="A14" s="271" t="s">
        <v>10</v>
      </c>
      <c r="B14" s="259" t="s">
        <v>2344</v>
      </c>
      <c r="C14" s="255"/>
      <c r="D14" s="1030"/>
      <c r="E14" s="262"/>
      <c r="F14" s="262"/>
      <c r="G14" s="263" t="s">
        <v>2433</v>
      </c>
    </row>
    <row r="15" spans="1:8" s="258" customFormat="1" ht="13.5" hidden="1" customHeight="1">
      <c r="A15" s="271" t="s">
        <v>11</v>
      </c>
      <c r="B15" s="259" t="s">
        <v>2434</v>
      </c>
      <c r="C15" s="264"/>
      <c r="D15" s="1030"/>
      <c r="E15" s="262"/>
      <c r="F15" s="262"/>
      <c r="G15" s="263" t="s">
        <v>2435</v>
      </c>
    </row>
    <row r="16" spans="1:8" s="258" customFormat="1" ht="13.5" hidden="1" customHeight="1">
      <c r="A16" s="271" t="s">
        <v>12</v>
      </c>
      <c r="B16" s="259" t="s">
        <v>2344</v>
      </c>
      <c r="C16" s="264"/>
      <c r="D16" s="1030"/>
      <c r="E16" s="262"/>
      <c r="F16" s="262"/>
      <c r="G16" s="263"/>
    </row>
    <row r="17" spans="1:7" s="258" customFormat="1" ht="13.5" hidden="1" customHeight="1">
      <c r="A17" s="271" t="s">
        <v>13</v>
      </c>
      <c r="B17" s="259" t="s">
        <v>2436</v>
      </c>
      <c r="C17" s="273"/>
      <c r="D17" s="1031"/>
      <c r="E17" s="273"/>
      <c r="F17" s="273"/>
      <c r="G17" s="263" t="s">
        <v>2435</v>
      </c>
    </row>
    <row r="18" spans="1:7" s="258" customFormat="1" ht="13.5" hidden="1" customHeight="1">
      <c r="A18" s="271" t="s">
        <v>14</v>
      </c>
      <c r="B18" s="259" t="s">
        <v>2437</v>
      </c>
      <c r="C18" s="264">
        <v>0</v>
      </c>
      <c r="D18" s="1030"/>
      <c r="E18" s="262"/>
      <c r="F18" s="265">
        <v>3.0499999999999999E-2</v>
      </c>
      <c r="G18" s="263" t="s">
        <v>2438</v>
      </c>
    </row>
    <row r="19" spans="1:7" s="267" customFormat="1" ht="13.5" customHeight="1">
      <c r="A19" s="299" t="s">
        <v>2439</v>
      </c>
      <c r="B19" s="254" t="s">
        <v>2440</v>
      </c>
      <c r="C19" s="255">
        <f ca="1">IF(G19="已包含在土地取得成本中","0",ROUND(D19*E19,0))</f>
        <v>3323760</v>
      </c>
      <c r="D19" s="1032">
        <f ca="1">D9+D10</f>
        <v>27698</v>
      </c>
      <c r="E19" s="255">
        <f>'数据-取费表'!B31</f>
        <v>120</v>
      </c>
      <c r="F19" s="275"/>
      <c r="G19" s="2548"/>
    </row>
    <row r="20" spans="1:7" s="258" customFormat="1" ht="13.5" customHeight="1">
      <c r="A20" s="299" t="s">
        <v>2441</v>
      </c>
      <c r="B20" s="254" t="s">
        <v>2442</v>
      </c>
      <c r="C20" s="276">
        <f ca="1">ROUND((C5+C19)*F20,0)</f>
        <v>177267</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6">
        <f ca="1">ROUND(SUM(C23:C25),0)</f>
        <v>870437</v>
      </c>
      <c r="D22" s="279">
        <f ca="1">C26</f>
        <v>1E-3</v>
      </c>
      <c r="E22" s="280" t="s">
        <v>2446</v>
      </c>
      <c r="F22" s="281">
        <f ca="1">'数据-取费表'!B40</f>
        <v>4.7500000000000001E-2</v>
      </c>
      <c r="G22" s="278" t="str">
        <f>IF('数据-取费表'!B22&lt;=1,"单利计息","复利计息")</f>
        <v>复利计息</v>
      </c>
    </row>
    <row r="23" spans="1:7" s="258" customFormat="1" ht="13.5" customHeight="1">
      <c r="A23" s="947" t="s">
        <v>2339</v>
      </c>
      <c r="B23" s="259" t="s">
        <v>2450</v>
      </c>
      <c r="C23" s="1377">
        <f ca="1">ROUND(IF('数据-取费表'!B22&lt;=1,C5*F22*'数据-取费表'!B22,C5*(POWER((1+F22),'数据-取费表'!B22)-1)),0)</f>
        <v>538761</v>
      </c>
      <c r="D23" s="282"/>
      <c r="E23" s="282"/>
      <c r="F23" s="283"/>
      <c r="G23" s="284" t="s">
        <v>2451</v>
      </c>
    </row>
    <row r="24" spans="1:7" s="258" customFormat="1" ht="13.5" customHeight="1">
      <c r="A24" s="947" t="s">
        <v>2341</v>
      </c>
      <c r="B24" s="259" t="s">
        <v>2452</v>
      </c>
      <c r="C24" s="1377">
        <f ca="1">ROUND(IF('数据-取费表'!B22&lt;=1,C19*F22*('数据-取费表'!B19/2+'数据-取费表'!B20),C19*(POWER((1+F22),('数据-取费表'!B19/2+'数据-取费表'!B20))-1)),0)</f>
        <v>323256</v>
      </c>
      <c r="D24" s="282"/>
      <c r="E24" s="282"/>
      <c r="F24" s="283"/>
      <c r="G24" s="284" t="s">
        <v>2453</v>
      </c>
    </row>
    <row r="25" spans="1:7" s="258" customFormat="1" ht="24">
      <c r="A25" s="947" t="s">
        <v>2343</v>
      </c>
      <c r="B25" s="259" t="s">
        <v>2454</v>
      </c>
      <c r="C25" s="1377">
        <f ca="1">ROUND(IF('数据-取费表'!B22&lt;=1,C20*F22*'数据-取费表'!B22/2,C20*(POWER((1+F22),'数据-取费表'!B22/2)-1)),0)</f>
        <v>8420</v>
      </c>
      <c r="D25" s="282"/>
      <c r="E25" s="285"/>
      <c r="F25" s="283"/>
      <c r="G25" s="286" t="s">
        <v>2455</v>
      </c>
    </row>
    <row r="26" spans="1:7" s="258" customFormat="1">
      <c r="A26" s="947"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1175282</v>
      </c>
      <c r="D27" s="279">
        <f ca="1">C29</f>
        <v>2.5999999999999999E-3</v>
      </c>
      <c r="E27" s="280" t="s">
        <v>2381</v>
      </c>
      <c r="F27" s="290">
        <f ca="1">IF(B1="",'数据-取费表'!Q16,INDIRECT("'数据-取费表'!q"&amp;$G$1))</f>
        <v>0.13</v>
      </c>
      <c r="G27" s="291" t="s">
        <v>2382</v>
      </c>
    </row>
    <row r="28" spans="1:7" s="258" customFormat="1" ht="13.5" customHeight="1">
      <c r="A28" s="947" t="s">
        <v>791</v>
      </c>
      <c r="B28" s="292" t="s">
        <v>2383</v>
      </c>
      <c r="C28" s="293">
        <f ca="1">ROUND((C5+C19+C20)*F27,0)</f>
        <v>1175282</v>
      </c>
      <c r="D28" s="279"/>
      <c r="E28" s="280"/>
      <c r="F28" s="290"/>
      <c r="G28" s="291"/>
    </row>
    <row r="29" spans="1:7" s="258" customFormat="1" ht="13.5" customHeight="1">
      <c r="A29" s="947"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12009908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159413995</v>
      </c>
      <c r="D33" s="276"/>
      <c r="E33" s="256"/>
      <c r="F33" s="285"/>
      <c r="G33" s="278"/>
    </row>
    <row r="34" spans="1:7" s="302" customFormat="1" ht="13.5" customHeight="1">
      <c r="A34" s="947" t="s">
        <v>791</v>
      </c>
      <c r="B34" s="259" t="s">
        <v>2392</v>
      </c>
      <c r="C34" s="264">
        <f ca="1">ROUND(IF(B1="",SUMPRODUCT('数据-取费表'!K6:K14,'数据-取费表'!L6:L14),INDIRECT("'数据-取费表'!l"&amp;$G$1)*INDIRECT("'数据-取费表'!k"&amp;$G$1)+'数据-取费表'!L14*INDIRECT("'数据-取费表'!S"&amp;$G$1)),0)</f>
        <v>144483000</v>
      </c>
      <c r="D34" s="261"/>
      <c r="E34" s="264"/>
      <c r="F34" s="301"/>
      <c r="G34" s="263"/>
    </row>
    <row r="35" spans="1:7" ht="13.5" customHeight="1">
      <c r="A35" s="947" t="s">
        <v>796</v>
      </c>
      <c r="B35" s="259" t="s">
        <v>2394</v>
      </c>
      <c r="C35" s="264">
        <f ca="1">ROUND(C34*F35,0)</f>
        <v>7224150</v>
      </c>
      <c r="D35" s="264"/>
      <c r="E35" s="264"/>
      <c r="F35" s="303">
        <f>'数据-取费表'!B33</f>
        <v>0.05</v>
      </c>
      <c r="G35" s="263" t="s">
        <v>2395</v>
      </c>
    </row>
    <row r="36" spans="1:7" ht="24">
      <c r="A36" s="947"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7" t="s">
        <v>798</v>
      </c>
      <c r="B37" s="259" t="s">
        <v>2398</v>
      </c>
      <c r="C37" s="293">
        <f ca="1">ROUND(E37*D37,0)</f>
        <v>5539600</v>
      </c>
      <c r="D37" s="261">
        <f ca="1">D19</f>
        <v>27698</v>
      </c>
      <c r="E37" s="293">
        <f>'数据-取费表'!B35</f>
        <v>200</v>
      </c>
      <c r="F37" s="303"/>
      <c r="G37" s="305"/>
    </row>
    <row r="38" spans="1:7" ht="13.5" customHeight="1">
      <c r="A38" s="947" t="s">
        <v>799</v>
      </c>
      <c r="B38" s="259" t="s">
        <v>2400</v>
      </c>
      <c r="C38" s="264">
        <f ca="1">ROUND(C34*F38,0)</f>
        <v>2167245</v>
      </c>
      <c r="D38" s="264"/>
      <c r="E38" s="264"/>
      <c r="F38" s="303">
        <f>'数据-取费表'!B36</f>
        <v>1.4999999999999999E-2</v>
      </c>
      <c r="G38" s="263" t="s">
        <v>2395</v>
      </c>
    </row>
    <row r="39" spans="1:7" s="258" customFormat="1" ht="13.5" customHeight="1">
      <c r="A39" s="299" t="s">
        <v>2401</v>
      </c>
      <c r="B39" s="254" t="s">
        <v>2402</v>
      </c>
      <c r="C39" s="276">
        <f ca="1">ROUND(C33*F20,0)</f>
        <v>3188280</v>
      </c>
      <c r="D39" s="276"/>
      <c r="E39" s="276"/>
      <c r="F39" s="277"/>
      <c r="G39" s="278" t="s">
        <v>2403</v>
      </c>
    </row>
    <row r="40" spans="1:7" s="258" customFormat="1" ht="13.5" customHeight="1">
      <c r="A40" s="299" t="s">
        <v>2404</v>
      </c>
      <c r="B40" s="254" t="s">
        <v>2405</v>
      </c>
      <c r="C40" s="1724">
        <f>F21</f>
        <v>0.02</v>
      </c>
      <c r="D40" s="280" t="s">
        <v>2406</v>
      </c>
      <c r="E40" s="276"/>
      <c r="F40" s="277"/>
      <c r="G40" s="278" t="s">
        <v>2407</v>
      </c>
    </row>
    <row r="41" spans="1:7" s="258" customFormat="1" ht="13.5" customHeight="1">
      <c r="A41" s="299" t="s">
        <v>2408</v>
      </c>
      <c r="B41" s="254" t="s">
        <v>2409</v>
      </c>
      <c r="C41" s="276">
        <f ca="1">ROUND(SUM(C42:C43),0)</f>
        <v>7723608</v>
      </c>
      <c r="D41" s="279">
        <f ca="1">C44</f>
        <v>1E-3</v>
      </c>
      <c r="E41" s="280" t="s">
        <v>2406</v>
      </c>
      <c r="F41" s="281"/>
      <c r="G41" s="278" t="str">
        <f>IF('数据-取费表'!B22&lt;=1,"单利计息","复利计息")</f>
        <v>复利计息</v>
      </c>
    </row>
    <row r="42" spans="1:7" ht="13.5" customHeight="1">
      <c r="A42" s="947" t="s">
        <v>791</v>
      </c>
      <c r="B42" s="259" t="s">
        <v>2410</v>
      </c>
      <c r="C42" s="282">
        <f ca="1">ROUND(IF('数据-取费表'!B22&lt;=1,C33*F22*'数据-取费表'!B20/2,C33*(POWER((1+F22),'数据-取费表'!B20/2)-1)),0)</f>
        <v>7572165</v>
      </c>
      <c r="D42" s="282"/>
      <c r="E42" s="282"/>
      <c r="F42" s="283"/>
      <c r="G42" s="3157" t="s">
        <v>2458</v>
      </c>
    </row>
    <row r="43" spans="1:7" ht="13.5" customHeight="1">
      <c r="A43" s="947" t="s">
        <v>792</v>
      </c>
      <c r="B43" s="259" t="s">
        <v>2412</v>
      </c>
      <c r="C43" s="282">
        <f ca="1">ROUND(IF('数据-取费表'!B22&lt;=1,C39*F22*'数据-取费表'!B20/2,C39*(POWER((1+F22),'数据-取费表'!B20/2)-1)),0)</f>
        <v>151443</v>
      </c>
      <c r="D43" s="282"/>
      <c r="E43" s="282"/>
      <c r="F43" s="283"/>
      <c r="G43" s="3158"/>
    </row>
    <row r="44" spans="1:7" ht="13.5" customHeight="1">
      <c r="A44" s="947" t="s">
        <v>793</v>
      </c>
      <c r="B44" s="259" t="s">
        <v>2413</v>
      </c>
      <c r="C44" s="282">
        <f ca="1">ROUND(IF('数据-取费表'!B22&lt;=1,C40*F22*'数据-取费表'!B20/2,C40*(POWER((1+F22),'数据-取费表'!B20/2)-1)),4)</f>
        <v>1E-3</v>
      </c>
      <c r="D44" s="282"/>
      <c r="E44" s="282"/>
      <c r="F44" s="283"/>
      <c r="G44" s="3159"/>
    </row>
    <row r="45" spans="1:7" s="258" customFormat="1" ht="13.5" customHeight="1">
      <c r="A45" s="299" t="s">
        <v>2414</v>
      </c>
      <c r="B45" s="288" t="s">
        <v>2380</v>
      </c>
      <c r="C45" s="289">
        <f ca="1">C46</f>
        <v>21138296</v>
      </c>
      <c r="D45" s="279">
        <f ca="1">C47</f>
        <v>2.5999999999999999E-3</v>
      </c>
      <c r="E45" s="280" t="s">
        <v>2406</v>
      </c>
      <c r="F45" s="290"/>
      <c r="G45" s="291" t="s">
        <v>2415</v>
      </c>
    </row>
    <row r="46" spans="1:7" s="258" customFormat="1" ht="13.5" customHeight="1">
      <c r="A46" s="947" t="s">
        <v>791</v>
      </c>
      <c r="B46" s="292" t="s">
        <v>2416</v>
      </c>
      <c r="C46" s="293">
        <f ca="1">ROUND((C33+C39)*F27,0)</f>
        <v>21138296</v>
      </c>
      <c r="D46" s="307"/>
      <c r="E46" s="280"/>
      <c r="F46" s="290"/>
      <c r="G46" s="291"/>
    </row>
    <row r="47" spans="1:7" s="258" customFormat="1" ht="13.5" customHeight="1">
      <c r="A47" s="947"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207414342</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207414342</v>
      </c>
      <c r="D51" s="276"/>
      <c r="E51" s="276"/>
      <c r="F51" s="308"/>
      <c r="G51" s="278" t="s">
        <v>2427</v>
      </c>
    </row>
    <row r="52" spans="1:7" s="252" customFormat="1" ht="16.5" thickBot="1">
      <c r="A52" s="309" t="s">
        <v>2428</v>
      </c>
      <c r="B52" s="310"/>
      <c r="C52" s="311">
        <f ca="1">C31+C51</f>
        <v>219424250</v>
      </c>
      <c r="D52" s="310"/>
      <c r="E52" s="310"/>
      <c r="F52" s="310"/>
      <c r="G52" s="312"/>
    </row>
    <row r="55" spans="1:7" ht="15">
      <c r="B55" s="314" t="s">
        <v>2429</v>
      </c>
      <c r="C55" s="315"/>
    </row>
    <row r="56" spans="1:7">
      <c r="B56" s="317" t="s">
        <v>1508</v>
      </c>
      <c r="C56" s="319">
        <f ca="1">1-C57</f>
        <v>5.5000000000000049E-2</v>
      </c>
    </row>
    <row r="57" spans="1:7">
      <c r="B57" s="317" t="s">
        <v>1509</v>
      </c>
      <c r="C57" s="318">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2461</v>
      </c>
      <c r="B1" s="1577"/>
      <c r="C1" s="1578"/>
      <c r="D1" s="1576"/>
      <c r="E1" s="320"/>
      <c r="F1" s="320"/>
      <c r="G1" s="1577"/>
      <c r="H1" s="320"/>
      <c r="I1" s="320"/>
      <c r="J1" s="320"/>
      <c r="K1" s="320">
        <f>MATCH(C1,'数据-取费表'!A6:A16,0)+5</f>
        <v>10</v>
      </c>
    </row>
    <row r="2" spans="1:33" ht="18" customHeight="1">
      <c r="A2" s="245" t="s">
        <v>2329</v>
      </c>
      <c r="B2" s="248">
        <f ca="1">C32</f>
        <v>95990</v>
      </c>
      <c r="C2" s="320" t="s">
        <v>2462</v>
      </c>
      <c r="D2" s="320"/>
      <c r="E2" s="320"/>
      <c r="F2" s="320"/>
      <c r="G2" s="320"/>
      <c r="H2" s="320"/>
      <c r="I2" s="320"/>
      <c r="J2" s="320"/>
      <c r="K2" s="320"/>
    </row>
    <row r="3" spans="1:33" ht="18" customHeight="1" thickBot="1">
      <c r="A3" s="247" t="s">
        <v>2331</v>
      </c>
      <c r="B3" s="248">
        <f ca="1">ROUND(B2*10000/IF(C1="",'数据-汇总表'!E3,INDIRECT("'数据-取费表'!K"&amp;$K$1)),0)</f>
        <v>34656</v>
      </c>
      <c r="C3" s="320" t="s">
        <v>2463</v>
      </c>
      <c r="D3" s="320"/>
      <c r="E3" s="320"/>
      <c r="F3" s="320"/>
      <c r="G3" s="320"/>
      <c r="H3" s="320"/>
      <c r="I3" s="320"/>
      <c r="J3" s="320"/>
      <c r="K3" s="320"/>
    </row>
    <row r="4" spans="1:33" s="952" customFormat="1" ht="16.5" customHeight="1">
      <c r="A4" s="949" t="s">
        <v>2464</v>
      </c>
      <c r="B4" s="950"/>
      <c r="C4" s="992">
        <f ca="1">SUM(C8:K8)</f>
        <v>120721</v>
      </c>
      <c r="D4" s="950"/>
      <c r="E4" s="950"/>
      <c r="F4" s="950"/>
      <c r="G4" s="950"/>
      <c r="H4" s="950"/>
      <c r="I4" s="950"/>
      <c r="J4" s="950"/>
      <c r="K4" s="951"/>
    </row>
    <row r="5" spans="1:33" s="956" customFormat="1" ht="15">
      <c r="A5" s="953" t="s">
        <v>2465</v>
      </c>
      <c r="B5" s="954" t="s">
        <v>2466</v>
      </c>
      <c r="C5" s="2552" t="s">
        <v>1373</v>
      </c>
      <c r="D5" s="2552" t="s">
        <v>27</v>
      </c>
      <c r="E5" s="2552" t="s">
        <v>3063</v>
      </c>
      <c r="F5" s="2552" t="s">
        <v>3069</v>
      </c>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2467</v>
      </c>
      <c r="C6" s="958">
        <f ca="1">收益法!C43</f>
        <v>61667</v>
      </c>
      <c r="D6" s="958">
        <f ca="1">'收益法-1'!C43</f>
        <v>58816</v>
      </c>
      <c r="E6" s="958">
        <f ca="1">'收益法-3'!C43</f>
        <v>6172</v>
      </c>
      <c r="F6" s="958">
        <f ca="1">'收益法-2'!C43</f>
        <v>6678</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40" t="s">
        <v>2469</v>
      </c>
      <c r="C7" s="321">
        <f>SUMIF('数据-汇总表'!$C19:$C33,假设开发法!C5,'数据-汇总表'!$E19:$E33)</f>
        <v>355.78</v>
      </c>
      <c r="D7" s="321">
        <f>SUMIF('数据-汇总表'!$C19:$C33,假设开发法!D5,'数据-汇总表'!$E19:$E33)</f>
        <v>19486.22</v>
      </c>
      <c r="E7" s="321">
        <f>SUMIF('数据-汇总表'!$C19:$C33,假设开发法!E5,'数据-汇总表'!$E19:$E33)</f>
        <v>3919.01</v>
      </c>
      <c r="F7" s="321">
        <f>SUMIF('数据-汇总表'!$C19:$C33,假设开发法!F5,'数据-汇总表'!$E19:$E33)</f>
        <v>2241.69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2470</v>
      </c>
      <c r="B8" s="177" t="s">
        <v>2471</v>
      </c>
      <c r="C8" s="993">
        <f ca="1">收益法!C40</f>
        <v>2194</v>
      </c>
      <c r="D8" s="993">
        <f ca="1">'收益法-1'!C40</f>
        <v>114611</v>
      </c>
      <c r="E8" s="993">
        <f ca="1">'收益法-3'!C40</f>
        <v>2419</v>
      </c>
      <c r="F8" s="994">
        <f ca="1">'收益法-2'!C40</f>
        <v>1497</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1330</v>
      </c>
      <c r="B11" s="968" t="s">
        <v>2479</v>
      </c>
      <c r="C11" s="323">
        <f ca="1">IF(C1="",'数据-取费表'!P16,INDIRECT("'数据-取费表'!p"&amp;$K$1)+INDIRECT("'数据-取费表'!ar"&amp;$K$1))</f>
        <v>5057</v>
      </c>
      <c r="D11" s="969"/>
      <c r="E11" s="375"/>
      <c r="F11" s="970">
        <f ca="1">1-IF('数据-取费表'!B24=0,1,IF(C1="",'数据-取费表'!N16,INDIRECT("'数据-取费表'!n"&amp;$K$1)))</f>
        <v>0.35</v>
      </c>
      <c r="G11" s="8"/>
      <c r="H11" s="964"/>
      <c r="I11" s="964"/>
      <c r="J11" s="964"/>
      <c r="K11" s="965"/>
    </row>
    <row r="12" spans="1:33" s="971" customFormat="1" ht="13.5" customHeight="1">
      <c r="A12" s="967" t="s">
        <v>1331</v>
      </c>
      <c r="B12" s="968" t="s">
        <v>2480</v>
      </c>
      <c r="C12" s="24">
        <f ca="1">ROUND(C11*F12,0)</f>
        <v>253</v>
      </c>
      <c r="D12" s="969"/>
      <c r="E12" s="375"/>
      <c r="F12" s="972">
        <f>'数据-取费表'!B33</f>
        <v>0.05</v>
      </c>
      <c r="G12" s="8" t="s">
        <v>2481</v>
      </c>
      <c r="H12" s="964"/>
      <c r="I12" s="964"/>
      <c r="J12" s="964"/>
      <c r="K12" s="965"/>
    </row>
    <row r="13" spans="1:33" s="971" customFormat="1" ht="13.5" customHeight="1">
      <c r="A13" s="967" t="s">
        <v>1332</v>
      </c>
      <c r="B13" s="968" t="s">
        <v>2482</v>
      </c>
      <c r="C13" s="24">
        <f ca="1">ROUND(IF(C1="",SUMIF('数据-取费表'!C:C,"住宅",'数据-取费表'!P:P)*F13,IF(INDIRECT("'数据-取费表'!c"&amp;$K$1)="住宅",INDIRECT("'数据-取费表'!P"&amp;$K$1)*F13,0)),0)</f>
        <v>0</v>
      </c>
      <c r="D13" s="1029"/>
      <c r="E13" s="375"/>
      <c r="F13" s="972">
        <f>'数据-取费表'!B34</f>
        <v>0</v>
      </c>
      <c r="G13" s="8" t="s">
        <v>2483</v>
      </c>
      <c r="H13" s="964"/>
      <c r="I13" s="964"/>
      <c r="J13" s="964"/>
      <c r="K13" s="965"/>
    </row>
    <row r="14" spans="1:33" s="973" customFormat="1" ht="13.5" customHeight="1">
      <c r="A14" s="967" t="s">
        <v>1333</v>
      </c>
      <c r="B14" s="968" t="s">
        <v>2484</v>
      </c>
      <c r="C14" s="24">
        <f ca="1">ROUND(D14*E14*F11/10000,0)</f>
        <v>194</v>
      </c>
      <c r="D14" s="1029">
        <f ca="1">IF(C1="",'数据-汇总表'!E3,INDIRECT("'数据-取费表'!K"&amp;$K$1)+INDIRECT("'数据-取费表'!S"&amp;$K$1))</f>
        <v>27698</v>
      </c>
      <c r="E14" s="24">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2486</v>
      </c>
      <c r="C15" s="979">
        <f ca="1">ROUND(C11*F15,0)</f>
        <v>76</v>
      </c>
      <c r="D15" s="974"/>
      <c r="E15" s="979"/>
      <c r="F15" s="980">
        <f>'数据-取费表'!B36</f>
        <v>1.4999999999999999E-2</v>
      </c>
      <c r="G15" s="140"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5580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4">
        <f ca="1">ROUND(D17*E17/10000,0)</f>
        <v>222</v>
      </c>
      <c r="D17" s="1029">
        <f ca="1">D14</f>
        <v>27698</v>
      </c>
      <c r="E17" s="24">
        <f>'数据-取费表'!B32</f>
        <v>80</v>
      </c>
      <c r="F17" s="974"/>
      <c r="G17" s="140"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2491</v>
      </c>
      <c r="C18" s="24">
        <f ca="1">C19+C20-IF(C1="",'数据-取费表'!B29,IF(G18="已全部缴纳",C19+C20,H18))</f>
        <v>0</v>
      </c>
      <c r="D18" s="1029"/>
      <c r="E18" s="24"/>
      <c r="F18" s="972"/>
      <c r="G18" s="2554"/>
      <c r="H18" s="1573"/>
      <c r="I18" s="2555" t="s">
        <v>2492</v>
      </c>
      <c r="J18" s="975"/>
      <c r="K18" s="976"/>
    </row>
    <row r="19" spans="1:33" s="971" customFormat="1" ht="13.5" customHeight="1">
      <c r="A19" s="967" t="s">
        <v>805</v>
      </c>
      <c r="B19" s="968" t="s">
        <v>2493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2494</v>
      </c>
      <c r="C20" s="24">
        <f ca="1">ROUND(D20*E20/10000,0)</f>
        <v>554</v>
      </c>
      <c r="D20" s="1029">
        <f ca="1">IF(C1="",'数据-汇总表'!E6,IF(INDIRECT("'数据-取费表'!c"&amp;$K$1)="住宅",INDIRECT("'数据-取费表'!s"&amp;$K$1),INDIRECT("'数据-取费表'!k"&amp;$K$1)+INDIRECT("'数据-取费表'!s"&amp;$K$1)))</f>
        <v>27698</v>
      </c>
      <c r="E20" s="24">
        <f>'数据-取费表'!B28</f>
        <v>200</v>
      </c>
      <c r="F20" s="972"/>
      <c r="G20" s="15"/>
      <c r="H20" s="977"/>
      <c r="I20" s="977"/>
      <c r="J20" s="977"/>
      <c r="K20" s="978"/>
    </row>
    <row r="21" spans="1:33" s="971" customFormat="1" ht="13.5" customHeight="1">
      <c r="A21" s="957" t="s">
        <v>802</v>
      </c>
      <c r="B21" s="981" t="s">
        <v>2495</v>
      </c>
      <c r="C21" s="982">
        <f ca="1">C16+C17+C18</f>
        <v>5802</v>
      </c>
      <c r="D21" s="983"/>
      <c r="E21" s="325"/>
      <c r="F21" s="325"/>
      <c r="G21" s="140" t="s">
        <v>2496</v>
      </c>
      <c r="H21" s="975"/>
      <c r="I21" s="975"/>
      <c r="J21" s="975"/>
      <c r="K21" s="976"/>
    </row>
    <row r="22" spans="1:33" s="971" customFormat="1" ht="13.5" customHeight="1">
      <c r="A22" s="957" t="s">
        <v>2468</v>
      </c>
      <c r="B22" s="981" t="s">
        <v>2497</v>
      </c>
      <c r="C22" s="982">
        <f ca="1">ROUND(C21*F22,0)</f>
        <v>116</v>
      </c>
      <c r="D22" s="325"/>
      <c r="E22" s="325"/>
      <c r="F22" s="984">
        <f>'数据-取费表'!B37</f>
        <v>0.02</v>
      </c>
      <c r="G22" s="8" t="s">
        <v>2498</v>
      </c>
      <c r="H22" s="964"/>
      <c r="I22" s="964"/>
      <c r="J22" s="964"/>
      <c r="K22" s="965"/>
    </row>
    <row r="23" spans="1:33" s="971" customFormat="1" ht="13.5" customHeight="1">
      <c r="A23" s="957" t="s">
        <v>2470</v>
      </c>
      <c r="B23" s="981" t="s">
        <v>2499</v>
      </c>
      <c r="C23" s="982">
        <f ca="1">ROUND(C4*F23*F11,0)</f>
        <v>845</v>
      </c>
      <c r="D23" s="325"/>
      <c r="E23" s="325"/>
      <c r="F23" s="984">
        <f>'数据-取费表'!B38</f>
        <v>0.02</v>
      </c>
      <c r="G23" s="8" t="s">
        <v>2500</v>
      </c>
      <c r="H23" s="964"/>
      <c r="I23" s="964"/>
      <c r="J23" s="964"/>
      <c r="K23" s="965"/>
    </row>
    <row r="24" spans="1:33" s="971" customFormat="1" ht="13.5" customHeight="1">
      <c r="A24" s="957" t="s">
        <v>2501</v>
      </c>
      <c r="B24" s="981" t="s">
        <v>2502</v>
      </c>
      <c r="C24" s="324">
        <f>ROUND(F24/(1+'数据-取费表'!C42),4)</f>
        <v>2.9000000000000001E-2</v>
      </c>
      <c r="D24" s="325" t="s">
        <v>15</v>
      </c>
      <c r="E24" s="325"/>
      <c r="F24" s="984">
        <f>IF(项目基本情况!B8="出让",0,'数据-取费表'!B48+'数据-取费表'!B49)</f>
        <v>3.0499999999999999E-2</v>
      </c>
      <c r="G24" s="8" t="s">
        <v>2503</v>
      </c>
      <c r="H24" s="986"/>
      <c r="I24" s="986"/>
      <c r="J24" s="986"/>
      <c r="K24" s="987"/>
    </row>
    <row r="25" spans="1:33" s="971" customFormat="1" ht="13.5" customHeight="1">
      <c r="A25" s="957" t="s">
        <v>2504</v>
      </c>
      <c r="B25" s="983" t="s">
        <v>2505</v>
      </c>
      <c r="C25" s="1352">
        <f ca="1">C27</f>
        <v>111</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3.4000000000000002E-2</v>
      </c>
      <c r="D26" s="328"/>
      <c r="E26" s="329"/>
      <c r="F26" s="330"/>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111</v>
      </c>
      <c r="D27" s="328"/>
      <c r="E27" s="329"/>
      <c r="F27" s="330"/>
      <c r="G27" s="2556" t="str">
        <f>IF('数据-取费表'!B22&lt;=1,"（1）-（3）项×年利率×建设期÷2","（1）-（3）项×((1+年利率)^(建设期÷2)-1)")</f>
        <v>（1）-（3）项×((1+年利率)^(建设期÷2)-1)</v>
      </c>
      <c r="H27" s="975"/>
      <c r="I27" s="975"/>
      <c r="J27" s="975"/>
      <c r="K27" s="976"/>
    </row>
    <row r="28" spans="1:33" s="333" customFormat="1" ht="13.5" customHeight="1">
      <c r="A28" s="957" t="s">
        <v>2508</v>
      </c>
      <c r="B28" s="2557" t="s">
        <v>2509</v>
      </c>
      <c r="C28" s="331">
        <f ca="1">C30</f>
        <v>879</v>
      </c>
      <c r="D28" s="324">
        <f ca="1">C29</f>
        <v>4.6800000000000001E-2</v>
      </c>
      <c r="E28" s="326" t="s">
        <v>15</v>
      </c>
      <c r="F28" s="332">
        <f ca="1">IF(C1="",'数据-取费表'!Q16,INDIRECT("'数据-取费表'!q"&amp;$K$1))</f>
        <v>0.13</v>
      </c>
      <c r="G28" s="985"/>
      <c r="H28" s="986"/>
      <c r="I28" s="986"/>
      <c r="J28" s="986"/>
      <c r="K28" s="987"/>
    </row>
    <row r="29" spans="1:33" s="335" customFormat="1" ht="13.5" customHeight="1">
      <c r="A29" s="967" t="s">
        <v>803</v>
      </c>
      <c r="B29" s="990" t="s">
        <v>2510</v>
      </c>
      <c r="C29" s="328">
        <f ca="1">ROUND((1+C24)*F28*'数据-取费表'!B24/'数据-取费表'!B20,4)</f>
        <v>4.6800000000000001E-2</v>
      </c>
      <c r="D29" s="328"/>
      <c r="E29" s="329"/>
      <c r="F29" s="334"/>
      <c r="G29" s="140" t="s">
        <v>2511</v>
      </c>
      <c r="H29" s="975"/>
      <c r="I29" s="975"/>
      <c r="J29" s="975"/>
      <c r="K29" s="976"/>
    </row>
    <row r="30" spans="1:33" s="335" customFormat="1" ht="13.5" customHeight="1">
      <c r="A30" s="967" t="s">
        <v>804</v>
      </c>
      <c r="B30" s="990" t="s">
        <v>2512</v>
      </c>
      <c r="C30" s="336">
        <f ca="1">ROUND((C21+C22+C23)*F28,0)</f>
        <v>879</v>
      </c>
      <c r="D30" s="328"/>
      <c r="E30" s="329"/>
      <c r="F30" s="334"/>
      <c r="G30" s="140"/>
      <c r="H30" s="975"/>
      <c r="I30" s="975"/>
      <c r="J30" s="975"/>
      <c r="K30" s="976"/>
    </row>
    <row r="31" spans="1:33" s="971" customFormat="1" ht="13.5" customHeight="1" thickBot="1">
      <c r="A31" s="2558" t="s">
        <v>2513</v>
      </c>
      <c r="B31" s="1001" t="s">
        <v>2514</v>
      </c>
      <c r="C31" s="1002">
        <f ca="1">ROUND(C4*F31/(1+'数据-取费表'!C42),0)</f>
        <v>6438</v>
      </c>
      <c r="D31" s="1003"/>
      <c r="E31" s="1004"/>
      <c r="F31" s="1005">
        <f>'数据-取费表'!B41</f>
        <v>5.6000000000000001E-2</v>
      </c>
      <c r="G31" s="1006" t="s">
        <v>2515</v>
      </c>
      <c r="H31" s="1007"/>
      <c r="I31" s="1007"/>
      <c r="J31" s="1007"/>
      <c r="K31" s="1008"/>
    </row>
    <row r="32" spans="1:33" s="966" customFormat="1" ht="13.5" customHeight="1" thickBot="1">
      <c r="A32" s="996" t="s">
        <v>2516</v>
      </c>
      <c r="B32" s="997"/>
      <c r="C32" s="998">
        <f ca="1">ROUND((C4-C21-C22-C23-C25-C28-C31)/(1+C24+D25+D28),0)</f>
        <v>95990</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M39" sqref="M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3063</v>
      </c>
      <c r="D1" s="1816" t="s">
        <v>3092</v>
      </c>
      <c r="E1" s="1817" t="s">
        <v>1382</v>
      </c>
      <c r="F1" s="1279">
        <f ca="1">J53</f>
        <v>35.589999999999996</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2419</v>
      </c>
      <c r="C2" s="1841" t="s">
        <v>1511</v>
      </c>
      <c r="D2" s="1841"/>
      <c r="E2" s="1842"/>
      <c r="F2" s="1843"/>
      <c r="G2" s="1844"/>
      <c r="H2" s="1836"/>
      <c r="I2" s="1836"/>
      <c r="J2" s="1836"/>
      <c r="K2" s="1837"/>
      <c r="L2" s="1836"/>
      <c r="M2" s="1836"/>
    </row>
    <row r="3" spans="1:37" ht="18" customHeight="1" thickBot="1">
      <c r="A3" s="1845" t="s">
        <v>1512</v>
      </c>
      <c r="B3" s="1846">
        <f ca="1">IF(ISERROR(B2*10000/F43),0,ROUND(B2*10000/F43,0))</f>
        <v>6172</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8">
        <f ca="1">C6+C10+C12</f>
        <v>180</v>
      </c>
      <c r="D5" s="1818" t="s">
        <v>1397</v>
      </c>
      <c r="E5" s="1289"/>
      <c r="F5" s="1290"/>
      <c r="G5" s="1847"/>
      <c r="H5" s="344">
        <v>1</v>
      </c>
      <c r="I5" s="345" t="s">
        <v>1396</v>
      </c>
      <c r="J5" s="1288">
        <f ca="1">J6+J10+J12</f>
        <v>0</v>
      </c>
      <c r="K5" s="1818" t="s">
        <v>1397</v>
      </c>
      <c r="L5" s="1289"/>
      <c r="M5" s="1290"/>
    </row>
    <row r="6" spans="1:37" ht="18" customHeight="1">
      <c r="A6" s="1287" t="s">
        <v>1032</v>
      </c>
      <c r="B6" s="3162" t="s">
        <v>1398</v>
      </c>
      <c r="C6" s="1292">
        <f ca="1">ROUND(F6*F8*F7*(1-F9)/10000,0)</f>
        <v>180</v>
      </c>
      <c r="D6" s="164" t="s">
        <v>3030</v>
      </c>
      <c r="E6" s="347" t="s">
        <v>1400</v>
      </c>
      <c r="F6" s="348">
        <f ca="1">INDIRECT("'数据-取费表'!u"&amp;$G$1)</f>
        <v>1500</v>
      </c>
      <c r="G6" s="1847"/>
      <c r="H6" s="1287" t="s">
        <v>1032</v>
      </c>
      <c r="I6" s="3162" t="s">
        <v>1398</v>
      </c>
      <c r="J6" s="346">
        <f ca="1">ROUND(M6*M8*M7*(1-M9)/10000,0)</f>
        <v>0</v>
      </c>
      <c r="K6" s="164" t="s">
        <v>3029</v>
      </c>
      <c r="L6" s="347" t="s">
        <v>1400</v>
      </c>
      <c r="M6" s="348">
        <f ca="1">INDIRECT("'数据-取费表'!z"&amp;$G$1)</f>
        <v>0</v>
      </c>
    </row>
    <row r="7" spans="1:37" ht="18" customHeight="1">
      <c r="A7" s="1291"/>
      <c r="B7" s="3163"/>
      <c r="C7" s="1293"/>
      <c r="D7" s="352"/>
      <c r="E7" s="2963" t="s">
        <v>1401</v>
      </c>
      <c r="F7" s="348">
        <f ca="1">IF(INDIRECT("'数据-取费表'!ah"&amp;$G$1)="",INDIRECT("'数据-取费表'!k"&amp;$G$1),INDIRECT("'数据-取费表'!ah"&amp;$G$1))</f>
        <v>111</v>
      </c>
      <c r="G7" s="1847"/>
      <c r="H7" s="349"/>
      <c r="I7" s="3163"/>
      <c r="J7" s="351"/>
      <c r="K7" s="352"/>
      <c r="L7" s="347" t="s">
        <v>1401</v>
      </c>
      <c r="M7" s="348">
        <f ca="1">F7</f>
        <v>111</v>
      </c>
    </row>
    <row r="8" spans="1:37" ht="18" customHeight="1">
      <c r="A8" s="349"/>
      <c r="B8" s="3163"/>
      <c r="C8" s="351"/>
      <c r="D8" s="352"/>
      <c r="E8" s="347" t="s">
        <v>1402</v>
      </c>
      <c r="F8" s="348">
        <f ca="1">INDIRECT("'数据-取费表'!ai"&amp;$G$1)</f>
        <v>12</v>
      </c>
      <c r="G8" s="1847"/>
      <c r="H8" s="349"/>
      <c r="I8" s="3163"/>
      <c r="J8" s="351"/>
      <c r="K8" s="352"/>
      <c r="L8" s="347" t="s">
        <v>1402</v>
      </c>
      <c r="M8" s="348">
        <f ca="1">INDIRECT("'数据-取费表'!ai"&amp;$G$1)</f>
        <v>12</v>
      </c>
    </row>
    <row r="9" spans="1:37" ht="18" customHeight="1">
      <c r="A9" s="349"/>
      <c r="B9" s="3164"/>
      <c r="C9" s="351"/>
      <c r="D9" s="352"/>
      <c r="E9" s="347" t="s">
        <v>1403</v>
      </c>
      <c r="F9" s="357">
        <f ca="1">INDIRECT("'数据-取费表'!w"&amp;$G$1)</f>
        <v>0.1</v>
      </c>
      <c r="G9" s="1847"/>
      <c r="H9" s="349"/>
      <c r="I9" s="3164"/>
      <c r="J9" s="351"/>
      <c r="K9" s="352"/>
      <c r="L9" s="358" t="s">
        <v>1403</v>
      </c>
      <c r="M9" s="359">
        <f ca="1">INDIRECT("'数据-取费表'!ab"&amp;$G$1)</f>
        <v>0</v>
      </c>
    </row>
    <row r="10" spans="1:37" ht="18" customHeight="1">
      <c r="A10" s="1287" t="s">
        <v>1036</v>
      </c>
      <c r="B10" s="1819" t="s">
        <v>1404</v>
      </c>
      <c r="C10" s="361">
        <f ca="1">ROUND(IF(F10="押一",C6/12*F11,IF(F10="押二",C6/12*2*F11,IF(F10="押三",C6/12*3*F11,C11*F11))),0)</f>
        <v>0</v>
      </c>
      <c r="D10" s="1820" t="s">
        <v>3038</v>
      </c>
      <c r="E10" s="358" t="s">
        <v>1405</v>
      </c>
      <c r="F10" s="1362" t="s">
        <v>3104</v>
      </c>
      <c r="G10" s="1847"/>
      <c r="H10" s="1287" t="s">
        <v>1036</v>
      </c>
      <c r="I10" s="1819" t="s">
        <v>1404</v>
      </c>
      <c r="J10" s="346">
        <f ca="1">ROUND(IF(M10="押一",J6/12*M11,IF(M10="押二",J6/12*2*M11,IF(M10="押三",J6/12*3*M11,J11*M11))),0)</f>
        <v>0</v>
      </c>
      <c r="K10" s="1820" t="s">
        <v>3038</v>
      </c>
      <c r="L10" s="358" t="s">
        <v>1405</v>
      </c>
      <c r="M10" s="1362" t="s">
        <v>1406</v>
      </c>
    </row>
    <row r="11" spans="1:37" ht="18" customHeight="1">
      <c r="A11" s="353"/>
      <c r="B11" s="1821" t="s">
        <v>1383</v>
      </c>
      <c r="C11" s="1174"/>
      <c r="D11" s="1822"/>
      <c r="E11" s="358" t="s">
        <v>1407</v>
      </c>
      <c r="F11" s="359">
        <f ca="1">'数据-取费表'!B39</f>
        <v>1.4999999999999999E-2</v>
      </c>
      <c r="G11" s="1847"/>
      <c r="H11" s="1295"/>
      <c r="I11" s="1821" t="s">
        <v>1383</v>
      </c>
      <c r="J11" s="1174"/>
      <c r="K11" s="748"/>
      <c r="L11" s="358"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2523</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7" t="s">
        <v>1412</v>
      </c>
      <c r="C14" s="363">
        <f ca="1">INDIRECT("'数据-取费表'!m"&amp;$G$1)+INDIRECT("'数据-取费表'!t"&amp;$G$1)</f>
        <v>1879</v>
      </c>
      <c r="D14" s="2954" t="s">
        <v>1413</v>
      </c>
      <c r="E14" s="2952"/>
      <c r="F14" s="364"/>
      <c r="G14" s="1847"/>
      <c r="H14" s="1197" t="s">
        <v>1032</v>
      </c>
      <c r="I14" s="347" t="s">
        <v>1414</v>
      </c>
      <c r="J14" s="24">
        <f ca="1">C29</f>
        <v>2523</v>
      </c>
      <c r="K14" s="2962"/>
      <c r="L14" s="975"/>
      <c r="M14" s="976"/>
    </row>
    <row r="15" spans="1:37" s="1854" customFormat="1" ht="18" customHeight="1" thickBot="1">
      <c r="A15" s="1197" t="s">
        <v>1033</v>
      </c>
      <c r="B15" s="347" t="s">
        <v>1415</v>
      </c>
      <c r="C15" s="24">
        <f ca="1">ROUND(C14*F15,0)</f>
        <v>94</v>
      </c>
      <c r="D15" s="365" t="s">
        <v>1416</v>
      </c>
      <c r="E15" s="365" t="s">
        <v>1417</v>
      </c>
      <c r="F15" s="366">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7"/>
      <c r="H16" s="1325" t="s">
        <v>1027</v>
      </c>
      <c r="I16" s="1326" t="s">
        <v>1419</v>
      </c>
      <c r="J16" s="355">
        <f ca="1">ROUND(J17+J22+J23+J24,0)</f>
        <v>61</v>
      </c>
      <c r="K16" s="1333" t="s">
        <v>1420</v>
      </c>
      <c r="L16" s="2956"/>
      <c r="M16" s="1290"/>
    </row>
    <row r="17" spans="1:37" s="1854" customFormat="1" ht="18" customHeight="1">
      <c r="A17" s="1197" t="s">
        <v>1385</v>
      </c>
      <c r="B17" s="347" t="s">
        <v>1421</v>
      </c>
      <c r="C17" s="24">
        <f ca="1">ROUND(F17*(F43+INDIRECT("'数据-取费表'!S"&amp;$G$1))/10000,0)</f>
        <v>83</v>
      </c>
      <c r="D17" s="347" t="s">
        <v>1422</v>
      </c>
      <c r="E17" s="347" t="s">
        <v>1423</v>
      </c>
      <c r="F17" s="26">
        <f>'数据-取费表'!B35</f>
        <v>200</v>
      </c>
      <c r="G17" s="1850"/>
      <c r="H17" s="1197" t="s">
        <v>1032</v>
      </c>
      <c r="I17" s="347" t="s">
        <v>1424</v>
      </c>
      <c r="J17" s="24">
        <f ca="1">ROUND(IF(项目基本情况!B11="自然人",J6*M17/(1+'数据-取费表'!C42),J18+J19+J20),1)</f>
        <v>23</v>
      </c>
      <c r="K17" s="2954" t="s">
        <v>1425</v>
      </c>
      <c r="L17" s="2953" t="s">
        <v>1426</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7" t="s">
        <v>1427</v>
      </c>
      <c r="C18" s="24">
        <f ca="1">ROUND(C14*F18,0)</f>
        <v>28</v>
      </c>
      <c r="D18" s="347" t="s">
        <v>1416</v>
      </c>
      <c r="E18" s="347" t="s">
        <v>1417</v>
      </c>
      <c r="F18" s="367">
        <f>'数据-取费表'!B36</f>
        <v>1.4999999999999999E-2</v>
      </c>
      <c r="G18" s="1850"/>
      <c r="H18" s="1197" t="s">
        <v>1031</v>
      </c>
      <c r="I18" s="347" t="s">
        <v>1428</v>
      </c>
      <c r="J18" s="24">
        <f ca="1">ROUND(J6*M18/(1+'数据-取费表'!C42),2)</f>
        <v>0</v>
      </c>
      <c r="K18" s="2953"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1430</v>
      </c>
      <c r="C19" s="24">
        <f ca="1">SUM(C14:C18)</f>
        <v>2084</v>
      </c>
      <c r="D19" s="140" t="s">
        <v>1431</v>
      </c>
      <c r="E19" s="2961"/>
      <c r="F19" s="26"/>
      <c r="G19" s="1847"/>
      <c r="H19" s="1197" t="s">
        <v>1033</v>
      </c>
      <c r="I19" s="347" t="s">
        <v>1432</v>
      </c>
      <c r="J19" s="24">
        <f ca="1">IF(K19="按租金收入计税",ROUND(J6*M19/(1+'数据-取费表'!C42),2),ROUND(C29*M19*0.7,2))</f>
        <v>21.19</v>
      </c>
      <c r="K19" s="1824" t="s">
        <v>1433</v>
      </c>
      <c r="L19" s="347" t="s">
        <v>1417</v>
      </c>
      <c r="M19" s="367">
        <f>IF(K19="按租金收入计税",'数据-取费表'!B51,'数据-取费表'!B50)</f>
        <v>1.2E-2</v>
      </c>
    </row>
    <row r="20" spans="1:37" s="1854" customFormat="1" ht="18" customHeight="1">
      <c r="A20" s="1197" t="s">
        <v>1036</v>
      </c>
      <c r="B20" s="347" t="s">
        <v>1434</v>
      </c>
      <c r="C20" s="24">
        <f ca="1">ROUND(C19*F20,0)</f>
        <v>42</v>
      </c>
      <c r="D20" s="369" t="s">
        <v>1435</v>
      </c>
      <c r="E20" s="347" t="s">
        <v>1417</v>
      </c>
      <c r="F20" s="367">
        <f>'数据-取费表'!B37</f>
        <v>0.02</v>
      </c>
      <c r="G20" s="1850"/>
      <c r="H20" s="1197" t="s">
        <v>1384</v>
      </c>
      <c r="I20" s="164" t="s">
        <v>1436</v>
      </c>
      <c r="J20" s="25">
        <f ca="1">ROUND(M20*M21/10000,2)</f>
        <v>1.81</v>
      </c>
      <c r="K20" s="370" t="s">
        <v>1437</v>
      </c>
      <c r="L20" s="347" t="s">
        <v>1438</v>
      </c>
      <c r="M20" s="37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602.32000000000005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2961"/>
      <c r="F22" s="26"/>
      <c r="G22" s="1847"/>
      <c r="H22" s="1197" t="s">
        <v>1036</v>
      </c>
      <c r="I22" s="347" t="s">
        <v>1444</v>
      </c>
      <c r="J22" s="24">
        <f ca="1">ROUND(J14*M22,1)</f>
        <v>37.799999999999997</v>
      </c>
      <c r="K22" s="2953" t="s">
        <v>1445</v>
      </c>
      <c r="L22" s="347" t="s">
        <v>1417</v>
      </c>
      <c r="M22" s="374">
        <f ca="1">INDIRECT("'数据-取费表'!Ak"&amp;$G$1)</f>
        <v>1.4999999999999999E-2</v>
      </c>
    </row>
    <row r="23" spans="1:37" s="1854" customFormat="1" ht="18" customHeight="1">
      <c r="A23" s="1197" t="s">
        <v>1031</v>
      </c>
      <c r="B23" s="347" t="s">
        <v>1446</v>
      </c>
      <c r="C23" s="24">
        <f ca="1">IF('数据-取费表'!B22&lt;=1,ROUND(C19*F24*F23/2,0)+ROUND(C20*F24*F23/2,0),ROUND(C19*(POWER((1+F24),F23/2)-1),0)+ROUND(C20*(POWER((1+F24),F23/2)-1),0))</f>
        <v>101</v>
      </c>
      <c r="D23" s="375" t="str">
        <f>IF(F23&lt;=1,"(建造成本+管理费用)×利率×(建设周期÷2)","(建造成本+管理费用)×((1+利率)^(建设周期÷2)-1)")</f>
        <v>(建造成本+管理费用)×((1+利率)^(建设周期÷2)-1)</v>
      </c>
      <c r="E23" s="347" t="s">
        <v>1447</v>
      </c>
      <c r="F23" s="371">
        <f>'数据-取费表'!B20</f>
        <v>2</v>
      </c>
      <c r="G23" s="1850"/>
      <c r="H23" s="1197" t="s">
        <v>1072</v>
      </c>
      <c r="I23" s="347" t="s">
        <v>1448</v>
      </c>
      <c r="J23" s="24">
        <f ca="1">ROUND(J13*M23,1)</f>
        <v>0</v>
      </c>
      <c r="K23" s="2953" t="s">
        <v>1449</v>
      </c>
      <c r="L23" s="347" t="s">
        <v>1417</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0"/>
      <c r="H24" s="1335" t="s">
        <v>1387</v>
      </c>
      <c r="I24" s="1336" t="s">
        <v>1434</v>
      </c>
      <c r="J24" s="1337">
        <f ca="1">ROUND(J5*M24,1)</f>
        <v>0</v>
      </c>
      <c r="K24" s="1338" t="s">
        <v>1454</v>
      </c>
      <c r="L24" s="1336" t="s">
        <v>1417</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7" t="s">
        <v>1456</v>
      </c>
      <c r="C25" s="24"/>
      <c r="D25" s="140" t="s">
        <v>1457</v>
      </c>
      <c r="E25" s="2961"/>
      <c r="F25" s="26"/>
      <c r="G25" s="1847"/>
      <c r="H25" s="1325" t="s">
        <v>1028</v>
      </c>
      <c r="I25" s="1340" t="s">
        <v>1458</v>
      </c>
      <c r="J25" s="355">
        <f ca="1">J5-J16</f>
        <v>-61</v>
      </c>
      <c r="K25" s="1341" t="s">
        <v>1459</v>
      </c>
      <c r="L25" s="1342"/>
      <c r="M25" s="1343"/>
    </row>
    <row r="26" spans="1:37">
      <c r="A26" s="1197" t="s">
        <v>1031</v>
      </c>
      <c r="B26" s="347" t="s">
        <v>1460</v>
      </c>
      <c r="C26" s="24">
        <f ca="1">ROUND((C19+C20)*F26,0)</f>
        <v>106</v>
      </c>
      <c r="D26" s="369" t="s">
        <v>1461</v>
      </c>
      <c r="E26" s="358" t="s">
        <v>1462</v>
      </c>
      <c r="F26" s="357">
        <f ca="1">INDIRECT("'数据-取费表'!q"&amp;$G$1)</f>
        <v>0.05</v>
      </c>
      <c r="G26" s="1847"/>
      <c r="H26" s="344" t="s">
        <v>1029</v>
      </c>
      <c r="I26" s="345" t="s">
        <v>1463</v>
      </c>
      <c r="J26" s="346">
        <f ca="1">IF(J5&lt;&gt;0,ROUND(J25*(1-((1+M28)/(1+M26))^M27)/(M26-M28),0),0)</f>
        <v>0</v>
      </c>
      <c r="K26" s="370" t="s">
        <v>1464</v>
      </c>
      <c r="L26" s="347" t="s">
        <v>1465</v>
      </c>
      <c r="M26" s="357">
        <f ca="1">INDIRECT("'数据-取费表'!I"&amp;$G$1)</f>
        <v>0.05</v>
      </c>
    </row>
    <row r="27" spans="1:37" ht="18" customHeight="1">
      <c r="A27" s="1197" t="s">
        <v>1033</v>
      </c>
      <c r="B27" s="347" t="s">
        <v>1466</v>
      </c>
      <c r="C27" s="24">
        <f ca="1">ROUND(F21*F26,4)</f>
        <v>1E-3</v>
      </c>
      <c r="D27" s="369" t="s">
        <v>1467</v>
      </c>
      <c r="E27" s="365"/>
      <c r="F27" s="366"/>
      <c r="G27" s="1847"/>
      <c r="H27" s="349"/>
      <c r="I27" s="350"/>
      <c r="J27" s="351"/>
      <c r="K27" s="378" t="s">
        <v>1468</v>
      </c>
      <c r="L27" s="347" t="s">
        <v>1469</v>
      </c>
      <c r="M27" s="379">
        <f ca="1">INDIRECT("'数据-取费表'!ag"&amp;$G$1)</f>
        <v>0</v>
      </c>
    </row>
    <row r="28" spans="1:37" s="1854" customFormat="1" ht="18" customHeight="1">
      <c r="A28" s="1197"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2523</v>
      </c>
      <c r="D29" s="1338"/>
      <c r="E29" s="1336"/>
      <c r="F29" s="1339"/>
      <c r="G29" s="1850"/>
      <c r="H29" s="380" t="s">
        <v>1030</v>
      </c>
      <c r="I29" s="381" t="s">
        <v>1474</v>
      </c>
      <c r="J29" s="382">
        <f ca="1">ROUND(J26/(1+F40)^F41,0)</f>
        <v>0</v>
      </c>
      <c r="K29" s="383" t="s">
        <v>1475</v>
      </c>
      <c r="L29" s="384"/>
      <c r="M29" s="385">
        <f ca="1">INDIRECT("'数据-取费表'!k"&amp;$G$1)</f>
        <v>3919.01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75</v>
      </c>
      <c r="D30" s="1333" t="s">
        <v>1420</v>
      </c>
      <c r="E30" s="2956"/>
      <c r="F30" s="1290"/>
      <c r="G30" s="1847"/>
      <c r="H30" s="745"/>
      <c r="I30" s="746"/>
      <c r="J30" s="747"/>
      <c r="K30" s="748"/>
      <c r="L30" s="749"/>
      <c r="M30" s="750"/>
    </row>
    <row r="31" spans="1:37" ht="18" customHeight="1">
      <c r="A31" s="1197" t="s">
        <v>1032</v>
      </c>
      <c r="B31" s="347" t="s">
        <v>1424</v>
      </c>
      <c r="C31" s="24">
        <f ca="1">ROUND(IF(项目基本情况!B11="自然人",C6*F31/(1+'数据-取费表'!C42),C32+C33+C34),1)</f>
        <v>32</v>
      </c>
      <c r="D31" s="2954" t="s">
        <v>1425</v>
      </c>
      <c r="E31" s="2953" t="s">
        <v>1476</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1031</v>
      </c>
      <c r="B32" s="347" t="s">
        <v>1428</v>
      </c>
      <c r="C32" s="24">
        <f ca="1">IF(项目基本情况!B11="自然人","——",ROUND(C6*F32/(1+'数据-取费表'!C42),2))</f>
        <v>9.6</v>
      </c>
      <c r="D32" s="2953" t="s">
        <v>1429</v>
      </c>
      <c r="E32" s="347" t="s">
        <v>1417</v>
      </c>
      <c r="F32" s="377">
        <f>'数据-取费表'!B41</f>
        <v>5.6000000000000001E-2</v>
      </c>
      <c r="G32" s="1847"/>
      <c r="H32" s="745"/>
      <c r="I32" s="746"/>
      <c r="J32" s="747"/>
      <c r="K32" s="748"/>
      <c r="L32" s="749"/>
      <c r="M32" s="750"/>
    </row>
    <row r="33" spans="1:18" ht="18" customHeight="1">
      <c r="A33" s="1197" t="s">
        <v>1033</v>
      </c>
      <c r="B33" s="347" t="s">
        <v>1432</v>
      </c>
      <c r="C33" s="24">
        <f ca="1">IF(项目基本情况!B11="自然人","——",IF(D33="按租金收入计税",ROUND(C6*F33/(1+'数据-取费表'!C42),2),IF(D33="按房产原值计税",ROUND(C29*F33*0.7,2),INDIRECT("'数据-取费表'!Aj"&amp;$G$1))))</f>
        <v>20.57</v>
      </c>
      <c r="D33" s="1824" t="s">
        <v>3094</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IF(项目基本情况!B11="自然人","——",ROUND(F34*F35/10000,2))</f>
        <v>1.81</v>
      </c>
      <c r="D34" s="370" t="s">
        <v>1437</v>
      </c>
      <c r="E34" s="347" t="s">
        <v>1438</v>
      </c>
      <c r="F34" s="371">
        <f>'数据-取费表'!B52</f>
        <v>30</v>
      </c>
      <c r="G34" s="1847"/>
      <c r="H34" s="745"/>
      <c r="I34" s="1856"/>
      <c r="J34" s="1857"/>
      <c r="K34" s="1859"/>
      <c r="L34" s="1860"/>
      <c r="M34" s="1860"/>
    </row>
    <row r="35" spans="1:18" ht="18" customHeight="1">
      <c r="A35" s="1349"/>
      <c r="B35" s="1347"/>
      <c r="C35" s="29"/>
      <c r="D35" s="373"/>
      <c r="E35" s="347" t="s">
        <v>1442</v>
      </c>
      <c r="F35" s="348">
        <f ca="1">INDIRECT("'数据-取费表'!r"&amp;$G$1)</f>
        <v>602.32000000000005</v>
      </c>
      <c r="G35" s="1847"/>
      <c r="H35" s="745"/>
      <c r="I35" s="1856"/>
      <c r="J35" s="1857"/>
      <c r="K35" s="1858"/>
      <c r="L35" s="1855"/>
      <c r="M35" s="1855"/>
    </row>
    <row r="36" spans="1:18" ht="18" customHeight="1">
      <c r="A36" s="1348" t="s">
        <v>1036</v>
      </c>
      <c r="B36" s="347" t="s">
        <v>1444</v>
      </c>
      <c r="C36" s="24">
        <f ca="1">ROUND(C29*F36,1)</f>
        <v>37.799999999999997</v>
      </c>
      <c r="D36" s="2953" t="s">
        <v>1477</v>
      </c>
      <c r="E36" s="347" t="s">
        <v>1417</v>
      </c>
      <c r="F36" s="374">
        <f ca="1">INDIRECT("'数据-取费表'!Ak"&amp;$G$1)</f>
        <v>1.4999999999999999E-2</v>
      </c>
      <c r="G36" s="1847"/>
      <c r="H36" s="1855"/>
      <c r="I36" s="1856"/>
      <c r="J36" s="1857"/>
      <c r="K36" s="751"/>
      <c r="L36" s="1855"/>
      <c r="M36" s="1855"/>
    </row>
    <row r="37" spans="1:18" ht="18" customHeight="1">
      <c r="A37" s="1197" t="s">
        <v>1072</v>
      </c>
      <c r="B37" s="347" t="s">
        <v>1448</v>
      </c>
      <c r="C37" s="24">
        <f ca="1">ROUND(C13*F37,1)</f>
        <v>3.8</v>
      </c>
      <c r="D37" s="2953" t="s">
        <v>1449</v>
      </c>
      <c r="E37" s="347" t="s">
        <v>1417</v>
      </c>
      <c r="F37" s="376">
        <f ca="1">INDIRECT("'数据-取费表'!Al"&amp;$G$1)</f>
        <v>1.5E-3</v>
      </c>
      <c r="G37" s="1847"/>
      <c r="H37" s="1855"/>
      <c r="I37" s="1856"/>
      <c r="J37" s="1857"/>
      <c r="K37" s="751"/>
      <c r="L37" s="1855"/>
      <c r="M37" s="1855"/>
    </row>
    <row r="38" spans="1:18" ht="18" customHeight="1" thickBot="1">
      <c r="A38" s="1335" t="s">
        <v>1387</v>
      </c>
      <c r="B38" s="1336" t="s">
        <v>1434</v>
      </c>
      <c r="C38" s="1337">
        <f ca="1">ROUND(C5*F38,1)</f>
        <v>1.8</v>
      </c>
      <c r="D38" s="1338" t="s">
        <v>1454</v>
      </c>
      <c r="E38" s="1336" t="s">
        <v>1417</v>
      </c>
      <c r="F38" s="1332">
        <f ca="1">INDIRECT("'数据-取费表'!Am"&amp;$G$1)</f>
        <v>0.01</v>
      </c>
      <c r="G38" s="1847"/>
      <c r="H38" s="1855"/>
      <c r="I38" s="1856"/>
      <c r="J38" s="1857">
        <f ca="1">C40/F7</f>
        <v>21.792792792792792</v>
      </c>
      <c r="K38" s="1861"/>
      <c r="L38" s="1855"/>
      <c r="M38" s="1855"/>
    </row>
    <row r="39" spans="1:18" ht="24.6" customHeight="1" thickTop="1">
      <c r="A39" s="1325" t="s">
        <v>1028</v>
      </c>
      <c r="B39" s="1340" t="s">
        <v>1458</v>
      </c>
      <c r="C39" s="355">
        <f ca="1">C5-C30</f>
        <v>105</v>
      </c>
      <c r="D39" s="1341" t="s">
        <v>1459</v>
      </c>
      <c r="E39" s="1342"/>
      <c r="F39" s="1343"/>
      <c r="G39" s="1847"/>
      <c r="H39" s="1855"/>
      <c r="I39" s="1856"/>
      <c r="J39" s="1857"/>
      <c r="K39" s="1861"/>
      <c r="L39" s="1855"/>
      <c r="M39" s="1855"/>
    </row>
    <row r="40" spans="1:18" ht="18" customHeight="1">
      <c r="A40" s="344" t="s">
        <v>1029</v>
      </c>
      <c r="B40" s="345" t="s">
        <v>1480</v>
      </c>
      <c r="C40" s="346">
        <f ca="1">ROUND(C39*(1-((1+F42)/(1+F40))^F41)/(F40-F42),0)</f>
        <v>2419</v>
      </c>
      <c r="D40" s="370" t="s">
        <v>1464</v>
      </c>
      <c r="E40" s="347" t="s">
        <v>1465</v>
      </c>
      <c r="F40" s="357">
        <f ca="1">INDIRECT("'数据-取费表'!I"&amp;$G$1)</f>
        <v>0.05</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35.589999999999996</v>
      </c>
      <c r="G41" s="1847"/>
      <c r="H41" s="732"/>
      <c r="I41" s="1856"/>
      <c r="J41" s="1857"/>
      <c r="K41" s="751"/>
      <c r="L41" s="732"/>
      <c r="M41" s="732"/>
    </row>
    <row r="42" spans="1:18" ht="18" customHeight="1">
      <c r="A42" s="353"/>
      <c r="B42" s="354"/>
      <c r="C42" s="355"/>
      <c r="D42" s="373"/>
      <c r="E42" s="347" t="s">
        <v>1472</v>
      </c>
      <c r="F42" s="357">
        <f ca="1">INDIRECT("'数据-取费表'!v"&amp;$G$1)</f>
        <v>2.5000000000000001E-2</v>
      </c>
      <c r="G42" s="1847"/>
      <c r="H42" s="732"/>
      <c r="I42" s="1856"/>
      <c r="J42" s="1857"/>
      <c r="K42" s="751"/>
      <c r="L42" s="732"/>
      <c r="M42" s="732"/>
    </row>
    <row r="43" spans="1:18" ht="18" customHeight="1" thickBot="1">
      <c r="A43" s="380" t="s">
        <v>1030</v>
      </c>
      <c r="B43" s="381" t="s">
        <v>1482</v>
      </c>
      <c r="C43" s="382">
        <f ca="1">ROUND(C40*10000/F43,0)</f>
        <v>6172</v>
      </c>
      <c r="D43" s="383" t="s">
        <v>1483</v>
      </c>
      <c r="E43" s="384" t="s">
        <v>1484</v>
      </c>
      <c r="F43" s="385">
        <f ca="1">INDIRECT("'数据-取费表'!k"&amp;$G$1)</f>
        <v>3919.01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-6621</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2"/>
      <c r="I47" s="1876" t="s">
        <v>1521</v>
      </c>
      <c r="J47" s="1877" t="s">
        <v>3095</v>
      </c>
      <c r="K47" s="1878" t="s">
        <v>1522</v>
      </c>
      <c r="L47" s="1879">
        <f ca="1">INDIRECT("'数据-取费表'!d"&amp;$G$1)</f>
        <v>50</v>
      </c>
      <c r="M47" s="1834" t="str">
        <f>IF(ISNUMBER(FIND("住宅",C1)),"住宅","非住宅")</f>
        <v>非住宅</v>
      </c>
      <c r="O47" s="1880" t="s">
        <v>1037</v>
      </c>
      <c r="P47" s="1881" t="s">
        <v>1523</v>
      </c>
      <c r="Q47" s="1882">
        <f ca="1">C40+J29</f>
        <v>2419</v>
      </c>
      <c r="R47" s="1882" t="s">
        <v>1524</v>
      </c>
    </row>
    <row r="48" spans="1:18" s="1838" customFormat="1" ht="28.5" thickBot="1">
      <c r="A48" s="1356" t="s">
        <v>1132</v>
      </c>
      <c r="B48" s="345" t="s">
        <v>1396</v>
      </c>
      <c r="C48" s="2960">
        <f ca="1">C49+C53+C55</f>
        <v>0</v>
      </c>
      <c r="D48" s="1358"/>
      <c r="E48" s="1359"/>
      <c r="F48" s="1177"/>
      <c r="G48" s="792"/>
      <c r="H48" s="793"/>
      <c r="I48" s="1883" t="s">
        <v>1525</v>
      </c>
      <c r="J48" s="1884" t="s">
        <v>3096</v>
      </c>
      <c r="K48" s="1885" t="s">
        <v>1526</v>
      </c>
      <c r="L48" s="1886">
        <f ca="1">INDIRECT("'数据-取费表'!f"&amp;$G$1)</f>
        <v>36.29</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3029</v>
      </c>
      <c r="E49" s="1826" t="s">
        <v>1486</v>
      </c>
      <c r="F49" s="1277"/>
      <c r="G49" s="1887"/>
      <c r="H49" s="793"/>
      <c r="I49" s="1883" t="s">
        <v>1529</v>
      </c>
      <c r="J49" s="1888">
        <v>2020</v>
      </c>
      <c r="K49" s="1885" t="s">
        <v>1530</v>
      </c>
      <c r="L49" s="1889"/>
      <c r="O49" s="1890" t="s">
        <v>1039</v>
      </c>
      <c r="P49" s="1881" t="s">
        <v>1531</v>
      </c>
      <c r="Q49" s="1882">
        <f ca="1">C29</f>
        <v>2523</v>
      </c>
      <c r="R49" s="1882" t="s">
        <v>1524</v>
      </c>
    </row>
    <row r="50" spans="1:18" s="1838" customFormat="1" ht="13.5" thickBot="1">
      <c r="A50" s="1191"/>
      <c r="B50" s="1194"/>
      <c r="C50" s="1364"/>
      <c r="D50" s="1168"/>
      <c r="E50" s="1273" t="s">
        <v>1401</v>
      </c>
      <c r="F50" s="1274">
        <f ca="1">F7</f>
        <v>111</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8">
        <f ca="1">F8</f>
        <v>12</v>
      </c>
      <c r="I51" s="1894" t="s">
        <v>1535</v>
      </c>
      <c r="J51" s="1895">
        <f>IF(J49="",J50,J49+J50-YEAR('数据-取费表'!B2))</f>
        <v>61</v>
      </c>
      <c r="K51" s="1896" t="s">
        <v>1536</v>
      </c>
      <c r="L51" s="1897">
        <f ca="1">ROUND(-PV(INDIRECT("'数据-取费表'!h"&amp;$G$1),L48,(C39-C13*C76),0),0)</f>
        <v>-1940</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35.589999999999996</v>
      </c>
      <c r="R52" s="1882" t="s">
        <v>1541</v>
      </c>
    </row>
    <row r="53" spans="1:18" s="1838" customFormat="1" ht="24.75" thickBot="1">
      <c r="A53" s="1401" t="s">
        <v>1134</v>
      </c>
      <c r="B53" s="1827" t="s">
        <v>1404</v>
      </c>
      <c r="C53" s="361">
        <f ca="1">ROUND(IF(F53="押一",C49/12*F11,IF(F53="押二",C49/12*2*F11,IF(F53="押三",C49/12*3*F11,C54*F11))),0)</f>
        <v>0</v>
      </c>
      <c r="D53" s="1820" t="s">
        <v>3038</v>
      </c>
      <c r="E53" s="358" t="s">
        <v>1405</v>
      </c>
      <c r="F53" s="1362"/>
      <c r="I53" s="1901" t="s">
        <v>1542</v>
      </c>
      <c r="J53" s="2948">
        <f ca="1">IF(M47="住宅",IF(D1="——",MAX(J51,L48),MAX(J51,L48-'数据-取费表'!B24)),IF(D1="——",MIN(J51,L48),MIN(J51,L48-'数据-取费表'!B24)))</f>
        <v>35.589999999999996</v>
      </c>
      <c r="K53" s="3160" t="s">
        <v>1543</v>
      </c>
      <c r="L53" s="3161"/>
      <c r="O53" s="1880" t="s">
        <v>1043</v>
      </c>
      <c r="P53" s="1881" t="s">
        <v>1544</v>
      </c>
      <c r="Q53" s="1882">
        <f ca="1">Q47+Q48</f>
        <v>2419</v>
      </c>
      <c r="R53" s="1882" t="s">
        <v>1044</v>
      </c>
    </row>
    <row r="54" spans="1:18" s="1838" customFormat="1" ht="13.5" thickBot="1">
      <c r="A54" s="1402"/>
      <c r="B54" s="1821" t="s">
        <v>1383</v>
      </c>
      <c r="C54" s="1174"/>
      <c r="D54" s="1820"/>
      <c r="E54" s="295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57"/>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6">
        <f ca="1">C13</f>
        <v>2523</v>
      </c>
      <c r="D56" s="1909"/>
      <c r="E56" s="1910"/>
      <c r="F56" s="1902"/>
      <c r="I56" s="1911" t="s">
        <v>1549</v>
      </c>
      <c r="J56" s="1912" t="s">
        <v>3057</v>
      </c>
      <c r="K56" s="1883" t="s">
        <v>1550</v>
      </c>
      <c r="L56" s="1886" t="str">
        <f ca="1">IF(L48&lt;J51,"——",L48-J53)</f>
        <v>——</v>
      </c>
      <c r="O56" s="1880" t="s">
        <v>1037</v>
      </c>
      <c r="P56" s="1881" t="s">
        <v>1523</v>
      </c>
      <c r="Q56" s="1882">
        <f ca="1">C40+J29</f>
        <v>2419</v>
      </c>
      <c r="R56" s="1882" t="s">
        <v>1524</v>
      </c>
    </row>
    <row r="57" spans="1:18" s="1838" customFormat="1" ht="24.75" thickBot="1">
      <c r="A57" s="1913"/>
      <c r="B57" s="1165" t="s">
        <v>1473</v>
      </c>
      <c r="C57" s="282">
        <f ca="1">C29</f>
        <v>2523</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3" t="s">
        <v>1419</v>
      </c>
      <c r="C58" s="361">
        <f ca="1">ROUND(C59+C64+C65+C66,0)</f>
        <v>255</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213.7</v>
      </c>
      <c r="D59" s="1178" t="s">
        <v>1425</v>
      </c>
      <c r="E59" s="1179" t="s">
        <v>1426</v>
      </c>
      <c r="F59" s="368">
        <f ca="1">IF(项目基本情况!B11="企业","",IF(INDIRECT("'数据-取费表'!c"&amp;$G$1)="住宅",5%,IF(F49*F50*F51/12/(1+'数据-取费表'!C42)&gt;20000,12%,7%)))</f>
        <v>7.0000000000000007E-2</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1432</v>
      </c>
      <c r="C61" s="24">
        <f ca="1">IF(项目基本情况!B11="自然人","——",IF(D61="按租金收入计税",ROUND(C48*F61,2),IF(D61="按房产原值计税",ROUND(C57*F61*0.7,2),INDIRECT("'数据-取费表'!Aj"&amp;$G$1))))</f>
        <v>211.93</v>
      </c>
      <c r="D61" s="1824" t="s">
        <v>1433</v>
      </c>
      <c r="E61" s="1165" t="s">
        <v>1417</v>
      </c>
      <c r="F61" s="367">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1436</v>
      </c>
      <c r="C62" s="25">
        <f ca="1">IF(项目基本情况!B11="自然人","——",ROUND(F62*F63/10000,2))</f>
        <v>1.81</v>
      </c>
      <c r="D62" s="1180" t="s">
        <v>1437</v>
      </c>
      <c r="E62" s="1165" t="s">
        <v>1438</v>
      </c>
      <c r="F62" s="371">
        <f t="shared" si="0"/>
        <v>30</v>
      </c>
      <c r="I62" s="1924" t="s">
        <v>1565</v>
      </c>
      <c r="J62" s="1925" t="s">
        <v>1566</v>
      </c>
      <c r="K62" s="1925" t="s">
        <v>1567</v>
      </c>
      <c r="L62" s="1925" t="s">
        <v>1568</v>
      </c>
      <c r="M62" s="1926" t="s">
        <v>1569</v>
      </c>
      <c r="O62" s="1880" t="s">
        <v>1043</v>
      </c>
      <c r="P62" s="1881" t="s">
        <v>1544</v>
      </c>
      <c r="Q62" s="1882">
        <f ca="1">Q56+Q57</f>
        <v>2419</v>
      </c>
      <c r="R62" s="1882" t="s">
        <v>1044</v>
      </c>
    </row>
    <row r="63" spans="1:18" s="1838" customFormat="1" ht="13.5" thickBot="1">
      <c r="A63" s="372"/>
      <c r="B63" s="1171"/>
      <c r="C63" s="29"/>
      <c r="D63" s="1181"/>
      <c r="E63" s="1165" t="s">
        <v>1442</v>
      </c>
      <c r="F63" s="348">
        <f t="shared" ca="1" si="0"/>
        <v>602.32000000000005</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f ca="1">ROUND(C57*F64,1)</f>
        <v>37.799999999999997</v>
      </c>
      <c r="D64" s="1179" t="s">
        <v>1477</v>
      </c>
      <c r="E64" s="1165" t="s">
        <v>1417</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3.8</v>
      </c>
      <c r="D65" s="1179" t="s">
        <v>1449</v>
      </c>
      <c r="E65" s="1165" t="s">
        <v>1417</v>
      </c>
      <c r="F65" s="376">
        <f t="shared" ca="1" si="0"/>
        <v>1.5E-3</v>
      </c>
      <c r="I65" s="1924" t="s">
        <v>1574</v>
      </c>
      <c r="J65" s="1925">
        <v>40</v>
      </c>
      <c r="K65" s="1925">
        <v>30</v>
      </c>
      <c r="L65" s="1925">
        <v>50</v>
      </c>
      <c r="M65" s="1927">
        <v>0.02</v>
      </c>
      <c r="O65" s="1880" t="s">
        <v>1037</v>
      </c>
      <c r="P65" s="1881" t="s">
        <v>1523</v>
      </c>
      <c r="Q65" s="1882">
        <f ca="1">C40+J29</f>
        <v>2419</v>
      </c>
      <c r="R65" s="1882" t="s">
        <v>1524</v>
      </c>
    </row>
    <row r="66" spans="1:18" s="1838" customFormat="1" ht="16.5" thickBot="1">
      <c r="A66" s="1197" t="s">
        <v>1499</v>
      </c>
      <c r="B66" s="1165" t="s">
        <v>1434</v>
      </c>
      <c r="C66" s="24">
        <f ca="1">ROUND(C48*F66,1)</f>
        <v>0</v>
      </c>
      <c r="D66" s="1179" t="s">
        <v>1454</v>
      </c>
      <c r="E66" s="1165" t="s">
        <v>1417</v>
      </c>
      <c r="F66" s="357">
        <f t="shared" ca="1" si="0"/>
        <v>0.01</v>
      </c>
      <c r="O66" s="1880" t="s">
        <v>1038</v>
      </c>
      <c r="P66" s="1881" t="s">
        <v>1553</v>
      </c>
      <c r="Q66" s="1882">
        <f ca="1">L60</f>
        <v>0</v>
      </c>
      <c r="R66" s="1882" t="s">
        <v>1576</v>
      </c>
    </row>
    <row r="67" spans="1:18" s="1838" customFormat="1" ht="16.5" thickBot="1">
      <c r="A67" s="1172" t="s">
        <v>1028</v>
      </c>
      <c r="B67" s="1182" t="s">
        <v>1458</v>
      </c>
      <c r="C67" s="361">
        <f ca="1">C48-C58</f>
        <v>-255</v>
      </c>
      <c r="D67" s="1178" t="s">
        <v>1459</v>
      </c>
      <c r="E67" s="1183"/>
      <c r="F67" s="1184"/>
      <c r="O67" s="1890" t="s">
        <v>1039</v>
      </c>
      <c r="P67" s="1881" t="s">
        <v>1557</v>
      </c>
      <c r="Q67" s="1928">
        <f ca="1">L51</f>
        <v>-1940</v>
      </c>
      <c r="R67" s="1882" t="s">
        <v>1577</v>
      </c>
    </row>
    <row r="68" spans="1:18" s="1838" customFormat="1" ht="16.5" thickBot="1">
      <c r="A68" s="1162" t="s">
        <v>1029</v>
      </c>
      <c r="B68" s="1163" t="s">
        <v>1480</v>
      </c>
      <c r="C68" s="346">
        <f ca="1">ROUND(C67*(1-((1+F70)/(1+F68))^F69)/(F68-F70),0)</f>
        <v>-4202</v>
      </c>
      <c r="D68" s="1180" t="s">
        <v>1464</v>
      </c>
      <c r="E68" s="1165" t="s">
        <v>1465</v>
      </c>
      <c r="F68" s="357">
        <f ca="1">F40</f>
        <v>0.05</v>
      </c>
      <c r="O68" s="1890" t="s">
        <v>1040</v>
      </c>
      <c r="P68" s="1929" t="s">
        <v>1578</v>
      </c>
      <c r="Q68" s="1882">
        <f ca="1">ROUND(Q69-Q70*Q71,0)</f>
        <v>-109</v>
      </c>
      <c r="R68" s="1882" t="s">
        <v>1048</v>
      </c>
    </row>
    <row r="69" spans="1:18" s="1838" customFormat="1" ht="13.5" thickBot="1">
      <c r="A69" s="1166"/>
      <c r="B69" s="1167"/>
      <c r="C69" s="351"/>
      <c r="D69" s="1185" t="s">
        <v>1468</v>
      </c>
      <c r="E69" s="1165" t="s">
        <v>1469</v>
      </c>
      <c r="F69" s="379">
        <f ca="1">F41</f>
        <v>35.589999999999996</v>
      </c>
      <c r="O69" s="1890" t="s">
        <v>1045</v>
      </c>
      <c r="P69" s="1929" t="s">
        <v>1579</v>
      </c>
      <c r="Q69" s="1882">
        <f ca="1">C39</f>
        <v>105</v>
      </c>
      <c r="R69" s="1882" t="s">
        <v>1524</v>
      </c>
    </row>
    <row r="70" spans="1:18" s="1838" customFormat="1" ht="13.5" thickBot="1">
      <c r="A70" s="1169"/>
      <c r="B70" s="1170"/>
      <c r="C70" s="355"/>
      <c r="D70" s="1181"/>
      <c r="E70" s="1165" t="s">
        <v>1472</v>
      </c>
      <c r="F70" s="1271"/>
      <c r="O70" s="1890" t="s">
        <v>1046</v>
      </c>
      <c r="P70" s="1929" t="s">
        <v>1580</v>
      </c>
      <c r="Q70" s="1882">
        <f ca="1">C13</f>
        <v>2523</v>
      </c>
      <c r="R70" s="1882" t="s">
        <v>1524</v>
      </c>
    </row>
    <row r="71" spans="1:18" s="1838" customFormat="1" ht="13.5" thickBot="1">
      <c r="A71" s="1186" t="s">
        <v>1030</v>
      </c>
      <c r="B71" s="1187" t="s">
        <v>1482</v>
      </c>
      <c r="C71" s="382">
        <f ca="1">ROUND(C68*10000/F71,0)</f>
        <v>-10722</v>
      </c>
      <c r="D71" s="1188" t="s">
        <v>1483</v>
      </c>
      <c r="E71" s="1189" t="s">
        <v>1484</v>
      </c>
      <c r="F71" s="385">
        <f ca="1">F43</f>
        <v>3919.01</v>
      </c>
      <c r="O71" s="1890" t="s">
        <v>1047</v>
      </c>
      <c r="P71" s="1929" t="s">
        <v>1581</v>
      </c>
      <c r="Q71" s="1893">
        <f ca="1">C76</f>
        <v>8.5000000000000006E-2</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6" t="s">
        <v>1501</v>
      </c>
      <c r="C75" s="387">
        <f ca="1">ROUND(C13*C76,0)</f>
        <v>214</v>
      </c>
      <c r="D75" s="1838"/>
      <c r="E75" s="1838"/>
      <c r="F75" s="1838"/>
      <c r="K75" s="1864"/>
      <c r="L75" s="1838"/>
      <c r="O75" s="1880" t="s">
        <v>1043</v>
      </c>
      <c r="P75" s="1881" t="s">
        <v>1544</v>
      </c>
      <c r="Q75" s="1882">
        <f ca="1">Q65+Q66</f>
        <v>2419</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-1.0379999999999998</v>
      </c>
    </row>
    <row r="80" spans="1:18">
      <c r="B80" s="386" t="s">
        <v>1506</v>
      </c>
      <c r="C80" s="318">
        <f ca="1">ROUND(C75/C39,3)</f>
        <v>2.0379999999999998</v>
      </c>
    </row>
    <row r="81" spans="2:3">
      <c r="B81" s="314" t="s">
        <v>1507</v>
      </c>
      <c r="C81" s="282"/>
    </row>
    <row r="82" spans="2:3">
      <c r="B82" s="317" t="s">
        <v>1508</v>
      </c>
      <c r="C82" s="319">
        <f ca="1">1-C83</f>
        <v>-4.2999999999999927E-2</v>
      </c>
    </row>
    <row r="83" spans="2:3">
      <c r="B83" s="317" t="s">
        <v>1509</v>
      </c>
      <c r="C83" s="318">
        <f ca="1">ROUND(C13/C40,3)</f>
        <v>1.0429999999999999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39" sqref="L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3069</v>
      </c>
      <c r="D1" s="1816" t="s">
        <v>3092</v>
      </c>
      <c r="E1" s="1817" t="s">
        <v>1382</v>
      </c>
      <c r="F1" s="1279">
        <f ca="1">J53</f>
        <v>35.589999999999996</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1497</v>
      </c>
      <c r="C2" s="1841" t="s">
        <v>1511</v>
      </c>
      <c r="D2" s="1841"/>
      <c r="E2" s="1842"/>
      <c r="F2" s="1843"/>
      <c r="G2" s="1844"/>
      <c r="H2" s="1836"/>
      <c r="I2" s="1836"/>
      <c r="J2" s="1836"/>
      <c r="K2" s="1837"/>
      <c r="L2" s="1836"/>
      <c r="M2" s="1836"/>
    </row>
    <row r="3" spans="1:37" ht="18" customHeight="1" thickBot="1">
      <c r="A3" s="1845" t="s">
        <v>1512</v>
      </c>
      <c r="B3" s="1846">
        <f ca="1">IF(ISERROR(B2*10000/F43),0,ROUND(B2*10000/F43,0))</f>
        <v>6678</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8">
        <f ca="1">C6+C10+C12</f>
        <v>110</v>
      </c>
      <c r="D5" s="1818" t="s">
        <v>1397</v>
      </c>
      <c r="E5" s="1289"/>
      <c r="F5" s="1290"/>
      <c r="G5" s="1847"/>
      <c r="H5" s="344">
        <v>1</v>
      </c>
      <c r="I5" s="345" t="s">
        <v>1396</v>
      </c>
      <c r="J5" s="1288">
        <f ca="1">J6+J10+J12</f>
        <v>0</v>
      </c>
      <c r="K5" s="1818" t="s">
        <v>1397</v>
      </c>
      <c r="L5" s="1289"/>
      <c r="M5" s="1290"/>
    </row>
    <row r="6" spans="1:37" ht="18" customHeight="1">
      <c r="A6" s="1287" t="s">
        <v>1032</v>
      </c>
      <c r="B6" s="3162" t="s">
        <v>1398</v>
      </c>
      <c r="C6" s="1292">
        <f ca="1">ROUND(F6*F8*F7*(1-F9)/10000,0)</f>
        <v>110</v>
      </c>
      <c r="D6" s="164" t="s">
        <v>3030</v>
      </c>
      <c r="E6" s="347" t="s">
        <v>1400</v>
      </c>
      <c r="F6" s="348">
        <f ca="1">INDIRECT("'数据-取费表'!u"&amp;$G$1)</f>
        <v>1.5</v>
      </c>
      <c r="G6" s="1847"/>
      <c r="H6" s="1287" t="s">
        <v>1032</v>
      </c>
      <c r="I6" s="3162" t="s">
        <v>1398</v>
      </c>
      <c r="J6" s="346">
        <f ca="1">ROUND(M6*M8*M7*(1-M9)/10000,0)</f>
        <v>0</v>
      </c>
      <c r="K6" s="164" t="s">
        <v>3029</v>
      </c>
      <c r="L6" s="347" t="s">
        <v>1400</v>
      </c>
      <c r="M6" s="348">
        <f ca="1">INDIRECT("'数据-取费表'!z"&amp;$G$1)</f>
        <v>0</v>
      </c>
    </row>
    <row r="7" spans="1:37" ht="18" customHeight="1">
      <c r="A7" s="1291"/>
      <c r="B7" s="3163"/>
      <c r="C7" s="1293"/>
      <c r="D7" s="352"/>
      <c r="E7" s="2963" t="s">
        <v>1401</v>
      </c>
      <c r="F7" s="348">
        <f ca="1">IF(INDIRECT("'数据-取费表'!ah"&amp;$G$1)="",INDIRECT("'数据-取费表'!k"&amp;$G$1),INDIRECT("'数据-取费表'!ah"&amp;$G$1))</f>
        <v>2241.69</v>
      </c>
      <c r="G7" s="1847"/>
      <c r="H7" s="349"/>
      <c r="I7" s="3163"/>
      <c r="J7" s="351"/>
      <c r="K7" s="352"/>
      <c r="L7" s="347" t="s">
        <v>1401</v>
      </c>
      <c r="M7" s="348">
        <f ca="1">F7</f>
        <v>2241.69</v>
      </c>
    </row>
    <row r="8" spans="1:37" ht="18" customHeight="1">
      <c r="A8" s="349"/>
      <c r="B8" s="3163"/>
      <c r="C8" s="351"/>
      <c r="D8" s="352"/>
      <c r="E8" s="347" t="s">
        <v>1402</v>
      </c>
      <c r="F8" s="348">
        <f ca="1">INDIRECT("'数据-取费表'!ai"&amp;$G$1)</f>
        <v>365</v>
      </c>
      <c r="G8" s="1847"/>
      <c r="H8" s="349"/>
      <c r="I8" s="3163"/>
      <c r="J8" s="351"/>
      <c r="K8" s="352"/>
      <c r="L8" s="347" t="s">
        <v>1402</v>
      </c>
      <c r="M8" s="348">
        <f ca="1">INDIRECT("'数据-取费表'!ai"&amp;$G$1)</f>
        <v>365</v>
      </c>
    </row>
    <row r="9" spans="1:37" ht="18" customHeight="1">
      <c r="A9" s="349"/>
      <c r="B9" s="3164"/>
      <c r="C9" s="351"/>
      <c r="D9" s="352"/>
      <c r="E9" s="347" t="s">
        <v>1403</v>
      </c>
      <c r="F9" s="357">
        <f ca="1">INDIRECT("'数据-取费表'!w"&amp;$G$1)</f>
        <v>0.1</v>
      </c>
      <c r="G9" s="1847"/>
      <c r="H9" s="349"/>
      <c r="I9" s="3164"/>
      <c r="J9" s="351"/>
      <c r="K9" s="352"/>
      <c r="L9" s="358" t="s">
        <v>1403</v>
      </c>
      <c r="M9" s="359">
        <f ca="1">INDIRECT("'数据-取费表'!ab"&amp;$G$1)</f>
        <v>0</v>
      </c>
    </row>
    <row r="10" spans="1:37" ht="18" customHeight="1">
      <c r="A10" s="1287" t="s">
        <v>1036</v>
      </c>
      <c r="B10" s="1819" t="s">
        <v>1404</v>
      </c>
      <c r="C10" s="361">
        <f ca="1">ROUND(IF(F10="押一",C6/12*F11,IF(F10="押二",C6/12*2*F11,IF(F10="押三",C6/12*3*F11,C11*F11))),0)</f>
        <v>0</v>
      </c>
      <c r="D10" s="1820" t="s">
        <v>3038</v>
      </c>
      <c r="E10" s="358" t="s">
        <v>1405</v>
      </c>
      <c r="F10" s="1362" t="s">
        <v>3093</v>
      </c>
      <c r="G10" s="1847"/>
      <c r="H10" s="1287" t="s">
        <v>1036</v>
      </c>
      <c r="I10" s="1819" t="s">
        <v>1404</v>
      </c>
      <c r="J10" s="346">
        <f ca="1">ROUND(IF(M10="押一",J6/12*M11,IF(M10="押二",J6/12*2*M11,IF(M10="押三",J6/12*3*M11,J11*M11))),0)</f>
        <v>0</v>
      </c>
      <c r="K10" s="1820" t="s">
        <v>3038</v>
      </c>
      <c r="L10" s="358" t="s">
        <v>1405</v>
      </c>
      <c r="M10" s="1362" t="s">
        <v>1406</v>
      </c>
    </row>
    <row r="11" spans="1:37" ht="18" customHeight="1">
      <c r="A11" s="353"/>
      <c r="B11" s="1821" t="s">
        <v>1383</v>
      </c>
      <c r="C11" s="1174"/>
      <c r="D11" s="1822"/>
      <c r="E11" s="358" t="s">
        <v>1407</v>
      </c>
      <c r="F11" s="359">
        <f ca="1">'数据-取费表'!B39</f>
        <v>1.4999999999999999E-2</v>
      </c>
      <c r="G11" s="1847"/>
      <c r="H11" s="1295"/>
      <c r="I11" s="1821" t="s">
        <v>1383</v>
      </c>
      <c r="J11" s="1174"/>
      <c r="K11" s="748"/>
      <c r="L11" s="358"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1445</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7" t="s">
        <v>1412</v>
      </c>
      <c r="C14" s="363">
        <f ca="1">INDIRECT("'数据-取费表'!m"&amp;$G$1)+INDIRECT("'数据-取费表'!t"&amp;$G$1)</f>
        <v>1075</v>
      </c>
      <c r="D14" s="2954" t="s">
        <v>1413</v>
      </c>
      <c r="E14" s="2952"/>
      <c r="F14" s="364"/>
      <c r="G14" s="1847"/>
      <c r="H14" s="1197" t="s">
        <v>1032</v>
      </c>
      <c r="I14" s="347" t="s">
        <v>1414</v>
      </c>
      <c r="J14" s="24">
        <f ca="1">C29</f>
        <v>1445</v>
      </c>
      <c r="K14" s="2962"/>
      <c r="L14" s="975"/>
      <c r="M14" s="976"/>
    </row>
    <row r="15" spans="1:37" s="1854" customFormat="1" ht="18" customHeight="1" thickBot="1">
      <c r="A15" s="1197" t="s">
        <v>1033</v>
      </c>
      <c r="B15" s="347" t="s">
        <v>1415</v>
      </c>
      <c r="C15" s="24">
        <f ca="1">ROUND(C14*F15,0)</f>
        <v>54</v>
      </c>
      <c r="D15" s="365" t="s">
        <v>1416</v>
      </c>
      <c r="E15" s="365" t="s">
        <v>1417</v>
      </c>
      <c r="F15" s="366">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7"/>
      <c r="H16" s="1325" t="s">
        <v>1027</v>
      </c>
      <c r="I16" s="1326" t="s">
        <v>1419</v>
      </c>
      <c r="J16" s="355">
        <f ca="1">ROUND(J17+J22+J23+J24,0)</f>
        <v>35</v>
      </c>
      <c r="K16" s="1333" t="s">
        <v>1420</v>
      </c>
      <c r="L16" s="2956"/>
      <c r="M16" s="1290"/>
    </row>
    <row r="17" spans="1:37" s="1854" customFormat="1" ht="18" customHeight="1">
      <c r="A17" s="1197" t="s">
        <v>1385</v>
      </c>
      <c r="B17" s="347" t="s">
        <v>1421</v>
      </c>
      <c r="C17" s="24">
        <f ca="1">ROUND(F17*(F43+INDIRECT("'数据-取费表'!S"&amp;$G$1))/10000,0)</f>
        <v>48</v>
      </c>
      <c r="D17" s="347" t="s">
        <v>1422</v>
      </c>
      <c r="E17" s="347" t="s">
        <v>1423</v>
      </c>
      <c r="F17" s="26">
        <f>'数据-取费表'!B35</f>
        <v>200</v>
      </c>
      <c r="G17" s="1850"/>
      <c r="H17" s="1197" t="s">
        <v>1032</v>
      </c>
      <c r="I17" s="347" t="s">
        <v>1424</v>
      </c>
      <c r="J17" s="24">
        <f ca="1">ROUND(IF(项目基本情况!B11="自然人",J6*M17/(1+'数据-取费表'!C42),J18+J19+J20),1)</f>
        <v>13.2</v>
      </c>
      <c r="K17" s="2954" t="s">
        <v>1425</v>
      </c>
      <c r="L17" s="2953" t="s">
        <v>1426</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7" t="s">
        <v>1427</v>
      </c>
      <c r="C18" s="24">
        <f ca="1">ROUND(C14*F18,0)</f>
        <v>16</v>
      </c>
      <c r="D18" s="347" t="s">
        <v>1416</v>
      </c>
      <c r="E18" s="347" t="s">
        <v>1417</v>
      </c>
      <c r="F18" s="367">
        <f>'数据-取费表'!B36</f>
        <v>1.4999999999999999E-2</v>
      </c>
      <c r="G18" s="1850"/>
      <c r="H18" s="1197" t="s">
        <v>1031</v>
      </c>
      <c r="I18" s="347" t="s">
        <v>1428</v>
      </c>
      <c r="J18" s="24">
        <f ca="1">ROUND(J6*M18/(1+'数据-取费表'!C42),2)</f>
        <v>0</v>
      </c>
      <c r="K18" s="2953"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1430</v>
      </c>
      <c r="C19" s="24">
        <f ca="1">SUM(C14:C18)</f>
        <v>1193</v>
      </c>
      <c r="D19" s="140" t="s">
        <v>1431</v>
      </c>
      <c r="E19" s="2961"/>
      <c r="F19" s="26"/>
      <c r="G19" s="1847"/>
      <c r="H19" s="1197" t="s">
        <v>1033</v>
      </c>
      <c r="I19" s="347" t="s">
        <v>1432</v>
      </c>
      <c r="J19" s="24">
        <f ca="1">IF(K19="按租金收入计税",ROUND(J6*M19/(1+'数据-取费表'!C42),2),ROUND(C29*M19*0.7,2))</f>
        <v>12.14</v>
      </c>
      <c r="K19" s="1824" t="s">
        <v>1433</v>
      </c>
      <c r="L19" s="347" t="s">
        <v>1417</v>
      </c>
      <c r="M19" s="367">
        <f>IF(K19="按租金收入计税",'数据-取费表'!B51,'数据-取费表'!B50)</f>
        <v>1.2E-2</v>
      </c>
    </row>
    <row r="20" spans="1:37" s="1854" customFormat="1" ht="18" customHeight="1">
      <c r="A20" s="1197" t="s">
        <v>1036</v>
      </c>
      <c r="B20" s="347" t="s">
        <v>1434</v>
      </c>
      <c r="C20" s="24">
        <f ca="1">ROUND(C19*F20,0)</f>
        <v>24</v>
      </c>
      <c r="D20" s="369" t="s">
        <v>1435</v>
      </c>
      <c r="E20" s="347" t="s">
        <v>1417</v>
      </c>
      <c r="F20" s="367">
        <f>'数据-取费表'!B37</f>
        <v>0.02</v>
      </c>
      <c r="G20" s="1850"/>
      <c r="H20" s="1197" t="s">
        <v>1384</v>
      </c>
      <c r="I20" s="164" t="s">
        <v>1436</v>
      </c>
      <c r="J20" s="25">
        <f ca="1">ROUND(M20*M21/10000,2)</f>
        <v>1.03</v>
      </c>
      <c r="K20" s="370" t="s">
        <v>1437</v>
      </c>
      <c r="L20" s="347" t="s">
        <v>1438</v>
      </c>
      <c r="M20" s="37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344.53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2961"/>
      <c r="F22" s="26"/>
      <c r="G22" s="1847"/>
      <c r="H22" s="1197" t="s">
        <v>1036</v>
      </c>
      <c r="I22" s="347" t="s">
        <v>1444</v>
      </c>
      <c r="J22" s="24">
        <f ca="1">ROUND(J14*M22,1)</f>
        <v>21.7</v>
      </c>
      <c r="K22" s="2953" t="s">
        <v>1445</v>
      </c>
      <c r="L22" s="347" t="s">
        <v>1417</v>
      </c>
      <c r="M22" s="374">
        <f ca="1">INDIRECT("'数据-取费表'!Ak"&amp;$G$1)</f>
        <v>1.4999999999999999E-2</v>
      </c>
    </row>
    <row r="23" spans="1:37" s="1854" customFormat="1" ht="18" customHeight="1">
      <c r="A23" s="1197" t="s">
        <v>1031</v>
      </c>
      <c r="B23" s="347" t="s">
        <v>1446</v>
      </c>
      <c r="C23" s="24">
        <f ca="1">IF('数据-取费表'!B22&lt;=1,ROUND(C19*F24*F23/2,0)+ROUND(C20*F24*F23/2,0),ROUND(C19*(POWER((1+F24),F23/2)-1),0)+ROUND(C20*(POWER((1+F24),F23/2)-1),0))</f>
        <v>58</v>
      </c>
      <c r="D23" s="375" t="str">
        <f>IF(F23&lt;=1,"(建造成本+管理费用)×利率×(建设周期÷2)","(建造成本+管理费用)×((1+利率)^(建设周期÷2)-1)")</f>
        <v>(建造成本+管理费用)×((1+利率)^(建设周期÷2)-1)</v>
      </c>
      <c r="E23" s="347" t="s">
        <v>1447</v>
      </c>
      <c r="F23" s="371">
        <f>'数据-取费表'!B20</f>
        <v>2</v>
      </c>
      <c r="G23" s="1850"/>
      <c r="H23" s="1197" t="s">
        <v>1072</v>
      </c>
      <c r="I23" s="347" t="s">
        <v>1448</v>
      </c>
      <c r="J23" s="24">
        <f ca="1">ROUND(J13*M23,1)</f>
        <v>0</v>
      </c>
      <c r="K23" s="2953" t="s">
        <v>1449</v>
      </c>
      <c r="L23" s="347" t="s">
        <v>1417</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0"/>
      <c r="H24" s="1335" t="s">
        <v>1387</v>
      </c>
      <c r="I24" s="1336" t="s">
        <v>1434</v>
      </c>
      <c r="J24" s="1337">
        <f ca="1">ROUND(J5*M24,1)</f>
        <v>0</v>
      </c>
      <c r="K24" s="1338" t="s">
        <v>1454</v>
      </c>
      <c r="L24" s="1336" t="s">
        <v>1417</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7" t="s">
        <v>1456</v>
      </c>
      <c r="C25" s="24"/>
      <c r="D25" s="140" t="s">
        <v>1457</v>
      </c>
      <c r="E25" s="2961"/>
      <c r="F25" s="26"/>
      <c r="G25" s="1847"/>
      <c r="H25" s="1325" t="s">
        <v>1028</v>
      </c>
      <c r="I25" s="1340" t="s">
        <v>1458</v>
      </c>
      <c r="J25" s="355">
        <f ca="1">J5-J16</f>
        <v>-35</v>
      </c>
      <c r="K25" s="1341" t="s">
        <v>1459</v>
      </c>
      <c r="L25" s="1342"/>
      <c r="M25" s="1343"/>
    </row>
    <row r="26" spans="1:37">
      <c r="A26" s="1197" t="s">
        <v>1031</v>
      </c>
      <c r="B26" s="347" t="s">
        <v>1460</v>
      </c>
      <c r="C26" s="24">
        <f ca="1">ROUND((C19+C20)*F26,0)</f>
        <v>61</v>
      </c>
      <c r="D26" s="369" t="s">
        <v>1461</v>
      </c>
      <c r="E26" s="358" t="s">
        <v>1462</v>
      </c>
      <c r="F26" s="357">
        <f ca="1">INDIRECT("'数据-取费表'!q"&amp;$G$1)</f>
        <v>0.05</v>
      </c>
      <c r="G26" s="1847"/>
      <c r="H26" s="344" t="s">
        <v>1029</v>
      </c>
      <c r="I26" s="345" t="s">
        <v>1463</v>
      </c>
      <c r="J26" s="346">
        <f ca="1">IF(J5&lt;&gt;0,ROUND(J25*(1-((1+M28)/(1+M26))^M27)/(M26-M28),0),0)</f>
        <v>0</v>
      </c>
      <c r="K26" s="370" t="s">
        <v>1464</v>
      </c>
      <c r="L26" s="347" t="s">
        <v>1465</v>
      </c>
      <c r="M26" s="357">
        <f ca="1">INDIRECT("'数据-取费表'!I"&amp;$G$1)</f>
        <v>0.05</v>
      </c>
    </row>
    <row r="27" spans="1:37" ht="18" customHeight="1">
      <c r="A27" s="1197" t="s">
        <v>1033</v>
      </c>
      <c r="B27" s="347" t="s">
        <v>1466</v>
      </c>
      <c r="C27" s="24">
        <f ca="1">ROUND(F21*F26,4)</f>
        <v>1E-3</v>
      </c>
      <c r="D27" s="369" t="s">
        <v>1467</v>
      </c>
      <c r="E27" s="365"/>
      <c r="F27" s="366"/>
      <c r="G27" s="1847"/>
      <c r="H27" s="349"/>
      <c r="I27" s="350"/>
      <c r="J27" s="351"/>
      <c r="K27" s="378" t="s">
        <v>1468</v>
      </c>
      <c r="L27" s="347" t="s">
        <v>1469</v>
      </c>
      <c r="M27" s="379">
        <f ca="1">INDIRECT("'数据-取费表'!ag"&amp;$G$1)</f>
        <v>0</v>
      </c>
    </row>
    <row r="28" spans="1:37" s="1854" customFormat="1" ht="18" customHeight="1">
      <c r="A28" s="1197"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1445</v>
      </c>
      <c r="D29" s="1338"/>
      <c r="E29" s="1336"/>
      <c r="F29" s="1339"/>
      <c r="G29" s="1850"/>
      <c r="H29" s="380" t="s">
        <v>1030</v>
      </c>
      <c r="I29" s="381" t="s">
        <v>1474</v>
      </c>
      <c r="J29" s="382">
        <f ca="1">ROUND(J26/(1+F40)^F41,0)</f>
        <v>0</v>
      </c>
      <c r="K29" s="383" t="s">
        <v>1475</v>
      </c>
      <c r="L29" s="384"/>
      <c r="M29" s="385">
        <f ca="1">INDIRECT("'数据-取费表'!k"&amp;$G$1)</f>
        <v>2241.69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45</v>
      </c>
      <c r="D30" s="1333" t="s">
        <v>1420</v>
      </c>
      <c r="E30" s="2956"/>
      <c r="F30" s="1290"/>
      <c r="G30" s="1847"/>
      <c r="H30" s="745"/>
      <c r="I30" s="746"/>
      <c r="J30" s="747"/>
      <c r="K30" s="748"/>
      <c r="L30" s="749"/>
      <c r="M30" s="750"/>
    </row>
    <row r="31" spans="1:37" ht="18" customHeight="1">
      <c r="A31" s="1197" t="s">
        <v>1032</v>
      </c>
      <c r="B31" s="347" t="s">
        <v>1424</v>
      </c>
      <c r="C31" s="24">
        <f ca="1">ROUND(IF(项目基本情况!B11="自然人",C6*F31/(1+'数据-取费表'!C42),C32+C33+C34),1)</f>
        <v>19.5</v>
      </c>
      <c r="D31" s="2954" t="s">
        <v>1425</v>
      </c>
      <c r="E31" s="2953" t="s">
        <v>1476</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1031</v>
      </c>
      <c r="B32" s="347" t="s">
        <v>1428</v>
      </c>
      <c r="C32" s="24">
        <f ca="1">IF(项目基本情况!B11="自然人","——",ROUND(C6*F32/(1+'数据-取费表'!C42),2))</f>
        <v>5.87</v>
      </c>
      <c r="D32" s="2953" t="s">
        <v>1429</v>
      </c>
      <c r="E32" s="347" t="s">
        <v>1417</v>
      </c>
      <c r="F32" s="377">
        <f>'数据-取费表'!B41</f>
        <v>5.6000000000000001E-2</v>
      </c>
      <c r="G32" s="1847"/>
      <c r="H32" s="745"/>
      <c r="I32" s="746"/>
      <c r="J32" s="747"/>
      <c r="K32" s="748"/>
      <c r="L32" s="749"/>
      <c r="M32" s="750"/>
    </row>
    <row r="33" spans="1:18" ht="18" customHeight="1">
      <c r="A33" s="1197" t="s">
        <v>1033</v>
      </c>
      <c r="B33" s="347" t="s">
        <v>1432</v>
      </c>
      <c r="C33" s="24">
        <f ca="1">IF(项目基本情况!B11="自然人","——",IF(D33="按租金收入计税",ROUND(C6*F33/(1+'数据-取费表'!C42),2),IF(D33="按房产原值计税",ROUND(C29*F33*0.7,2),INDIRECT("'数据-取费表'!Aj"&amp;$G$1))))</f>
        <v>12.57</v>
      </c>
      <c r="D33" s="1824" t="s">
        <v>3094</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IF(项目基本情况!B11="自然人","——",ROUND(F34*F35/10000,2))</f>
        <v>1.03</v>
      </c>
      <c r="D34" s="370" t="s">
        <v>1437</v>
      </c>
      <c r="E34" s="347" t="s">
        <v>1438</v>
      </c>
      <c r="F34" s="371">
        <f>'数据-取费表'!B52</f>
        <v>30</v>
      </c>
      <c r="G34" s="1847"/>
      <c r="H34" s="745"/>
      <c r="I34" s="1856"/>
      <c r="J34" s="1857"/>
      <c r="K34" s="1859"/>
      <c r="L34" s="1860"/>
      <c r="M34" s="1860"/>
    </row>
    <row r="35" spans="1:18" ht="18" customHeight="1">
      <c r="A35" s="1349"/>
      <c r="B35" s="1347"/>
      <c r="C35" s="29"/>
      <c r="D35" s="373"/>
      <c r="E35" s="347" t="s">
        <v>1442</v>
      </c>
      <c r="F35" s="348">
        <f ca="1">INDIRECT("'数据-取费表'!r"&amp;$G$1)</f>
        <v>344.53</v>
      </c>
      <c r="G35" s="1847"/>
      <c r="H35" s="745"/>
      <c r="I35" s="1856"/>
      <c r="J35" s="1857"/>
      <c r="K35" s="1858"/>
      <c r="L35" s="1855"/>
      <c r="M35" s="1855"/>
    </row>
    <row r="36" spans="1:18" ht="18" customHeight="1">
      <c r="A36" s="1348" t="s">
        <v>1036</v>
      </c>
      <c r="B36" s="347" t="s">
        <v>1444</v>
      </c>
      <c r="C36" s="24">
        <f ca="1">ROUND(C29*F36,1)</f>
        <v>21.7</v>
      </c>
      <c r="D36" s="2953" t="s">
        <v>1477</v>
      </c>
      <c r="E36" s="347" t="s">
        <v>1417</v>
      </c>
      <c r="F36" s="374">
        <f ca="1">INDIRECT("'数据-取费表'!Ak"&amp;$G$1)</f>
        <v>1.4999999999999999E-2</v>
      </c>
      <c r="G36" s="1847"/>
      <c r="H36" s="1855"/>
      <c r="I36" s="1856"/>
      <c r="J36" s="1857"/>
      <c r="K36" s="751"/>
      <c r="L36" s="1855"/>
      <c r="M36" s="1855"/>
    </row>
    <row r="37" spans="1:18" ht="18" customHeight="1">
      <c r="A37" s="1197" t="s">
        <v>1072</v>
      </c>
      <c r="B37" s="347" t="s">
        <v>1448</v>
      </c>
      <c r="C37" s="24">
        <f ca="1">ROUND(C13*F37,1)</f>
        <v>2.2000000000000002</v>
      </c>
      <c r="D37" s="2953" t="s">
        <v>1449</v>
      </c>
      <c r="E37" s="347" t="s">
        <v>1417</v>
      </c>
      <c r="F37" s="376">
        <f ca="1">INDIRECT("'数据-取费表'!Al"&amp;$G$1)</f>
        <v>1.5E-3</v>
      </c>
      <c r="G37" s="1847"/>
      <c r="H37" s="1855"/>
      <c r="I37" s="1856"/>
      <c r="J37" s="1857"/>
      <c r="K37" s="751"/>
      <c r="L37" s="1855"/>
      <c r="M37" s="1855"/>
    </row>
    <row r="38" spans="1:18" ht="18" customHeight="1" thickBot="1">
      <c r="A38" s="1335" t="s">
        <v>1387</v>
      </c>
      <c r="B38" s="1336" t="s">
        <v>1434</v>
      </c>
      <c r="C38" s="1337">
        <f ca="1">ROUND(C5*F38,1)</f>
        <v>1.1000000000000001</v>
      </c>
      <c r="D38" s="1338" t="s">
        <v>1454</v>
      </c>
      <c r="E38" s="1336" t="s">
        <v>1417</v>
      </c>
      <c r="F38" s="1332">
        <f ca="1">INDIRECT("'数据-取费表'!Am"&amp;$G$1)</f>
        <v>0.01</v>
      </c>
      <c r="G38" s="1847"/>
      <c r="H38" s="1855"/>
      <c r="I38" s="1856"/>
      <c r="J38" s="1857"/>
      <c r="K38" s="1861"/>
      <c r="L38" s="1855"/>
      <c r="M38" s="1855"/>
    </row>
    <row r="39" spans="1:18" ht="24.6" customHeight="1" thickTop="1">
      <c r="A39" s="1325" t="s">
        <v>1028</v>
      </c>
      <c r="B39" s="1340" t="s">
        <v>1458</v>
      </c>
      <c r="C39" s="355">
        <f ca="1">C5-C30</f>
        <v>65</v>
      </c>
      <c r="D39" s="1341" t="s">
        <v>1459</v>
      </c>
      <c r="E39" s="1342"/>
      <c r="F39" s="1343"/>
      <c r="G39" s="1847"/>
      <c r="H39" s="1855"/>
      <c r="I39" s="1856"/>
      <c r="J39" s="1857"/>
      <c r="K39" s="1861"/>
      <c r="L39" s="1855"/>
      <c r="M39" s="1855"/>
    </row>
    <row r="40" spans="1:18" ht="18" customHeight="1">
      <c r="A40" s="344" t="s">
        <v>1029</v>
      </c>
      <c r="B40" s="345" t="s">
        <v>1480</v>
      </c>
      <c r="C40" s="346">
        <f ca="1">ROUND(C39*(1-((1+F42)/(1+F40))^F41)/(F40-F42),0)</f>
        <v>1497</v>
      </c>
      <c r="D40" s="370" t="s">
        <v>1464</v>
      </c>
      <c r="E40" s="347" t="s">
        <v>1465</v>
      </c>
      <c r="F40" s="357">
        <f ca="1">INDIRECT("'数据-取费表'!I"&amp;$G$1)</f>
        <v>0.05</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35.589999999999996</v>
      </c>
      <c r="G41" s="1847"/>
      <c r="H41" s="732"/>
      <c r="I41" s="1856"/>
      <c r="J41" s="1857"/>
      <c r="K41" s="751"/>
      <c r="L41" s="732"/>
      <c r="M41" s="732"/>
    </row>
    <row r="42" spans="1:18" ht="18" customHeight="1">
      <c r="A42" s="353"/>
      <c r="B42" s="354"/>
      <c r="C42" s="355"/>
      <c r="D42" s="373"/>
      <c r="E42" s="347" t="s">
        <v>1472</v>
      </c>
      <c r="F42" s="357">
        <f ca="1">INDIRECT("'数据-取费表'!v"&amp;$G$1)</f>
        <v>2.5000000000000001E-2</v>
      </c>
      <c r="G42" s="1847"/>
      <c r="H42" s="732"/>
      <c r="I42" s="1856"/>
      <c r="J42" s="1857"/>
      <c r="K42" s="751"/>
      <c r="L42" s="732"/>
      <c r="M42" s="732"/>
    </row>
    <row r="43" spans="1:18" ht="18" customHeight="1" thickBot="1">
      <c r="A43" s="380" t="s">
        <v>1030</v>
      </c>
      <c r="B43" s="381" t="s">
        <v>1482</v>
      </c>
      <c r="C43" s="382">
        <f ca="1">ROUND(C40*10000/F43,0)</f>
        <v>6678</v>
      </c>
      <c r="D43" s="383" t="s">
        <v>1483</v>
      </c>
      <c r="E43" s="384" t="s">
        <v>1484</v>
      </c>
      <c r="F43" s="385">
        <f ca="1">INDIRECT("'数据-取费表'!k"&amp;$G$1)</f>
        <v>2241.69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-3903</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2"/>
      <c r="I47" s="1876" t="s">
        <v>1521</v>
      </c>
      <c r="J47" s="1877" t="s">
        <v>3095</v>
      </c>
      <c r="K47" s="1878" t="s">
        <v>1522</v>
      </c>
      <c r="L47" s="1879">
        <f ca="1">INDIRECT("'数据-取费表'!d"&amp;$G$1)</f>
        <v>50</v>
      </c>
      <c r="M47" s="1834" t="str">
        <f>IF(ISNUMBER(FIND("住宅",C1)),"住宅","非住宅")</f>
        <v>非住宅</v>
      </c>
      <c r="O47" s="1880" t="s">
        <v>1037</v>
      </c>
      <c r="P47" s="1881" t="s">
        <v>1523</v>
      </c>
      <c r="Q47" s="1882">
        <f ca="1">C40+J29</f>
        <v>1497</v>
      </c>
      <c r="R47" s="1882" t="s">
        <v>1524</v>
      </c>
    </row>
    <row r="48" spans="1:18" s="1838" customFormat="1" ht="28.5" thickBot="1">
      <c r="A48" s="1356" t="s">
        <v>1132</v>
      </c>
      <c r="B48" s="345" t="s">
        <v>1396</v>
      </c>
      <c r="C48" s="2960">
        <f ca="1">C49+C53+C55</f>
        <v>0</v>
      </c>
      <c r="D48" s="1358"/>
      <c r="E48" s="1359"/>
      <c r="F48" s="1177"/>
      <c r="G48" s="792"/>
      <c r="H48" s="793"/>
      <c r="I48" s="1883" t="s">
        <v>1525</v>
      </c>
      <c r="J48" s="1884" t="s">
        <v>3096</v>
      </c>
      <c r="K48" s="1885" t="s">
        <v>1526</v>
      </c>
      <c r="L48" s="1886">
        <f ca="1">INDIRECT("'数据-取费表'!f"&amp;$G$1)</f>
        <v>36.29</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3029</v>
      </c>
      <c r="E49" s="1826" t="s">
        <v>1486</v>
      </c>
      <c r="F49" s="1277"/>
      <c r="G49" s="1887"/>
      <c r="H49" s="793"/>
      <c r="I49" s="1883" t="s">
        <v>1529</v>
      </c>
      <c r="J49" s="1888">
        <v>2020</v>
      </c>
      <c r="K49" s="1885" t="s">
        <v>1530</v>
      </c>
      <c r="L49" s="1889"/>
      <c r="O49" s="1890" t="s">
        <v>1039</v>
      </c>
      <c r="P49" s="1881" t="s">
        <v>1531</v>
      </c>
      <c r="Q49" s="1882">
        <f ca="1">C29</f>
        <v>1445</v>
      </c>
      <c r="R49" s="1882" t="s">
        <v>1524</v>
      </c>
    </row>
    <row r="50" spans="1:18" s="1838" customFormat="1" ht="13.5" thickBot="1">
      <c r="A50" s="1191"/>
      <c r="B50" s="1194"/>
      <c r="C50" s="1364"/>
      <c r="D50" s="1168"/>
      <c r="E50" s="1273" t="s">
        <v>1401</v>
      </c>
      <c r="F50" s="1274">
        <f ca="1">F7</f>
        <v>2241.69</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8">
        <f ca="1">F8</f>
        <v>365</v>
      </c>
      <c r="I51" s="1894" t="s">
        <v>1535</v>
      </c>
      <c r="J51" s="1895">
        <f>IF(J49="",J50,J49+J50-YEAR('数据-取费表'!B2))</f>
        <v>61</v>
      </c>
      <c r="K51" s="1896" t="s">
        <v>1536</v>
      </c>
      <c r="L51" s="1897">
        <f ca="1">ROUND(-PV(INDIRECT("'数据-取费表'!h"&amp;$G$1),L48,(C39-C13*C76),0),0)</f>
        <v>-1025</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35.589999999999996</v>
      </c>
      <c r="R52" s="1882" t="s">
        <v>1541</v>
      </c>
    </row>
    <row r="53" spans="1:18" s="1838" customFormat="1" ht="24.75" thickBot="1">
      <c r="A53" s="1401" t="s">
        <v>1134</v>
      </c>
      <c r="B53" s="1827" t="s">
        <v>1404</v>
      </c>
      <c r="C53" s="361">
        <f ca="1">ROUND(IF(F53="押一",C49/12*F11,IF(F53="押二",C49/12*2*F11,IF(F53="押三",C49/12*3*F11,C54*F11))),0)</f>
        <v>0</v>
      </c>
      <c r="D53" s="1820" t="s">
        <v>3038</v>
      </c>
      <c r="E53" s="358" t="s">
        <v>1405</v>
      </c>
      <c r="F53" s="1362"/>
      <c r="I53" s="1901" t="s">
        <v>1542</v>
      </c>
      <c r="J53" s="2948">
        <f ca="1">IF(M47="住宅",IF(D1="——",MAX(J51,L48),MAX(J51,L48-'数据-取费表'!B24)),IF(D1="——",MIN(J51,L48),MIN(J51,L48-'数据-取费表'!B24)))</f>
        <v>35.589999999999996</v>
      </c>
      <c r="K53" s="3160" t="s">
        <v>1543</v>
      </c>
      <c r="L53" s="3161"/>
      <c r="O53" s="1880" t="s">
        <v>1043</v>
      </c>
      <c r="P53" s="1881" t="s">
        <v>1544</v>
      </c>
      <c r="Q53" s="1882">
        <f ca="1">Q47+Q48</f>
        <v>1497</v>
      </c>
      <c r="R53" s="1882" t="s">
        <v>1044</v>
      </c>
    </row>
    <row r="54" spans="1:18" s="1838" customFormat="1" ht="13.5" thickBot="1">
      <c r="A54" s="1402"/>
      <c r="B54" s="1821" t="s">
        <v>1383</v>
      </c>
      <c r="C54" s="1174"/>
      <c r="D54" s="1820"/>
      <c r="E54" s="295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57"/>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6">
        <f ca="1">C13</f>
        <v>1445</v>
      </c>
      <c r="D56" s="1909"/>
      <c r="E56" s="1910"/>
      <c r="F56" s="1902"/>
      <c r="I56" s="1911" t="s">
        <v>1549</v>
      </c>
      <c r="J56" s="1912" t="s">
        <v>3057</v>
      </c>
      <c r="K56" s="1883" t="s">
        <v>1550</v>
      </c>
      <c r="L56" s="1886" t="str">
        <f ca="1">IF(L48&lt;J51,"——",L48-J53)</f>
        <v>——</v>
      </c>
      <c r="O56" s="1880" t="s">
        <v>1037</v>
      </c>
      <c r="P56" s="1881" t="s">
        <v>1523</v>
      </c>
      <c r="Q56" s="1882">
        <f ca="1">C40+J29</f>
        <v>1497</v>
      </c>
      <c r="R56" s="1882" t="s">
        <v>1524</v>
      </c>
    </row>
    <row r="57" spans="1:18" s="1838" customFormat="1" ht="24.75" thickBot="1">
      <c r="A57" s="1913"/>
      <c r="B57" s="1165" t="s">
        <v>1473</v>
      </c>
      <c r="C57" s="282">
        <f ca="1">C29</f>
        <v>1445</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3" t="s">
        <v>1419</v>
      </c>
      <c r="C58" s="361">
        <f ca="1">ROUND(C59+C64+C65+C66,0)</f>
        <v>146</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122.4</v>
      </c>
      <c r="D59" s="1178" t="s">
        <v>1425</v>
      </c>
      <c r="E59" s="1179" t="s">
        <v>1426</v>
      </c>
      <c r="F59" s="368">
        <f ca="1">IF(项目基本情况!B11="企业","",IF(INDIRECT("'数据-取费表'!c"&amp;$G$1)="住宅",5%,IF(F49*F50*F51/12/(1+'数据-取费表'!C42)&gt;20000,12%,7%)))</f>
        <v>7.0000000000000007E-2</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1432</v>
      </c>
      <c r="C61" s="24">
        <f ca="1">IF(项目基本情况!B11="自然人","——",IF(D61="按租金收入计税",ROUND(C48*F61,2),IF(D61="按房产原值计税",ROUND(C57*F61*0.7,2),INDIRECT("'数据-取费表'!Aj"&amp;$G$1))))</f>
        <v>121.38</v>
      </c>
      <c r="D61" s="1824" t="s">
        <v>1433</v>
      </c>
      <c r="E61" s="1165" t="s">
        <v>1417</v>
      </c>
      <c r="F61" s="367">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1436</v>
      </c>
      <c r="C62" s="25">
        <f ca="1">IF(项目基本情况!B11="自然人","——",ROUND(F62*F63/10000,2))</f>
        <v>1.03</v>
      </c>
      <c r="D62" s="1180" t="s">
        <v>1437</v>
      </c>
      <c r="E62" s="1165" t="s">
        <v>1438</v>
      </c>
      <c r="F62" s="371">
        <f t="shared" si="0"/>
        <v>30</v>
      </c>
      <c r="I62" s="1924" t="s">
        <v>1565</v>
      </c>
      <c r="J62" s="1925" t="s">
        <v>1566</v>
      </c>
      <c r="K62" s="1925" t="s">
        <v>1567</v>
      </c>
      <c r="L62" s="1925" t="s">
        <v>1568</v>
      </c>
      <c r="M62" s="1926" t="s">
        <v>1569</v>
      </c>
      <c r="O62" s="1880" t="s">
        <v>1043</v>
      </c>
      <c r="P62" s="1881" t="s">
        <v>1544</v>
      </c>
      <c r="Q62" s="1882">
        <f ca="1">Q56+Q57</f>
        <v>1497</v>
      </c>
      <c r="R62" s="1882" t="s">
        <v>1044</v>
      </c>
    </row>
    <row r="63" spans="1:18" s="1838" customFormat="1" ht="13.5" thickBot="1">
      <c r="A63" s="372"/>
      <c r="B63" s="1171"/>
      <c r="C63" s="29"/>
      <c r="D63" s="1181"/>
      <c r="E63" s="1165" t="s">
        <v>1442</v>
      </c>
      <c r="F63" s="348">
        <f t="shared" ca="1" si="0"/>
        <v>344.53</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f ca="1">ROUND(C57*F64,1)</f>
        <v>21.7</v>
      </c>
      <c r="D64" s="1179" t="s">
        <v>1477</v>
      </c>
      <c r="E64" s="1165" t="s">
        <v>1417</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2.2000000000000002</v>
      </c>
      <c r="D65" s="1179" t="s">
        <v>1449</v>
      </c>
      <c r="E65" s="1165" t="s">
        <v>1417</v>
      </c>
      <c r="F65" s="376">
        <f t="shared" ca="1" si="0"/>
        <v>1.5E-3</v>
      </c>
      <c r="I65" s="1924" t="s">
        <v>1574</v>
      </c>
      <c r="J65" s="1925">
        <v>40</v>
      </c>
      <c r="K65" s="1925">
        <v>30</v>
      </c>
      <c r="L65" s="1925">
        <v>50</v>
      </c>
      <c r="M65" s="1927">
        <v>0.02</v>
      </c>
      <c r="O65" s="1880" t="s">
        <v>1037</v>
      </c>
      <c r="P65" s="1881" t="s">
        <v>1523</v>
      </c>
      <c r="Q65" s="1882">
        <f ca="1">C40+J29</f>
        <v>1497</v>
      </c>
      <c r="R65" s="1882" t="s">
        <v>1524</v>
      </c>
    </row>
    <row r="66" spans="1:18" s="1838" customFormat="1" ht="16.5" thickBot="1">
      <c r="A66" s="1197" t="s">
        <v>1499</v>
      </c>
      <c r="B66" s="1165" t="s">
        <v>1434</v>
      </c>
      <c r="C66" s="24">
        <f ca="1">ROUND(C48*F66,1)</f>
        <v>0</v>
      </c>
      <c r="D66" s="1179" t="s">
        <v>1454</v>
      </c>
      <c r="E66" s="1165" t="s">
        <v>1417</v>
      </c>
      <c r="F66" s="357">
        <f t="shared" ca="1" si="0"/>
        <v>0.01</v>
      </c>
      <c r="O66" s="1880" t="s">
        <v>1038</v>
      </c>
      <c r="P66" s="1881" t="s">
        <v>1553</v>
      </c>
      <c r="Q66" s="1882">
        <f ca="1">L60</f>
        <v>0</v>
      </c>
      <c r="R66" s="1882" t="s">
        <v>1576</v>
      </c>
    </row>
    <row r="67" spans="1:18" s="1838" customFormat="1" ht="16.5" thickBot="1">
      <c r="A67" s="1172" t="s">
        <v>1028</v>
      </c>
      <c r="B67" s="1182" t="s">
        <v>1458</v>
      </c>
      <c r="C67" s="361">
        <f ca="1">C48-C58</f>
        <v>-146</v>
      </c>
      <c r="D67" s="1178" t="s">
        <v>1459</v>
      </c>
      <c r="E67" s="1183"/>
      <c r="F67" s="1184"/>
      <c r="O67" s="1890" t="s">
        <v>1039</v>
      </c>
      <c r="P67" s="1881" t="s">
        <v>1557</v>
      </c>
      <c r="Q67" s="1928">
        <f ca="1">L51</f>
        <v>-1025</v>
      </c>
      <c r="R67" s="1882" t="s">
        <v>1577</v>
      </c>
    </row>
    <row r="68" spans="1:18" s="1838" customFormat="1" ht="16.5" thickBot="1">
      <c r="A68" s="1162" t="s">
        <v>1029</v>
      </c>
      <c r="B68" s="1163" t="s">
        <v>1480</v>
      </c>
      <c r="C68" s="346">
        <f ca="1">ROUND(C67*(1-((1+F70)/(1+F68))^F69)/(F68-F70),0)</f>
        <v>-2406</v>
      </c>
      <c r="D68" s="1180" t="s">
        <v>1464</v>
      </c>
      <c r="E68" s="1165" t="s">
        <v>1465</v>
      </c>
      <c r="F68" s="357">
        <f ca="1">F40</f>
        <v>0.05</v>
      </c>
      <c r="O68" s="1890" t="s">
        <v>1040</v>
      </c>
      <c r="P68" s="1929" t="s">
        <v>1578</v>
      </c>
      <c r="Q68" s="1882">
        <f ca="1">ROUND(Q69-Q70*Q71,0)</f>
        <v>-58</v>
      </c>
      <c r="R68" s="1882" t="s">
        <v>1048</v>
      </c>
    </row>
    <row r="69" spans="1:18" s="1838" customFormat="1" ht="13.5" thickBot="1">
      <c r="A69" s="1166"/>
      <c r="B69" s="1167"/>
      <c r="C69" s="351"/>
      <c r="D69" s="1185" t="s">
        <v>1468</v>
      </c>
      <c r="E69" s="1165" t="s">
        <v>1469</v>
      </c>
      <c r="F69" s="379">
        <f ca="1">F41</f>
        <v>35.589999999999996</v>
      </c>
      <c r="O69" s="1890" t="s">
        <v>1045</v>
      </c>
      <c r="P69" s="1929" t="s">
        <v>1579</v>
      </c>
      <c r="Q69" s="1882">
        <f ca="1">C39</f>
        <v>65</v>
      </c>
      <c r="R69" s="1882" t="s">
        <v>1524</v>
      </c>
    </row>
    <row r="70" spans="1:18" s="1838" customFormat="1" ht="13.5" thickBot="1">
      <c r="A70" s="1169"/>
      <c r="B70" s="1170"/>
      <c r="C70" s="355"/>
      <c r="D70" s="1181"/>
      <c r="E70" s="1165" t="s">
        <v>1472</v>
      </c>
      <c r="F70" s="1271"/>
      <c r="O70" s="1890" t="s">
        <v>1046</v>
      </c>
      <c r="P70" s="1929" t="s">
        <v>1580</v>
      </c>
      <c r="Q70" s="1882">
        <f ca="1">C13</f>
        <v>1445</v>
      </c>
      <c r="R70" s="1882" t="s">
        <v>1524</v>
      </c>
    </row>
    <row r="71" spans="1:18" s="1838" customFormat="1" ht="13.5" thickBot="1">
      <c r="A71" s="1186" t="s">
        <v>1030</v>
      </c>
      <c r="B71" s="1187" t="s">
        <v>1482</v>
      </c>
      <c r="C71" s="382">
        <f ca="1">ROUND(C68*10000/F71,0)</f>
        <v>-10733</v>
      </c>
      <c r="D71" s="1188" t="s">
        <v>1483</v>
      </c>
      <c r="E71" s="1189" t="s">
        <v>1484</v>
      </c>
      <c r="F71" s="385">
        <f ca="1">F43</f>
        <v>2241.69</v>
      </c>
      <c r="O71" s="1890" t="s">
        <v>1047</v>
      </c>
      <c r="P71" s="1929" t="s">
        <v>1581</v>
      </c>
      <c r="Q71" s="1893">
        <f ca="1">C76</f>
        <v>8.5000000000000006E-2</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6" t="s">
        <v>1501</v>
      </c>
      <c r="C75" s="387">
        <f ca="1">ROUND(C13*C76,0)</f>
        <v>123</v>
      </c>
      <c r="D75" s="1838"/>
      <c r="E75" s="1838"/>
      <c r="F75" s="1838"/>
      <c r="K75" s="1864"/>
      <c r="L75" s="1838"/>
      <c r="O75" s="1880" t="s">
        <v>1043</v>
      </c>
      <c r="P75" s="1881" t="s">
        <v>1544</v>
      </c>
      <c r="Q75" s="1882">
        <f ca="1">Q65+Q66</f>
        <v>1497</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-0.8919999999999999</v>
      </c>
    </row>
    <row r="80" spans="1:18">
      <c r="B80" s="386" t="s">
        <v>1506</v>
      </c>
      <c r="C80" s="318">
        <f ca="1">ROUND(C75/C39,3)</f>
        <v>1.8919999999999999</v>
      </c>
    </row>
    <row r="81" spans="2:3">
      <c r="B81" s="314" t="s">
        <v>1507</v>
      </c>
      <c r="C81" s="282"/>
    </row>
    <row r="82" spans="2:3">
      <c r="B82" s="317" t="s">
        <v>1508</v>
      </c>
      <c r="C82" s="319">
        <f ca="1">1-C83</f>
        <v>3.5000000000000031E-2</v>
      </c>
    </row>
    <row r="83" spans="2:3">
      <c r="B83" s="317" t="s">
        <v>1509</v>
      </c>
      <c r="C83" s="318">
        <f ca="1">ROUND(C13/C40,3)</f>
        <v>0.96499999999999997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27</v>
      </c>
      <c r="D1" s="1816" t="s">
        <v>3092</v>
      </c>
      <c r="E1" s="1817" t="s">
        <v>1382</v>
      </c>
      <c r="F1" s="1279">
        <f ca="1">J53</f>
        <v>35.589999999999996</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114611</v>
      </c>
      <c r="C2" s="1841" t="s">
        <v>1511</v>
      </c>
      <c r="D2" s="1841"/>
      <c r="E2" s="1842"/>
      <c r="F2" s="1843"/>
      <c r="G2" s="1844"/>
      <c r="H2" s="1836"/>
      <c r="I2" s="1836"/>
      <c r="J2" s="1836"/>
      <c r="K2" s="1837"/>
      <c r="L2" s="1836"/>
      <c r="M2" s="1836"/>
    </row>
    <row r="3" spans="1:37" ht="18" customHeight="1" thickBot="1">
      <c r="A3" s="1845" t="s">
        <v>1512</v>
      </c>
      <c r="B3" s="1846">
        <f ca="1">IF(ISERROR(B2*10000/F43),0,ROUND(B2*10000/F43,0))</f>
        <v>58816</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8">
        <f ca="1">C6+C10+C12</f>
        <v>6409</v>
      </c>
      <c r="D5" s="1818" t="s">
        <v>1397</v>
      </c>
      <c r="E5" s="1289"/>
      <c r="F5" s="1290"/>
      <c r="G5" s="1847"/>
      <c r="H5" s="344">
        <v>1</v>
      </c>
      <c r="I5" s="345" t="s">
        <v>1396</v>
      </c>
      <c r="J5" s="1288">
        <f ca="1">J6+J10+J12</f>
        <v>0</v>
      </c>
      <c r="K5" s="1818" t="s">
        <v>1397</v>
      </c>
      <c r="L5" s="1289"/>
      <c r="M5" s="1290"/>
    </row>
    <row r="6" spans="1:37" ht="18" customHeight="1">
      <c r="A6" s="1287" t="s">
        <v>1032</v>
      </c>
      <c r="B6" s="3162" t="s">
        <v>1398</v>
      </c>
      <c r="C6" s="1292">
        <f ca="1">ROUND(F6*F8*F7*(1-F9)/10000,0)</f>
        <v>6401</v>
      </c>
      <c r="D6" s="164" t="s">
        <v>3030</v>
      </c>
      <c r="E6" s="347" t="s">
        <v>1400</v>
      </c>
      <c r="F6" s="348">
        <f ca="1">INDIRECT("'数据-取费表'!u"&amp;$G$1)</f>
        <v>10</v>
      </c>
      <c r="G6" s="1847"/>
      <c r="H6" s="1287" t="s">
        <v>1032</v>
      </c>
      <c r="I6" s="3162" t="s">
        <v>1398</v>
      </c>
      <c r="J6" s="346">
        <f ca="1">ROUND(M6*M8*M7*(1-M9)/10000,0)</f>
        <v>0</v>
      </c>
      <c r="K6" s="164" t="s">
        <v>3029</v>
      </c>
      <c r="L6" s="347" t="s">
        <v>1400</v>
      </c>
      <c r="M6" s="348">
        <f ca="1">INDIRECT("'数据-取费表'!z"&amp;$G$1)</f>
        <v>0</v>
      </c>
    </row>
    <row r="7" spans="1:37" ht="18" customHeight="1">
      <c r="A7" s="1291"/>
      <c r="B7" s="3163"/>
      <c r="C7" s="1293"/>
      <c r="D7" s="352"/>
      <c r="E7" s="2963" t="s">
        <v>1401</v>
      </c>
      <c r="F7" s="348">
        <f ca="1">IF(INDIRECT("'数据-取费表'!ah"&amp;$G$1)="",INDIRECT("'数据-取费表'!k"&amp;$G$1),INDIRECT("'数据-取费表'!ah"&amp;$G$1))</f>
        <v>19486.22</v>
      </c>
      <c r="G7" s="1847"/>
      <c r="H7" s="349"/>
      <c r="I7" s="3163"/>
      <c r="J7" s="351"/>
      <c r="K7" s="352"/>
      <c r="L7" s="347" t="s">
        <v>1401</v>
      </c>
      <c r="M7" s="348">
        <f ca="1">F7</f>
        <v>19486.22</v>
      </c>
    </row>
    <row r="8" spans="1:37" ht="18" customHeight="1">
      <c r="A8" s="349"/>
      <c r="B8" s="3163"/>
      <c r="C8" s="351"/>
      <c r="D8" s="352"/>
      <c r="E8" s="347" t="s">
        <v>1402</v>
      </c>
      <c r="F8" s="348">
        <f ca="1">INDIRECT("'数据-取费表'!ai"&amp;$G$1)</f>
        <v>365</v>
      </c>
      <c r="G8" s="1847"/>
      <c r="H8" s="349"/>
      <c r="I8" s="3163"/>
      <c r="J8" s="351"/>
      <c r="K8" s="352"/>
      <c r="L8" s="347" t="s">
        <v>1402</v>
      </c>
      <c r="M8" s="348">
        <f ca="1">INDIRECT("'数据-取费表'!ai"&amp;$G$1)</f>
        <v>365</v>
      </c>
    </row>
    <row r="9" spans="1:37" ht="18" customHeight="1">
      <c r="A9" s="349"/>
      <c r="B9" s="3164"/>
      <c r="C9" s="351"/>
      <c r="D9" s="352"/>
      <c r="E9" s="347" t="s">
        <v>1403</v>
      </c>
      <c r="F9" s="357">
        <f ca="1">INDIRECT("'数据-取费表'!w"&amp;$G$1)</f>
        <v>0.1</v>
      </c>
      <c r="G9" s="1847"/>
      <c r="H9" s="349"/>
      <c r="I9" s="3164"/>
      <c r="J9" s="351"/>
      <c r="K9" s="352"/>
      <c r="L9" s="358" t="s">
        <v>1403</v>
      </c>
      <c r="M9" s="359">
        <f ca="1">INDIRECT("'数据-取费表'!ab"&amp;$G$1)</f>
        <v>0</v>
      </c>
    </row>
    <row r="10" spans="1:37" ht="18" customHeight="1">
      <c r="A10" s="1287" t="s">
        <v>1036</v>
      </c>
      <c r="B10" s="1819" t="s">
        <v>1404</v>
      </c>
      <c r="C10" s="361">
        <f ca="1">ROUND(IF(F10="押一",C6/12*F11,IF(F10="押二",C6/12*2*F11,IF(F10="押三",C6/12*3*F11,C11*F11))),0)</f>
        <v>8</v>
      </c>
      <c r="D10" s="1820" t="s">
        <v>3038</v>
      </c>
      <c r="E10" s="358" t="s">
        <v>1405</v>
      </c>
      <c r="F10" s="1362" t="s">
        <v>3093</v>
      </c>
      <c r="G10" s="1847"/>
      <c r="H10" s="1287" t="s">
        <v>1036</v>
      </c>
      <c r="I10" s="1819" t="s">
        <v>1404</v>
      </c>
      <c r="J10" s="346">
        <f ca="1">ROUND(IF(M10="押一",J6/12*M11,IF(M10="押二",J6/12*2*M11,IF(M10="押三",J6/12*3*M11,J11*M11))),0)</f>
        <v>0</v>
      </c>
      <c r="K10" s="1820" t="s">
        <v>3038</v>
      </c>
      <c r="L10" s="358" t="s">
        <v>1405</v>
      </c>
      <c r="M10" s="1362" t="s">
        <v>1406</v>
      </c>
    </row>
    <row r="11" spans="1:37" ht="18" customHeight="1">
      <c r="A11" s="353"/>
      <c r="B11" s="1821" t="s">
        <v>1383</v>
      </c>
      <c r="C11" s="1174"/>
      <c r="D11" s="1822"/>
      <c r="E11" s="358" t="s">
        <v>1407</v>
      </c>
      <c r="F11" s="359">
        <f ca="1">'数据-取费表'!B39</f>
        <v>1.4999999999999999E-2</v>
      </c>
      <c r="G11" s="1847"/>
      <c r="H11" s="1295"/>
      <c r="I11" s="1821" t="s">
        <v>1383</v>
      </c>
      <c r="J11" s="1174"/>
      <c r="K11" s="748"/>
      <c r="L11" s="358"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16465</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7" t="s">
        <v>1412</v>
      </c>
      <c r="C14" s="363">
        <f ca="1">INDIRECT("'数据-取费表'!m"&amp;$G$1)+INDIRECT("'数据-取费表'!t"&amp;$G$1)</f>
        <v>11289</v>
      </c>
      <c r="D14" s="2954" t="s">
        <v>1413</v>
      </c>
      <c r="E14" s="2952"/>
      <c r="F14" s="364"/>
      <c r="G14" s="1847"/>
      <c r="H14" s="1197" t="s">
        <v>1032</v>
      </c>
      <c r="I14" s="347" t="s">
        <v>1414</v>
      </c>
      <c r="J14" s="24">
        <f ca="1">C29</f>
        <v>16465</v>
      </c>
      <c r="K14" s="2962"/>
      <c r="L14" s="975"/>
      <c r="M14" s="976"/>
    </row>
    <row r="15" spans="1:37" s="1854" customFormat="1" ht="18" customHeight="1" thickBot="1">
      <c r="A15" s="1197" t="s">
        <v>1033</v>
      </c>
      <c r="B15" s="347" t="s">
        <v>1415</v>
      </c>
      <c r="C15" s="24">
        <f ca="1">ROUND(C14*F15,0)</f>
        <v>564</v>
      </c>
      <c r="D15" s="365" t="s">
        <v>1416</v>
      </c>
      <c r="E15" s="365" t="s">
        <v>1417</v>
      </c>
      <c r="F15" s="366">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7"/>
      <c r="H16" s="1325" t="s">
        <v>1027</v>
      </c>
      <c r="I16" s="1326" t="s">
        <v>1419</v>
      </c>
      <c r="J16" s="355">
        <f ca="1">ROUND(J17+J22+J23+J24,0)</f>
        <v>394</v>
      </c>
      <c r="K16" s="1333" t="s">
        <v>1420</v>
      </c>
      <c r="L16" s="2956"/>
      <c r="M16" s="1290"/>
    </row>
    <row r="17" spans="1:37" s="1854" customFormat="1" ht="18" customHeight="1">
      <c r="A17" s="1197" t="s">
        <v>1385</v>
      </c>
      <c r="B17" s="347" t="s">
        <v>1421</v>
      </c>
      <c r="C17" s="24">
        <f ca="1">ROUND(F17*(F43+INDIRECT("'数据-取费表'!S"&amp;$G$1))/10000,0)</f>
        <v>415</v>
      </c>
      <c r="D17" s="347" t="s">
        <v>1422</v>
      </c>
      <c r="E17" s="347" t="s">
        <v>1423</v>
      </c>
      <c r="F17" s="26">
        <f>'数据-取费表'!B35</f>
        <v>200</v>
      </c>
      <c r="G17" s="1850"/>
      <c r="H17" s="1197" t="s">
        <v>1032</v>
      </c>
      <c r="I17" s="347" t="s">
        <v>1424</v>
      </c>
      <c r="J17" s="24">
        <f ca="1">ROUND(IF(项目基本情况!B11="自然人",J6*M17/(1+'数据-取费表'!C42),J18+J19+J20),1)</f>
        <v>147.30000000000001</v>
      </c>
      <c r="K17" s="2954" t="s">
        <v>1425</v>
      </c>
      <c r="L17" s="2953" t="s">
        <v>1426</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7" t="s">
        <v>1427</v>
      </c>
      <c r="C18" s="24">
        <f ca="1">ROUND(C14*F18,0)</f>
        <v>169</v>
      </c>
      <c r="D18" s="347" t="s">
        <v>1416</v>
      </c>
      <c r="E18" s="347" t="s">
        <v>1417</v>
      </c>
      <c r="F18" s="367">
        <f>'数据-取费表'!B36</f>
        <v>1.4999999999999999E-2</v>
      </c>
      <c r="G18" s="1850"/>
      <c r="H18" s="1197" t="s">
        <v>1031</v>
      </c>
      <c r="I18" s="347" t="s">
        <v>1428</v>
      </c>
      <c r="J18" s="24">
        <f ca="1">ROUND(J6*M18/(1+'数据-取费表'!C42),2)</f>
        <v>0</v>
      </c>
      <c r="K18" s="2953"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1430</v>
      </c>
      <c r="C19" s="24">
        <f ca="1">SUM(C14:C18)</f>
        <v>12437</v>
      </c>
      <c r="D19" s="140" t="s">
        <v>1431</v>
      </c>
      <c r="E19" s="2961"/>
      <c r="F19" s="26"/>
      <c r="G19" s="1847"/>
      <c r="H19" s="1197" t="s">
        <v>1033</v>
      </c>
      <c r="I19" s="347" t="s">
        <v>1432</v>
      </c>
      <c r="J19" s="24">
        <f ca="1">IF(K19="按租金收入计税",ROUND(J6*M19/(1+'数据-取费表'!C42),2),ROUND(C29*M19*0.7,2))</f>
        <v>138.31</v>
      </c>
      <c r="K19" s="1824" t="s">
        <v>1433</v>
      </c>
      <c r="L19" s="347" t="s">
        <v>1417</v>
      </c>
      <c r="M19" s="367">
        <f>IF(K19="按租金收入计税",'数据-取费表'!B51,'数据-取费表'!B50)</f>
        <v>1.2E-2</v>
      </c>
    </row>
    <row r="20" spans="1:37" s="1854" customFormat="1" ht="18" customHeight="1">
      <c r="A20" s="1197" t="s">
        <v>1036</v>
      </c>
      <c r="B20" s="347" t="s">
        <v>1434</v>
      </c>
      <c r="C20" s="24">
        <f ca="1">ROUND(C19*F20,0)</f>
        <v>249</v>
      </c>
      <c r="D20" s="369" t="s">
        <v>1435</v>
      </c>
      <c r="E20" s="347" t="s">
        <v>1417</v>
      </c>
      <c r="F20" s="367">
        <f>'数据-取费表'!B37</f>
        <v>0.02</v>
      </c>
      <c r="G20" s="1850"/>
      <c r="H20" s="1197" t="s">
        <v>1384</v>
      </c>
      <c r="I20" s="164" t="s">
        <v>1436</v>
      </c>
      <c r="J20" s="25">
        <f ca="1">ROUND(M20*M21/10000,2)</f>
        <v>8.98</v>
      </c>
      <c r="K20" s="370" t="s">
        <v>1437</v>
      </c>
      <c r="L20" s="347" t="s">
        <v>1438</v>
      </c>
      <c r="M20" s="37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2994.88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2961"/>
      <c r="F22" s="26"/>
      <c r="G22" s="1847"/>
      <c r="H22" s="1197" t="s">
        <v>1036</v>
      </c>
      <c r="I22" s="347" t="s">
        <v>1444</v>
      </c>
      <c r="J22" s="24">
        <f ca="1">ROUND(J14*M22,1)</f>
        <v>247</v>
      </c>
      <c r="K22" s="2953" t="s">
        <v>1445</v>
      </c>
      <c r="L22" s="347" t="s">
        <v>1417</v>
      </c>
      <c r="M22" s="374">
        <f ca="1">INDIRECT("'数据-取费表'!Ak"&amp;$G$1)</f>
        <v>1.4999999999999999E-2</v>
      </c>
    </row>
    <row r="23" spans="1:37" s="1854" customFormat="1" ht="18" customHeight="1">
      <c r="A23" s="1197" t="s">
        <v>1031</v>
      </c>
      <c r="B23" s="347" t="s">
        <v>1446</v>
      </c>
      <c r="C23" s="24">
        <f ca="1">IF('数据-取费表'!B22&lt;=1,ROUND(C19*F24*F23/2,0)+ROUND(C20*F24*F23/2,0),ROUND(C19*(POWER((1+F24),F23/2)-1),0)+ROUND(C20*(POWER((1+F24),F23/2)-1),0))</f>
        <v>603</v>
      </c>
      <c r="D23" s="375" t="str">
        <f>IF(F23&lt;=1,"(建造成本+管理费用)×利率×(建设周期÷2)","(建造成本+管理费用)×((1+利率)^(建设周期÷2)-1)")</f>
        <v>(建造成本+管理费用)×((1+利率)^(建设周期÷2)-1)</v>
      </c>
      <c r="E23" s="347" t="s">
        <v>1447</v>
      </c>
      <c r="F23" s="371">
        <f>'数据-取费表'!B20</f>
        <v>2</v>
      </c>
      <c r="G23" s="1850"/>
      <c r="H23" s="1197" t="s">
        <v>1072</v>
      </c>
      <c r="I23" s="347" t="s">
        <v>1448</v>
      </c>
      <c r="J23" s="24">
        <f ca="1">ROUND(J13*M23,1)</f>
        <v>0</v>
      </c>
      <c r="K23" s="2953" t="s">
        <v>1449</v>
      </c>
      <c r="L23" s="347" t="s">
        <v>1417</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0"/>
      <c r="H24" s="1335" t="s">
        <v>1387</v>
      </c>
      <c r="I24" s="1336" t="s">
        <v>1434</v>
      </c>
      <c r="J24" s="1337">
        <f ca="1">ROUND(J5*M24,1)</f>
        <v>0</v>
      </c>
      <c r="K24" s="1338" t="s">
        <v>1454</v>
      </c>
      <c r="L24" s="1336" t="s">
        <v>1417</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7" t="s">
        <v>1456</v>
      </c>
      <c r="C25" s="24"/>
      <c r="D25" s="140" t="s">
        <v>1457</v>
      </c>
      <c r="E25" s="2961"/>
      <c r="F25" s="26"/>
      <c r="G25" s="1847"/>
      <c r="H25" s="1325" t="s">
        <v>1028</v>
      </c>
      <c r="I25" s="1340" t="s">
        <v>1458</v>
      </c>
      <c r="J25" s="355">
        <f ca="1">J5-J16</f>
        <v>-394</v>
      </c>
      <c r="K25" s="1341" t="s">
        <v>1459</v>
      </c>
      <c r="L25" s="1342"/>
      <c r="M25" s="1343"/>
    </row>
    <row r="26" spans="1:37">
      <c r="A26" s="1197" t="s">
        <v>1031</v>
      </c>
      <c r="B26" s="347" t="s">
        <v>1460</v>
      </c>
      <c r="C26" s="24">
        <f ca="1">ROUND((C19+C20)*F26,0)</f>
        <v>1903</v>
      </c>
      <c r="D26" s="369" t="s">
        <v>1461</v>
      </c>
      <c r="E26" s="358" t="s">
        <v>1462</v>
      </c>
      <c r="F26" s="357">
        <f ca="1">INDIRECT("'数据-取费表'!q"&amp;$G$1)</f>
        <v>0.15</v>
      </c>
      <c r="G26" s="1847"/>
      <c r="H26" s="344" t="s">
        <v>1029</v>
      </c>
      <c r="I26" s="345" t="s">
        <v>1463</v>
      </c>
      <c r="J26" s="346">
        <f ca="1">IF(J5&lt;&gt;0,ROUND(J25*(1-((1+M28)/(1+M26))^M27)/(M26-M28),0),0)</f>
        <v>0</v>
      </c>
      <c r="K26" s="370" t="s">
        <v>1464</v>
      </c>
      <c r="L26" s="347" t="s">
        <v>1465</v>
      </c>
      <c r="M26" s="357">
        <f ca="1">INDIRECT("'数据-取费表'!I"&amp;$G$1)</f>
        <v>5.5E-2</v>
      </c>
    </row>
    <row r="27" spans="1:37" ht="18" customHeight="1">
      <c r="A27" s="1197" t="s">
        <v>1033</v>
      </c>
      <c r="B27" s="347" t="s">
        <v>1466</v>
      </c>
      <c r="C27" s="24">
        <f ca="1">ROUND(F21*F26,4)</f>
        <v>3.0000000000000001E-3</v>
      </c>
      <c r="D27" s="369" t="s">
        <v>1467</v>
      </c>
      <c r="E27" s="365"/>
      <c r="F27" s="366"/>
      <c r="G27" s="1847"/>
      <c r="H27" s="349"/>
      <c r="I27" s="350"/>
      <c r="J27" s="351"/>
      <c r="K27" s="378" t="s">
        <v>1468</v>
      </c>
      <c r="L27" s="347" t="s">
        <v>1469</v>
      </c>
      <c r="M27" s="379">
        <f ca="1">INDIRECT("'数据-取费表'!ag"&amp;$G$1)</f>
        <v>0</v>
      </c>
    </row>
    <row r="28" spans="1:37" s="1854" customFormat="1" ht="18" customHeight="1">
      <c r="A28" s="1197"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16465</v>
      </c>
      <c r="D29" s="1338"/>
      <c r="E29" s="1336"/>
      <c r="F29" s="1339"/>
      <c r="G29" s="1850"/>
      <c r="H29" s="380" t="s">
        <v>1030</v>
      </c>
      <c r="I29" s="381" t="s">
        <v>1474</v>
      </c>
      <c r="J29" s="382">
        <f ca="1">ROUND(J26/(1+F40)^F41,0)</f>
        <v>0</v>
      </c>
      <c r="K29" s="383" t="s">
        <v>1475</v>
      </c>
      <c r="L29" s="384"/>
      <c r="M29" s="385">
        <f ca="1">INDIRECT("'数据-取费表'!k"&amp;$G$1)</f>
        <v>19486.22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1418</v>
      </c>
      <c r="D30" s="1333" t="s">
        <v>1420</v>
      </c>
      <c r="E30" s="2956"/>
      <c r="F30" s="1290"/>
      <c r="G30" s="1847"/>
      <c r="H30" s="745"/>
      <c r="I30" s="746"/>
      <c r="J30" s="747"/>
      <c r="K30" s="748"/>
      <c r="L30" s="749"/>
      <c r="M30" s="750"/>
    </row>
    <row r="31" spans="1:37" ht="18" customHeight="1">
      <c r="A31" s="1197" t="s">
        <v>1032</v>
      </c>
      <c r="B31" s="347" t="s">
        <v>1424</v>
      </c>
      <c r="C31" s="24">
        <f ca="1">ROUND(IF(项目基本情况!B11="自然人",C6*F31/(1+'数据-取费表'!C42),C32+C33+C34),1)</f>
        <v>1081.9000000000001</v>
      </c>
      <c r="D31" s="2954" t="s">
        <v>1425</v>
      </c>
      <c r="E31" s="2953" t="s">
        <v>1476</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1031</v>
      </c>
      <c r="B32" s="347" t="s">
        <v>1428</v>
      </c>
      <c r="C32" s="24">
        <f ca="1">IF(项目基本情况!B11="自然人","——",ROUND(C6*F32/(1+'数据-取费表'!C42),2))</f>
        <v>341.39</v>
      </c>
      <c r="D32" s="2953" t="s">
        <v>1429</v>
      </c>
      <c r="E32" s="347" t="s">
        <v>1417</v>
      </c>
      <c r="F32" s="377">
        <f>'数据-取费表'!B41</f>
        <v>5.6000000000000001E-2</v>
      </c>
      <c r="G32" s="1847"/>
      <c r="H32" s="745"/>
      <c r="I32" s="746"/>
      <c r="J32" s="747"/>
      <c r="K32" s="748"/>
      <c r="L32" s="749"/>
      <c r="M32" s="750"/>
    </row>
    <row r="33" spans="1:18" ht="18" customHeight="1">
      <c r="A33" s="1197" t="s">
        <v>1033</v>
      </c>
      <c r="B33" s="347" t="s">
        <v>1432</v>
      </c>
      <c r="C33" s="24">
        <f ca="1">IF(项目基本情况!B11="自然人","——",IF(D33="按租金收入计税",ROUND(C6*F33/(1+'数据-取费表'!C42),2),IF(D33="按房产原值计税",ROUND(C29*F33*0.7,2),INDIRECT("'数据-取费表'!Aj"&amp;$G$1))))</f>
        <v>731.54</v>
      </c>
      <c r="D33" s="1824" t="s">
        <v>3094</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IF(项目基本情况!B11="自然人","——",ROUND(F34*F35/10000,2))</f>
        <v>8.98</v>
      </c>
      <c r="D34" s="370" t="s">
        <v>1437</v>
      </c>
      <c r="E34" s="347" t="s">
        <v>1438</v>
      </c>
      <c r="F34" s="371">
        <f>'数据-取费表'!B52</f>
        <v>30</v>
      </c>
      <c r="G34" s="1847"/>
      <c r="H34" s="745"/>
      <c r="I34" s="1856"/>
      <c r="J34" s="1857"/>
      <c r="K34" s="1859"/>
      <c r="L34" s="1860"/>
      <c r="M34" s="1860"/>
    </row>
    <row r="35" spans="1:18" ht="18" customHeight="1">
      <c r="A35" s="1349"/>
      <c r="B35" s="1347"/>
      <c r="C35" s="29"/>
      <c r="D35" s="373"/>
      <c r="E35" s="347" t="s">
        <v>1442</v>
      </c>
      <c r="F35" s="348">
        <f ca="1">INDIRECT("'数据-取费表'!r"&amp;$G$1)</f>
        <v>2994.88</v>
      </c>
      <c r="G35" s="1847"/>
      <c r="H35" s="745"/>
      <c r="I35" s="1856"/>
      <c r="J35" s="1857"/>
      <c r="K35" s="1858"/>
      <c r="L35" s="1855"/>
      <c r="M35" s="1855"/>
    </row>
    <row r="36" spans="1:18" ht="18" customHeight="1">
      <c r="A36" s="1348" t="s">
        <v>1036</v>
      </c>
      <c r="B36" s="347" t="s">
        <v>1444</v>
      </c>
      <c r="C36" s="24">
        <f ca="1">ROUND(C29*F36,1)</f>
        <v>247</v>
      </c>
      <c r="D36" s="2953" t="s">
        <v>1477</v>
      </c>
      <c r="E36" s="347" t="s">
        <v>1417</v>
      </c>
      <c r="F36" s="374">
        <f ca="1">INDIRECT("'数据-取费表'!Ak"&amp;$G$1)</f>
        <v>1.4999999999999999E-2</v>
      </c>
      <c r="G36" s="1847"/>
      <c r="H36" s="1855"/>
      <c r="I36" s="1856"/>
      <c r="J36" s="1857"/>
      <c r="K36" s="751"/>
      <c r="L36" s="1855"/>
      <c r="M36" s="1855"/>
    </row>
    <row r="37" spans="1:18" ht="18" customHeight="1">
      <c r="A37" s="1197" t="s">
        <v>1072</v>
      </c>
      <c r="B37" s="347" t="s">
        <v>1448</v>
      </c>
      <c r="C37" s="24">
        <f ca="1">ROUND(C13*F37,1)</f>
        <v>24.7</v>
      </c>
      <c r="D37" s="2953" t="s">
        <v>1449</v>
      </c>
      <c r="E37" s="347" t="s">
        <v>1417</v>
      </c>
      <c r="F37" s="376">
        <f ca="1">INDIRECT("'数据-取费表'!Al"&amp;$G$1)</f>
        <v>1.5E-3</v>
      </c>
      <c r="G37" s="1847"/>
      <c r="H37" s="1855"/>
      <c r="I37" s="1856"/>
      <c r="J37" s="1857"/>
      <c r="K37" s="751"/>
      <c r="L37" s="1855"/>
      <c r="M37" s="1855"/>
    </row>
    <row r="38" spans="1:18" ht="18" customHeight="1" thickBot="1">
      <c r="A38" s="1335" t="s">
        <v>1387</v>
      </c>
      <c r="B38" s="1336" t="s">
        <v>1434</v>
      </c>
      <c r="C38" s="1337">
        <f ca="1">ROUND(C5*F38,1)</f>
        <v>64.099999999999994</v>
      </c>
      <c r="D38" s="1338" t="s">
        <v>1454</v>
      </c>
      <c r="E38" s="1336" t="s">
        <v>1417</v>
      </c>
      <c r="F38" s="1332">
        <f ca="1">INDIRECT("'数据-取费表'!Am"&amp;$G$1)</f>
        <v>0.01</v>
      </c>
      <c r="G38" s="1847"/>
      <c r="H38" s="1855"/>
      <c r="I38" s="1856"/>
      <c r="J38" s="1857"/>
      <c r="K38" s="1861"/>
      <c r="L38" s="1855"/>
      <c r="M38" s="1855"/>
    </row>
    <row r="39" spans="1:18" ht="24.6" customHeight="1" thickTop="1">
      <c r="A39" s="1325" t="s">
        <v>1028</v>
      </c>
      <c r="B39" s="1340" t="s">
        <v>1458</v>
      </c>
      <c r="C39" s="355">
        <f ca="1">C5-C30</f>
        <v>4991</v>
      </c>
      <c r="D39" s="1341" t="s">
        <v>1459</v>
      </c>
      <c r="E39" s="1342"/>
      <c r="F39" s="1343"/>
      <c r="G39" s="1847"/>
      <c r="H39" s="1855"/>
      <c r="I39" s="1856"/>
      <c r="J39" s="1857"/>
      <c r="K39" s="1861"/>
      <c r="L39" s="1855"/>
      <c r="M39" s="1855"/>
    </row>
    <row r="40" spans="1:18" ht="18" customHeight="1">
      <c r="A40" s="344" t="s">
        <v>1029</v>
      </c>
      <c r="B40" s="345" t="s">
        <v>1480</v>
      </c>
      <c r="C40" s="346">
        <f ca="1">ROUND(C39*(1-((1+F42)/(1+F40))^F41)/(F40-F42),0)</f>
        <v>114611</v>
      </c>
      <c r="D40" s="370" t="s">
        <v>1464</v>
      </c>
      <c r="E40" s="347" t="s">
        <v>1465</v>
      </c>
      <c r="F40" s="357">
        <f ca="1">INDIRECT("'数据-取费表'!I"&amp;$G$1)</f>
        <v>5.5E-2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35.589999999999996</v>
      </c>
      <c r="G41" s="1847"/>
      <c r="H41" s="732"/>
      <c r="I41" s="1856"/>
      <c r="J41" s="1857"/>
      <c r="K41" s="751"/>
      <c r="L41" s="732"/>
      <c r="M41" s="732"/>
    </row>
    <row r="42" spans="1:18" ht="18" customHeight="1">
      <c r="A42" s="353"/>
      <c r="B42" s="354"/>
      <c r="C42" s="355"/>
      <c r="D42" s="373"/>
      <c r="E42" s="347" t="s">
        <v>1472</v>
      </c>
      <c r="F42" s="357">
        <f ca="1">INDIRECT("'数据-取费表'!v"&amp;$G$1)</f>
        <v>0.03</v>
      </c>
      <c r="G42" s="1847"/>
      <c r="H42" s="732"/>
      <c r="I42" s="1856"/>
      <c r="J42" s="1857"/>
      <c r="K42" s="751"/>
      <c r="L42" s="732"/>
      <c r="M42" s="732"/>
    </row>
    <row r="43" spans="1:18" ht="18" customHeight="1" thickBot="1">
      <c r="A43" s="380" t="s">
        <v>1030</v>
      </c>
      <c r="B43" s="381" t="s">
        <v>1482</v>
      </c>
      <c r="C43" s="382">
        <f ca="1">ROUND(C40*10000/F43,0)</f>
        <v>58816</v>
      </c>
      <c r="D43" s="383" t="s">
        <v>1483</v>
      </c>
      <c r="E43" s="384" t="s">
        <v>1484</v>
      </c>
      <c r="F43" s="385">
        <f ca="1">INDIRECT("'数据-取费表'!k"&amp;$G$1)</f>
        <v>19486.22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-140365</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2"/>
      <c r="I47" s="1876" t="s">
        <v>1521</v>
      </c>
      <c r="J47" s="1877" t="s">
        <v>3095</v>
      </c>
      <c r="K47" s="1878" t="s">
        <v>1522</v>
      </c>
      <c r="L47" s="1879">
        <f ca="1">INDIRECT("'数据-取费表'!d"&amp;$G$1)</f>
        <v>50</v>
      </c>
      <c r="M47" s="1834" t="str">
        <f>IF(ISNUMBER(FIND("住宅",C1)),"住宅","非住宅")</f>
        <v>非住宅</v>
      </c>
      <c r="O47" s="1880" t="s">
        <v>1037</v>
      </c>
      <c r="P47" s="1881" t="s">
        <v>1523</v>
      </c>
      <c r="Q47" s="1882">
        <f ca="1">C40+J29</f>
        <v>114611</v>
      </c>
      <c r="R47" s="1882" t="s">
        <v>1524</v>
      </c>
    </row>
    <row r="48" spans="1:18" s="1838" customFormat="1" ht="28.5" thickBot="1">
      <c r="A48" s="1356" t="s">
        <v>1132</v>
      </c>
      <c r="B48" s="345" t="s">
        <v>1396</v>
      </c>
      <c r="C48" s="2960">
        <f ca="1">C49+C53+C55</f>
        <v>0</v>
      </c>
      <c r="D48" s="1358"/>
      <c r="E48" s="1359"/>
      <c r="F48" s="1177"/>
      <c r="G48" s="792"/>
      <c r="H48" s="793"/>
      <c r="I48" s="1883" t="s">
        <v>1525</v>
      </c>
      <c r="J48" s="1884" t="s">
        <v>3096</v>
      </c>
      <c r="K48" s="1885" t="s">
        <v>1526</v>
      </c>
      <c r="L48" s="1886">
        <f ca="1">INDIRECT("'数据-取费表'!f"&amp;$G$1)</f>
        <v>36.29</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3029</v>
      </c>
      <c r="E49" s="1826" t="s">
        <v>1486</v>
      </c>
      <c r="F49" s="1277"/>
      <c r="G49" s="1887"/>
      <c r="H49" s="793"/>
      <c r="I49" s="1883" t="s">
        <v>1529</v>
      </c>
      <c r="J49" s="1888">
        <v>2020</v>
      </c>
      <c r="K49" s="1885" t="s">
        <v>1530</v>
      </c>
      <c r="L49" s="1889"/>
      <c r="O49" s="1890" t="s">
        <v>1039</v>
      </c>
      <c r="P49" s="1881" t="s">
        <v>1531</v>
      </c>
      <c r="Q49" s="1882">
        <f ca="1">C29</f>
        <v>16465</v>
      </c>
      <c r="R49" s="1882" t="s">
        <v>1524</v>
      </c>
    </row>
    <row r="50" spans="1:18" s="1838" customFormat="1" ht="13.5" thickBot="1">
      <c r="A50" s="1191"/>
      <c r="B50" s="1194"/>
      <c r="C50" s="1364"/>
      <c r="D50" s="1168"/>
      <c r="E50" s="1273" t="s">
        <v>1401</v>
      </c>
      <c r="F50" s="1274">
        <f ca="1">F7</f>
        <v>19486.22</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8">
        <f ca="1">F8</f>
        <v>365</v>
      </c>
      <c r="I51" s="1894" t="s">
        <v>1535</v>
      </c>
      <c r="J51" s="1895">
        <f>IF(J49="",J50,J49+J50-YEAR('数据-取费表'!B2))</f>
        <v>61</v>
      </c>
      <c r="K51" s="1896" t="s">
        <v>1536</v>
      </c>
      <c r="L51" s="1897">
        <f ca="1">ROUND(-PV(INDIRECT("'数据-取费表'!h"&amp;$G$1),L48,(C39-C13*C76),0),0)</f>
        <v>63655</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35.589999999999996</v>
      </c>
      <c r="R52" s="1882" t="s">
        <v>1541</v>
      </c>
    </row>
    <row r="53" spans="1:18" s="1838" customFormat="1" ht="24.75" thickBot="1">
      <c r="A53" s="1401" t="s">
        <v>1134</v>
      </c>
      <c r="B53" s="1827" t="s">
        <v>1404</v>
      </c>
      <c r="C53" s="361">
        <f ca="1">ROUND(IF(F53="押一",C49/12*F11,IF(F53="押二",C49/12*2*F11,IF(F53="押三",C49/12*3*F11,C54*F11))),0)</f>
        <v>0</v>
      </c>
      <c r="D53" s="1820" t="s">
        <v>3038</v>
      </c>
      <c r="E53" s="358" t="s">
        <v>1405</v>
      </c>
      <c r="F53" s="1362"/>
      <c r="I53" s="1901" t="s">
        <v>1542</v>
      </c>
      <c r="J53" s="2948">
        <f ca="1">IF(M47="住宅",IF(D1="——",MAX(J51,L48),MAX(J51,L48-'数据-取费表'!B24)),IF(D1="——",MIN(J51,L48),MIN(J51,L48-'数据-取费表'!B24)))</f>
        <v>35.589999999999996</v>
      </c>
      <c r="K53" s="3160" t="s">
        <v>1543</v>
      </c>
      <c r="L53" s="3161"/>
      <c r="O53" s="1880" t="s">
        <v>1043</v>
      </c>
      <c r="P53" s="1881" t="s">
        <v>1544</v>
      </c>
      <c r="Q53" s="1882">
        <f ca="1">Q47+Q48</f>
        <v>114611</v>
      </c>
      <c r="R53" s="1882" t="s">
        <v>1044</v>
      </c>
    </row>
    <row r="54" spans="1:18" s="1838" customFormat="1" ht="13.5" thickBot="1">
      <c r="A54" s="1402"/>
      <c r="B54" s="1821" t="s">
        <v>1383</v>
      </c>
      <c r="C54" s="1174"/>
      <c r="D54" s="1820"/>
      <c r="E54" s="295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57"/>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6">
        <f ca="1">C13</f>
        <v>16465</v>
      </c>
      <c r="D56" s="1909"/>
      <c r="E56" s="1910"/>
      <c r="F56" s="1902"/>
      <c r="I56" s="1911" t="s">
        <v>1549</v>
      </c>
      <c r="J56" s="1912" t="s">
        <v>3057</v>
      </c>
      <c r="K56" s="1883" t="s">
        <v>1550</v>
      </c>
      <c r="L56" s="1886" t="str">
        <f ca="1">IF(L48&lt;J51,"——",L48-J53)</f>
        <v>——</v>
      </c>
      <c r="O56" s="1880" t="s">
        <v>1037</v>
      </c>
      <c r="P56" s="1881" t="s">
        <v>1523</v>
      </c>
      <c r="Q56" s="1882">
        <f ca="1">C40+J29</f>
        <v>114611</v>
      </c>
      <c r="R56" s="1882" t="s">
        <v>1524</v>
      </c>
    </row>
    <row r="57" spans="1:18" s="1838" customFormat="1" ht="24.75" thickBot="1">
      <c r="A57" s="1913"/>
      <c r="B57" s="1165" t="s">
        <v>1473</v>
      </c>
      <c r="C57" s="282">
        <f ca="1">C29</f>
        <v>16465</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3" t="s">
        <v>1419</v>
      </c>
      <c r="C58" s="361">
        <f ca="1">ROUND(C59+C64+C65+C66,0)</f>
        <v>1664</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1392</v>
      </c>
      <c r="D59" s="1178" t="s">
        <v>1425</v>
      </c>
      <c r="E59" s="1179" t="s">
        <v>1426</v>
      </c>
      <c r="F59" s="368">
        <f ca="1">IF(项目基本情况!B11="企业","",IF(INDIRECT("'数据-取费表'!c"&amp;$G$1)="住宅",5%,IF(F49*F50*F51/12/(1+'数据-取费表'!C42)&gt;20000,12%,7%)))</f>
        <v>7.0000000000000007E-2</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1432</v>
      </c>
      <c r="C61" s="24">
        <f ca="1">IF(项目基本情况!B11="自然人","——",IF(D61="按租金收入计税",ROUND(C48*F61,2),IF(D61="按房产原值计税",ROUND(C57*F61*0.7,2),INDIRECT("'数据-取费表'!Aj"&amp;$G$1))))</f>
        <v>1383.06</v>
      </c>
      <c r="D61" s="1824" t="s">
        <v>1433</v>
      </c>
      <c r="E61" s="1165" t="s">
        <v>1417</v>
      </c>
      <c r="F61" s="367">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1436</v>
      </c>
      <c r="C62" s="25">
        <f ca="1">IF(项目基本情况!B11="自然人","——",ROUND(F62*F63/10000,2))</f>
        <v>8.98</v>
      </c>
      <c r="D62" s="1180" t="s">
        <v>1437</v>
      </c>
      <c r="E62" s="1165" t="s">
        <v>1438</v>
      </c>
      <c r="F62" s="371">
        <f t="shared" si="0"/>
        <v>30</v>
      </c>
      <c r="I62" s="1924" t="s">
        <v>1565</v>
      </c>
      <c r="J62" s="1925" t="s">
        <v>1566</v>
      </c>
      <c r="K62" s="1925" t="s">
        <v>1567</v>
      </c>
      <c r="L62" s="1925" t="s">
        <v>1568</v>
      </c>
      <c r="M62" s="1926" t="s">
        <v>1569</v>
      </c>
      <c r="O62" s="1880" t="s">
        <v>1043</v>
      </c>
      <c r="P62" s="1881" t="s">
        <v>1544</v>
      </c>
      <c r="Q62" s="1882">
        <f ca="1">Q56+Q57</f>
        <v>114611</v>
      </c>
      <c r="R62" s="1882" t="s">
        <v>1044</v>
      </c>
    </row>
    <row r="63" spans="1:18" s="1838" customFormat="1" ht="13.5" thickBot="1">
      <c r="A63" s="372"/>
      <c r="B63" s="1171"/>
      <c r="C63" s="29"/>
      <c r="D63" s="1181"/>
      <c r="E63" s="1165" t="s">
        <v>1442</v>
      </c>
      <c r="F63" s="348">
        <f t="shared" ca="1" si="0"/>
        <v>2994.88</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f ca="1">ROUND(C57*F64,1)</f>
        <v>247</v>
      </c>
      <c r="D64" s="1179" t="s">
        <v>1477</v>
      </c>
      <c r="E64" s="1165" t="s">
        <v>1417</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24.7</v>
      </c>
      <c r="D65" s="1179" t="s">
        <v>1449</v>
      </c>
      <c r="E65" s="1165" t="s">
        <v>1417</v>
      </c>
      <c r="F65" s="376">
        <f t="shared" ca="1" si="0"/>
        <v>1.5E-3</v>
      </c>
      <c r="I65" s="1924" t="s">
        <v>1574</v>
      </c>
      <c r="J65" s="1925">
        <v>40</v>
      </c>
      <c r="K65" s="1925">
        <v>30</v>
      </c>
      <c r="L65" s="1925">
        <v>50</v>
      </c>
      <c r="M65" s="1927">
        <v>0.02</v>
      </c>
      <c r="O65" s="1880" t="s">
        <v>1037</v>
      </c>
      <c r="P65" s="1881" t="s">
        <v>1523</v>
      </c>
      <c r="Q65" s="1882">
        <f ca="1">C40+J29</f>
        <v>114611</v>
      </c>
      <c r="R65" s="1882" t="s">
        <v>1524</v>
      </c>
    </row>
    <row r="66" spans="1:18" s="1838" customFormat="1" ht="16.5" thickBot="1">
      <c r="A66" s="1197" t="s">
        <v>1499</v>
      </c>
      <c r="B66" s="1165" t="s">
        <v>1434</v>
      </c>
      <c r="C66" s="24">
        <f ca="1">ROUND(C48*F66,1)</f>
        <v>0</v>
      </c>
      <c r="D66" s="1179" t="s">
        <v>1454</v>
      </c>
      <c r="E66" s="1165" t="s">
        <v>1417</v>
      </c>
      <c r="F66" s="357">
        <f t="shared" ca="1" si="0"/>
        <v>0.01</v>
      </c>
      <c r="O66" s="1880" t="s">
        <v>1038</v>
      </c>
      <c r="P66" s="1881" t="s">
        <v>1553</v>
      </c>
      <c r="Q66" s="1882">
        <f ca="1">L60</f>
        <v>0</v>
      </c>
      <c r="R66" s="1882" t="s">
        <v>1576</v>
      </c>
    </row>
    <row r="67" spans="1:18" s="1838" customFormat="1" ht="16.5" thickBot="1">
      <c r="A67" s="1172" t="s">
        <v>1028</v>
      </c>
      <c r="B67" s="1182" t="s">
        <v>1458</v>
      </c>
      <c r="C67" s="361">
        <f ca="1">C48-C58</f>
        <v>-1664</v>
      </c>
      <c r="D67" s="1178" t="s">
        <v>1459</v>
      </c>
      <c r="E67" s="1183"/>
      <c r="F67" s="1184"/>
      <c r="O67" s="1890" t="s">
        <v>1039</v>
      </c>
      <c r="P67" s="1881" t="s">
        <v>1557</v>
      </c>
      <c r="Q67" s="1928">
        <f ca="1">L51</f>
        <v>63655</v>
      </c>
      <c r="R67" s="1882" t="s">
        <v>1577</v>
      </c>
    </row>
    <row r="68" spans="1:18" s="1838" customFormat="1" ht="16.5" thickBot="1">
      <c r="A68" s="1162" t="s">
        <v>1029</v>
      </c>
      <c r="B68" s="1163" t="s">
        <v>1480</v>
      </c>
      <c r="C68" s="346">
        <f ca="1">ROUND(C67*(1-((1+F70)/(1+F68))^F69)/(F68-F70),0)</f>
        <v>-25754</v>
      </c>
      <c r="D68" s="1180" t="s">
        <v>1464</v>
      </c>
      <c r="E68" s="1165" t="s">
        <v>1465</v>
      </c>
      <c r="F68" s="357">
        <f ca="1">F40</f>
        <v>5.5E-2</v>
      </c>
      <c r="O68" s="1890" t="s">
        <v>1040</v>
      </c>
      <c r="P68" s="1929" t="s">
        <v>1578</v>
      </c>
      <c r="Q68" s="1882">
        <f ca="1">ROUND(Q69-Q70*Q71,0)</f>
        <v>3591</v>
      </c>
      <c r="R68" s="1882" t="s">
        <v>1048</v>
      </c>
    </row>
    <row r="69" spans="1:18" s="1838" customFormat="1" ht="13.5" thickBot="1">
      <c r="A69" s="1166"/>
      <c r="B69" s="1167"/>
      <c r="C69" s="351"/>
      <c r="D69" s="1185" t="s">
        <v>1468</v>
      </c>
      <c r="E69" s="1165" t="s">
        <v>1469</v>
      </c>
      <c r="F69" s="379">
        <f ca="1">F41</f>
        <v>35.589999999999996</v>
      </c>
      <c r="O69" s="1890" t="s">
        <v>1045</v>
      </c>
      <c r="P69" s="1929" t="s">
        <v>1579</v>
      </c>
      <c r="Q69" s="1882">
        <f ca="1">C39</f>
        <v>4991</v>
      </c>
      <c r="R69" s="1882" t="s">
        <v>1524</v>
      </c>
    </row>
    <row r="70" spans="1:18" s="1838" customFormat="1" ht="13.5" thickBot="1">
      <c r="A70" s="1169"/>
      <c r="B70" s="1170"/>
      <c r="C70" s="355"/>
      <c r="D70" s="1181"/>
      <c r="E70" s="1165" t="s">
        <v>1472</v>
      </c>
      <c r="F70" s="1271"/>
      <c r="O70" s="1890" t="s">
        <v>1046</v>
      </c>
      <c r="P70" s="1929" t="s">
        <v>1580</v>
      </c>
      <c r="Q70" s="1882">
        <f ca="1">C13</f>
        <v>16465</v>
      </c>
      <c r="R70" s="1882" t="s">
        <v>1524</v>
      </c>
    </row>
    <row r="71" spans="1:18" s="1838" customFormat="1" ht="13.5" thickBot="1">
      <c r="A71" s="1186" t="s">
        <v>1030</v>
      </c>
      <c r="B71" s="1187" t="s">
        <v>1482</v>
      </c>
      <c r="C71" s="382">
        <f ca="1">ROUND(C68*10000/F71,0)</f>
        <v>-13217</v>
      </c>
      <c r="D71" s="1188" t="s">
        <v>1483</v>
      </c>
      <c r="E71" s="1189" t="s">
        <v>1484</v>
      </c>
      <c r="F71" s="385">
        <f ca="1">F43</f>
        <v>19486.22</v>
      </c>
      <c r="O71" s="1890" t="s">
        <v>1047</v>
      </c>
      <c r="P71" s="1929" t="s">
        <v>1581</v>
      </c>
      <c r="Q71" s="1893">
        <f ca="1">C76</f>
        <v>8.5000000000000006E-2</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6" t="s">
        <v>1501</v>
      </c>
      <c r="C75" s="387">
        <f ca="1">ROUND(C13*C76,0)</f>
        <v>1400</v>
      </c>
      <c r="D75" s="1838"/>
      <c r="E75" s="1838"/>
      <c r="F75" s="1838"/>
      <c r="K75" s="1864"/>
      <c r="L75" s="1838"/>
      <c r="O75" s="1880" t="s">
        <v>1043</v>
      </c>
      <c r="P75" s="1881" t="s">
        <v>1544</v>
      </c>
      <c r="Q75" s="1882">
        <f ca="1">Q65+Q66</f>
        <v>114611</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0.71899999999999997</v>
      </c>
    </row>
    <row r="80" spans="1:18">
      <c r="B80" s="386" t="s">
        <v>1506</v>
      </c>
      <c r="C80" s="318">
        <f ca="1">ROUND(C75/C39,3)</f>
        <v>0.28100000000000003</v>
      </c>
    </row>
    <row r="81" spans="2:3">
      <c r="B81" s="314" t="s">
        <v>1507</v>
      </c>
      <c r="C81" s="282"/>
    </row>
    <row r="82" spans="2:3">
      <c r="B82" s="317" t="s">
        <v>1508</v>
      </c>
      <c r="C82" s="319">
        <f ca="1">1-C83</f>
        <v>0.85599999999999998</v>
      </c>
    </row>
    <row r="83" spans="2:3">
      <c r="B83" s="317" t="s">
        <v>1509</v>
      </c>
      <c r="C83" s="318">
        <f ca="1">ROUND(C13/C40,3)</f>
        <v>0.14399999999999999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t="s">
        <v>1373</v>
      </c>
      <c r="D1" s="1816" t="s">
        <v>3092</v>
      </c>
      <c r="E1" s="1817" t="s">
        <v>1382</v>
      </c>
      <c r="F1" s="1279">
        <f ca="1">J53</f>
        <v>25.59</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1510</v>
      </c>
      <c r="B2" s="1840">
        <f ca="1">C40+J29+L46</f>
        <v>2194</v>
      </c>
      <c r="C2" s="1841" t="s">
        <v>1511</v>
      </c>
      <c r="D2" s="1841"/>
      <c r="E2" s="1842"/>
      <c r="F2" s="1843"/>
      <c r="G2" s="1844"/>
      <c r="H2" s="1836"/>
      <c r="I2" s="1836"/>
      <c r="J2" s="1836"/>
      <c r="K2" s="1837"/>
      <c r="L2" s="1836"/>
      <c r="M2" s="1836"/>
    </row>
    <row r="3" spans="1:37" ht="18" customHeight="1" thickBot="1">
      <c r="A3" s="1845" t="s">
        <v>1512</v>
      </c>
      <c r="B3" s="1846">
        <f ca="1">IF(ISERROR(B2*10000/F43),0,ROUND(B2*10000/F43,0))</f>
        <v>61667</v>
      </c>
      <c r="C3" s="1841" t="s">
        <v>1513</v>
      </c>
      <c r="D3" s="1841"/>
      <c r="E3" s="1842"/>
      <c r="F3" s="1843"/>
      <c r="G3" s="1844"/>
      <c r="H3" s="744"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8">
        <f ca="1">C6+C10+C12</f>
        <v>152</v>
      </c>
      <c r="D5" s="1818" t="s">
        <v>1397</v>
      </c>
      <c r="E5" s="1289"/>
      <c r="F5" s="1290"/>
      <c r="G5" s="1847"/>
      <c r="H5" s="344">
        <v>1</v>
      </c>
      <c r="I5" s="345" t="s">
        <v>1396</v>
      </c>
      <c r="J5" s="1288">
        <f ca="1">J6+J10+J12</f>
        <v>0</v>
      </c>
      <c r="K5" s="1818" t="s">
        <v>1397</v>
      </c>
      <c r="L5" s="1289"/>
      <c r="M5" s="1290"/>
    </row>
    <row r="6" spans="1:37" ht="18" customHeight="1">
      <c r="A6" s="1287" t="s">
        <v>1032</v>
      </c>
      <c r="B6" s="3162" t="s">
        <v>1398</v>
      </c>
      <c r="C6" s="1292">
        <f ca="1">ROUND(F6*F8*F7*(1-F9)/10000,0)</f>
        <v>152</v>
      </c>
      <c r="D6" s="164" t="s">
        <v>3030</v>
      </c>
      <c r="E6" s="347" t="s">
        <v>1400</v>
      </c>
      <c r="F6" s="348">
        <f ca="1">INDIRECT("'数据-取费表'!u"&amp;$G$1)</f>
        <v>13</v>
      </c>
      <c r="G6" s="1847"/>
      <c r="H6" s="1287" t="s">
        <v>1032</v>
      </c>
      <c r="I6" s="3162" t="s">
        <v>1398</v>
      </c>
      <c r="J6" s="346">
        <f ca="1">ROUND(M6*M8*M7*(1-M9)/10000,0)</f>
        <v>0</v>
      </c>
      <c r="K6" s="164" t="s">
        <v>3029</v>
      </c>
      <c r="L6" s="347" t="s">
        <v>1400</v>
      </c>
      <c r="M6" s="348">
        <f ca="1">INDIRECT("'数据-取费表'!z"&amp;$G$1)</f>
        <v>0</v>
      </c>
    </row>
    <row r="7" spans="1:37" ht="18" customHeight="1">
      <c r="A7" s="1291"/>
      <c r="B7" s="3163"/>
      <c r="C7" s="1293"/>
      <c r="D7" s="352"/>
      <c r="E7" s="1294" t="s">
        <v>1401</v>
      </c>
      <c r="F7" s="348">
        <f ca="1">IF(INDIRECT("'数据-取费表'!ah"&amp;$G$1)="",INDIRECT("'数据-取费表'!k"&amp;$G$1),INDIRECT("'数据-取费表'!ah"&amp;$G$1))</f>
        <v>355.78</v>
      </c>
      <c r="G7" s="1847"/>
      <c r="H7" s="349"/>
      <c r="I7" s="3163"/>
      <c r="J7" s="351"/>
      <c r="K7" s="352"/>
      <c r="L7" s="347" t="s">
        <v>1401</v>
      </c>
      <c r="M7" s="348">
        <f ca="1">F7</f>
        <v>355.78</v>
      </c>
    </row>
    <row r="8" spans="1:37" ht="18" customHeight="1">
      <c r="A8" s="349"/>
      <c r="B8" s="3163"/>
      <c r="C8" s="351"/>
      <c r="D8" s="352"/>
      <c r="E8" s="347" t="s">
        <v>1402</v>
      </c>
      <c r="F8" s="348">
        <f ca="1">INDIRECT("'数据-取费表'!ai"&amp;$G$1)</f>
        <v>365</v>
      </c>
      <c r="G8" s="1847"/>
      <c r="H8" s="349"/>
      <c r="I8" s="3163"/>
      <c r="J8" s="351"/>
      <c r="K8" s="352"/>
      <c r="L8" s="347" t="s">
        <v>1402</v>
      </c>
      <c r="M8" s="348">
        <f ca="1">INDIRECT("'数据-取费表'!ai"&amp;$G$1)</f>
        <v>365</v>
      </c>
    </row>
    <row r="9" spans="1:37" ht="18" customHeight="1">
      <c r="A9" s="349"/>
      <c r="B9" s="3164"/>
      <c r="C9" s="351"/>
      <c r="D9" s="352"/>
      <c r="E9" s="347" t="s">
        <v>1403</v>
      </c>
      <c r="F9" s="357">
        <f ca="1">INDIRECT("'数据-取费表'!w"&amp;$G$1)</f>
        <v>0.1</v>
      </c>
      <c r="G9" s="1847"/>
      <c r="H9" s="349"/>
      <c r="I9" s="3164"/>
      <c r="J9" s="351"/>
      <c r="K9" s="352"/>
      <c r="L9" s="358" t="s">
        <v>1403</v>
      </c>
      <c r="M9" s="359">
        <f ca="1">INDIRECT("'数据-取费表'!ab"&amp;$G$1)</f>
        <v>0</v>
      </c>
    </row>
    <row r="10" spans="1:37" ht="18" customHeight="1">
      <c r="A10" s="1287" t="s">
        <v>1036</v>
      </c>
      <c r="B10" s="1819" t="s">
        <v>1404</v>
      </c>
      <c r="C10" s="361">
        <f ca="1">ROUND(IF(F10="押一",C6/12*F11,IF(F10="押二",C6/12*2*F11,IF(F10="押三",C6/12*3*F11,C11*F11))),0)</f>
        <v>0</v>
      </c>
      <c r="D10" s="1820" t="s">
        <v>3039</v>
      </c>
      <c r="E10" s="358" t="s">
        <v>1405</v>
      </c>
      <c r="F10" s="1362" t="s">
        <v>3093</v>
      </c>
      <c r="G10" s="1847"/>
      <c r="H10" s="1287" t="s">
        <v>1036</v>
      </c>
      <c r="I10" s="1819" t="s">
        <v>1404</v>
      </c>
      <c r="J10" s="346">
        <f ca="1">ROUND(IF(M10="押一",J6/12*M11,IF(M10="押二",J6/12*2*M11,IF(M10="押三",J6/12*3*M11,J11*M11))),0)</f>
        <v>0</v>
      </c>
      <c r="K10" s="1820" t="s">
        <v>3038</v>
      </c>
      <c r="L10" s="358" t="s">
        <v>1405</v>
      </c>
      <c r="M10" s="1362" t="s">
        <v>1406</v>
      </c>
    </row>
    <row r="11" spans="1:37" ht="18" customHeight="1">
      <c r="A11" s="353"/>
      <c r="B11" s="1821" t="s">
        <v>1383</v>
      </c>
      <c r="C11" s="1174"/>
      <c r="D11" s="1822"/>
      <c r="E11" s="358" t="s">
        <v>1407</v>
      </c>
      <c r="F11" s="359">
        <f ca="1">'数据-取费表'!B39</f>
        <v>1.4999999999999999E-2</v>
      </c>
      <c r="G11" s="1847"/>
      <c r="H11" s="1295"/>
      <c r="I11" s="1821" t="s">
        <v>1383</v>
      </c>
      <c r="J11" s="1174"/>
      <c r="K11" s="748"/>
      <c r="L11" s="358"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314</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7" t="s">
        <v>1412</v>
      </c>
      <c r="C14" s="363">
        <f ca="1">INDIRECT("'数据-取费表'!m"&amp;$G$1)+INDIRECT("'数据-取费表'!t"&amp;$G$1)</f>
        <v>206</v>
      </c>
      <c r="D14" s="1796" t="s">
        <v>1413</v>
      </c>
      <c r="E14" s="1790"/>
      <c r="F14" s="364"/>
      <c r="G14" s="1847"/>
      <c r="H14" s="1197" t="s">
        <v>1032</v>
      </c>
      <c r="I14" s="347" t="s">
        <v>1414</v>
      </c>
      <c r="J14" s="24">
        <f ca="1">C29</f>
        <v>314</v>
      </c>
      <c r="K14" s="15"/>
      <c r="L14" s="975"/>
      <c r="M14" s="976"/>
    </row>
    <row r="15" spans="1:37" s="1854" customFormat="1" ht="18" customHeight="1" thickBot="1">
      <c r="A15" s="1197" t="s">
        <v>1033</v>
      </c>
      <c r="B15" s="347" t="s">
        <v>1415</v>
      </c>
      <c r="C15" s="24">
        <f ca="1">ROUND(C14*F15,0)</f>
        <v>10</v>
      </c>
      <c r="D15" s="365" t="s">
        <v>1416</v>
      </c>
      <c r="E15" s="365" t="s">
        <v>1417</v>
      </c>
      <c r="F15" s="366">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7"/>
      <c r="H16" s="1325" t="s">
        <v>1027</v>
      </c>
      <c r="I16" s="1326" t="s">
        <v>1419</v>
      </c>
      <c r="J16" s="355">
        <f ca="1">ROUND(J17+J22+J23+J24,0)</f>
        <v>8</v>
      </c>
      <c r="K16" s="1333" t="s">
        <v>1420</v>
      </c>
      <c r="L16" s="1334"/>
      <c r="M16" s="1290"/>
    </row>
    <row r="17" spans="1:37" s="1854" customFormat="1" ht="18" customHeight="1">
      <c r="A17" s="1197" t="s">
        <v>1385</v>
      </c>
      <c r="B17" s="347" t="s">
        <v>1421</v>
      </c>
      <c r="C17" s="24">
        <f ca="1">ROUND(F17*(F43+INDIRECT("'数据-取费表'!S"&amp;$G$1))/10000,0)</f>
        <v>8</v>
      </c>
      <c r="D17" s="347" t="s">
        <v>1422</v>
      </c>
      <c r="E17" s="347" t="s">
        <v>1423</v>
      </c>
      <c r="F17" s="26">
        <f>'数据-取费表'!B35</f>
        <v>200</v>
      </c>
      <c r="G17" s="1850"/>
      <c r="H17" s="1197" t="s">
        <v>1032</v>
      </c>
      <c r="I17" s="347" t="s">
        <v>1424</v>
      </c>
      <c r="J17" s="24">
        <f ca="1">ROUND(IF(项目基本情况!B11="自然人",J6*M17/(1+'数据-取费表'!C42),J18+J19+J20),1)</f>
        <v>2.8</v>
      </c>
      <c r="K17" s="1796" t="s">
        <v>1425</v>
      </c>
      <c r="L17" s="1794" t="s">
        <v>1426</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7" t="s">
        <v>1427</v>
      </c>
      <c r="C18" s="24">
        <f ca="1">ROUND(C14*F18,0)</f>
        <v>3</v>
      </c>
      <c r="D18" s="347" t="s">
        <v>1416</v>
      </c>
      <c r="E18" s="347" t="s">
        <v>1417</v>
      </c>
      <c r="F18" s="367">
        <f>'数据-取费表'!B36</f>
        <v>1.4999999999999999E-2</v>
      </c>
      <c r="G18" s="1850"/>
      <c r="H18" s="1197" t="s">
        <v>1031</v>
      </c>
      <c r="I18" s="347" t="s">
        <v>1428</v>
      </c>
      <c r="J18" s="24">
        <f ca="1">ROUND(J6*M18/(1+'数据-取费表'!C42),2)</f>
        <v>0</v>
      </c>
      <c r="K18" s="1794"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1430</v>
      </c>
      <c r="C19" s="24">
        <f ca="1">SUM(C14:C18)</f>
        <v>227</v>
      </c>
      <c r="D19" s="140" t="s">
        <v>1431</v>
      </c>
      <c r="E19" s="1814"/>
      <c r="F19" s="26"/>
      <c r="G19" s="1847"/>
      <c r="H19" s="1197" t="s">
        <v>1033</v>
      </c>
      <c r="I19" s="347" t="s">
        <v>1432</v>
      </c>
      <c r="J19" s="24">
        <f ca="1">IF(K19="按租金收入计税",ROUND(J6*M19/(1+'数据-取费表'!C42),2),ROUND(C29*M19*0.7,2))</f>
        <v>2.64</v>
      </c>
      <c r="K19" s="1824" t="s">
        <v>1433</v>
      </c>
      <c r="L19" s="347" t="s">
        <v>1417</v>
      </c>
      <c r="M19" s="367">
        <f>IF(K19="按租金收入计税",'数据-取费表'!B51,'数据-取费表'!B50)</f>
        <v>1.2E-2</v>
      </c>
    </row>
    <row r="20" spans="1:37" s="1854" customFormat="1" ht="18" customHeight="1">
      <c r="A20" s="1197" t="s">
        <v>1036</v>
      </c>
      <c r="B20" s="347" t="s">
        <v>1434</v>
      </c>
      <c r="C20" s="24">
        <f ca="1">ROUND(C19*F20,0)</f>
        <v>5</v>
      </c>
      <c r="D20" s="369" t="s">
        <v>1435</v>
      </c>
      <c r="E20" s="347" t="s">
        <v>1417</v>
      </c>
      <c r="F20" s="367">
        <f>'数据-取费表'!B37</f>
        <v>0.02</v>
      </c>
      <c r="G20" s="1850"/>
      <c r="H20" s="1197" t="s">
        <v>1384</v>
      </c>
      <c r="I20" s="164" t="s">
        <v>1436</v>
      </c>
      <c r="J20" s="25">
        <f ca="1">ROUND(M20*M21/10000,2)</f>
        <v>0.16</v>
      </c>
      <c r="K20" s="370" t="s">
        <v>1437</v>
      </c>
      <c r="L20" s="347" t="s">
        <v>1438</v>
      </c>
      <c r="M20" s="37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1439</v>
      </c>
      <c r="C21" s="24" t="s">
        <v>18</v>
      </c>
      <c r="D21" s="369" t="s">
        <v>1440</v>
      </c>
      <c r="E21" s="347" t="s">
        <v>1441</v>
      </c>
      <c r="F21" s="367">
        <f>'数据-取费表'!B38</f>
        <v>0.02</v>
      </c>
      <c r="G21" s="1850"/>
      <c r="H21" s="372"/>
      <c r="I21" s="356"/>
      <c r="J21" s="29"/>
      <c r="K21" s="373"/>
      <c r="L21" s="347" t="s">
        <v>1442</v>
      </c>
      <c r="M21" s="348">
        <f ca="1">INDIRECT("'数据-取费表'!r"&amp;$G$1)</f>
        <v>54.68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1814"/>
      <c r="F22" s="26"/>
      <c r="G22" s="1847"/>
      <c r="H22" s="1197" t="s">
        <v>1036</v>
      </c>
      <c r="I22" s="347" t="s">
        <v>1444</v>
      </c>
      <c r="J22" s="24">
        <f ca="1">ROUND(J14*M22,1)</f>
        <v>4.7</v>
      </c>
      <c r="K22" s="1794" t="s">
        <v>1445</v>
      </c>
      <c r="L22" s="347" t="s">
        <v>1417</v>
      </c>
      <c r="M22" s="374">
        <f ca="1">INDIRECT("'数据-取费表'!Ak"&amp;$G$1)</f>
        <v>1.4999999999999999E-2</v>
      </c>
    </row>
    <row r="23" spans="1:37" s="1854" customFormat="1" ht="18" customHeight="1">
      <c r="A23" s="1197" t="s">
        <v>1031</v>
      </c>
      <c r="B23" s="347" t="s">
        <v>1446</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1447</v>
      </c>
      <c r="F23" s="371">
        <f>'数据-取费表'!B20</f>
        <v>2</v>
      </c>
      <c r="G23" s="1850"/>
      <c r="H23" s="1197" t="s">
        <v>1072</v>
      </c>
      <c r="I23" s="347" t="s">
        <v>1448</v>
      </c>
      <c r="J23" s="24">
        <f ca="1">ROUND(J13*M23,1)</f>
        <v>0</v>
      </c>
      <c r="K23" s="1794" t="s">
        <v>1449</v>
      </c>
      <c r="L23" s="347" t="s">
        <v>1450</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0"/>
      <c r="H24" s="1335" t="s">
        <v>1388</v>
      </c>
      <c r="I24" s="1336" t="s">
        <v>1434</v>
      </c>
      <c r="J24" s="1337">
        <f ca="1">ROUND(J5*M24,1)</f>
        <v>0</v>
      </c>
      <c r="K24" s="1338" t="s">
        <v>1454</v>
      </c>
      <c r="L24" s="1336" t="s">
        <v>1450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7" t="s">
        <v>1456</v>
      </c>
      <c r="C25" s="24"/>
      <c r="D25" s="140" t="s">
        <v>1457</v>
      </c>
      <c r="E25" s="1814"/>
      <c r="F25" s="26"/>
      <c r="G25" s="1847"/>
      <c r="H25" s="1325" t="s">
        <v>1028</v>
      </c>
      <c r="I25" s="1340" t="s">
        <v>1458</v>
      </c>
      <c r="J25" s="355">
        <f ca="1">J5-J16</f>
        <v>-8</v>
      </c>
      <c r="K25" s="1341" t="s">
        <v>1459</v>
      </c>
      <c r="L25" s="1342"/>
      <c r="M25" s="1343"/>
    </row>
    <row r="26" spans="1:37">
      <c r="A26" s="1197" t="s">
        <v>1031</v>
      </c>
      <c r="B26" s="347" t="s">
        <v>1460</v>
      </c>
      <c r="C26" s="24">
        <f ca="1">ROUND((C19+C20)*F26,0)</f>
        <v>46</v>
      </c>
      <c r="D26" s="369" t="s">
        <v>1461</v>
      </c>
      <c r="E26" s="358" t="s">
        <v>1462</v>
      </c>
      <c r="F26" s="357">
        <f ca="1">INDIRECT("'数据-取费表'!q"&amp;$G$1)</f>
        <v>0.2</v>
      </c>
      <c r="G26" s="1847"/>
      <c r="H26" s="344" t="s">
        <v>1029</v>
      </c>
      <c r="I26" s="345" t="s">
        <v>1463</v>
      </c>
      <c r="J26" s="346">
        <f ca="1">IF(J5&lt;&gt;0,ROUND(J25*(1-((1+M28)/(1+M26))^M27)/(M26-M28),0),0)</f>
        <v>0</v>
      </c>
      <c r="K26" s="370" t="s">
        <v>1464</v>
      </c>
      <c r="L26" s="347" t="s">
        <v>1465</v>
      </c>
      <c r="M26" s="357">
        <f ca="1">INDIRECT("'数据-取费表'!I"&amp;$G$1)</f>
        <v>0.06</v>
      </c>
    </row>
    <row r="27" spans="1:37" ht="18" customHeight="1">
      <c r="A27" s="1197" t="s">
        <v>1033</v>
      </c>
      <c r="B27" s="347" t="s">
        <v>1466</v>
      </c>
      <c r="C27" s="24">
        <f ca="1">ROUND(F21*F26,4)</f>
        <v>4.0000000000000001E-3</v>
      </c>
      <c r="D27" s="369" t="s">
        <v>1467</v>
      </c>
      <c r="E27" s="365"/>
      <c r="F27" s="366"/>
      <c r="G27" s="1847"/>
      <c r="H27" s="349"/>
      <c r="I27" s="350"/>
      <c r="J27" s="351"/>
      <c r="K27" s="378" t="s">
        <v>1468</v>
      </c>
      <c r="L27" s="347" t="s">
        <v>1469</v>
      </c>
      <c r="M27" s="379">
        <f ca="1">INDIRECT("'数据-取费表'!ag"&amp;$G$1)</f>
        <v>0</v>
      </c>
    </row>
    <row r="28" spans="1:37" s="1854" customFormat="1" ht="18" customHeight="1">
      <c r="A28" s="1197"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314</v>
      </c>
      <c r="D29" s="1338"/>
      <c r="E29" s="1336"/>
      <c r="F29" s="1339"/>
      <c r="G29" s="1850"/>
      <c r="H29" s="380" t="s">
        <v>1030</v>
      </c>
      <c r="I29" s="381" t="s">
        <v>1474</v>
      </c>
      <c r="J29" s="382">
        <f ca="1">ROUND(J26/(1+F40)^F41,0)</f>
        <v>0</v>
      </c>
      <c r="K29" s="383" t="s">
        <v>1475</v>
      </c>
      <c r="L29" s="384"/>
      <c r="M29" s="385">
        <f ca="1">INDIRECT("'数据-取费表'!k"&amp;$G$1)</f>
        <v>355.78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32</v>
      </c>
      <c r="D30" s="1333" t="s">
        <v>1420</v>
      </c>
      <c r="E30" s="1334"/>
      <c r="F30" s="1290"/>
      <c r="G30" s="1847"/>
      <c r="H30" s="745"/>
      <c r="I30" s="746"/>
      <c r="J30" s="747"/>
      <c r="K30" s="748"/>
      <c r="L30" s="749"/>
      <c r="M30" s="750"/>
    </row>
    <row r="31" spans="1:37" ht="18" customHeight="1">
      <c r="A31" s="1197" t="s">
        <v>1032</v>
      </c>
      <c r="B31" s="347" t="s">
        <v>1424</v>
      </c>
      <c r="C31" s="24">
        <f ca="1">ROUND(IF(项目基本情况!B11="自然人",C6*F31/(1+'数据-取费表'!C42),C32+C33+C34),1)</f>
        <v>25.6</v>
      </c>
      <c r="D31" s="1796" t="s">
        <v>1425</v>
      </c>
      <c r="E31" s="1794" t="s">
        <v>1476</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1031</v>
      </c>
      <c r="B32" s="347" t="s">
        <v>1428</v>
      </c>
      <c r="C32" s="24">
        <f ca="1">IF(项目基本情况!B11="自然人","——",ROUND(C6*F32/(1+'数据-取费表'!C42),2))</f>
        <v>8.11</v>
      </c>
      <c r="D32" s="1794" t="s">
        <v>1429</v>
      </c>
      <c r="E32" s="347" t="s">
        <v>1417</v>
      </c>
      <c r="F32" s="377">
        <f>'数据-取费表'!B41</f>
        <v>5.6000000000000001E-2</v>
      </c>
      <c r="G32" s="1847"/>
      <c r="H32" s="745"/>
      <c r="I32" s="746"/>
      <c r="J32" s="747"/>
      <c r="K32" s="748"/>
      <c r="L32" s="749"/>
      <c r="M32" s="750"/>
    </row>
    <row r="33" spans="1:18" ht="18" customHeight="1">
      <c r="A33" s="1197" t="s">
        <v>1033</v>
      </c>
      <c r="B33" s="347" t="s">
        <v>1432</v>
      </c>
      <c r="C33" s="24">
        <f ca="1">IF(项目基本情况!B11="自然人","——",IF(D33="按租金收入计税",ROUND(C6*F33/(1+'数据-取费表'!C42),2),IF(D33="按房产原值计税",ROUND(C29*F33*0.7,2),INDIRECT("'数据-取费表'!Aj"&amp;$G$1))))</f>
        <v>17.37</v>
      </c>
      <c r="D33" s="1824" t="s">
        <v>3094</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IF(项目基本情况!B11="自然人","——",ROUND(F34*F35/10000,2))</f>
        <v>0.16</v>
      </c>
      <c r="D34" s="370" t="s">
        <v>1437</v>
      </c>
      <c r="E34" s="347" t="s">
        <v>1438</v>
      </c>
      <c r="F34" s="371">
        <f>'数据-取费表'!B52</f>
        <v>30</v>
      </c>
      <c r="G34" s="1847"/>
      <c r="H34" s="745"/>
      <c r="I34" s="1856"/>
      <c r="J34" s="1857"/>
      <c r="K34" s="1859"/>
      <c r="L34" s="1860"/>
      <c r="M34" s="1860"/>
    </row>
    <row r="35" spans="1:18" ht="18" customHeight="1">
      <c r="A35" s="1349"/>
      <c r="B35" s="1347"/>
      <c r="C35" s="29"/>
      <c r="D35" s="373"/>
      <c r="E35" s="347" t="s">
        <v>1442</v>
      </c>
      <c r="F35" s="348">
        <f ca="1">INDIRECT("'数据-取费表'!r"&amp;$G$1)</f>
        <v>54.68</v>
      </c>
      <c r="G35" s="1847"/>
      <c r="H35" s="745"/>
      <c r="I35" s="1856"/>
      <c r="J35" s="1857"/>
      <c r="K35" s="1858"/>
      <c r="L35" s="1855"/>
      <c r="M35" s="1855"/>
    </row>
    <row r="36" spans="1:18" ht="18" customHeight="1">
      <c r="A36" s="1348" t="s">
        <v>1036</v>
      </c>
      <c r="B36" s="347" t="s">
        <v>1444</v>
      </c>
      <c r="C36" s="24">
        <f ca="1">ROUND(C29*F36,1)</f>
        <v>4.7</v>
      </c>
      <c r="D36" s="1794" t="s">
        <v>1477</v>
      </c>
      <c r="E36" s="347" t="s">
        <v>1417</v>
      </c>
      <c r="F36" s="374">
        <f ca="1">INDIRECT("'数据-取费表'!Ak"&amp;$G$1)</f>
        <v>1.4999999999999999E-2</v>
      </c>
      <c r="G36" s="1847"/>
      <c r="H36" s="1855"/>
      <c r="I36" s="1856"/>
      <c r="J36" s="1857"/>
      <c r="K36" s="751"/>
      <c r="L36" s="1855"/>
      <c r="M36" s="1855"/>
    </row>
    <row r="37" spans="1:18" ht="18" customHeight="1">
      <c r="A37" s="1197" t="s">
        <v>1072</v>
      </c>
      <c r="B37" s="347" t="s">
        <v>1448</v>
      </c>
      <c r="C37" s="24">
        <f ca="1">ROUND(C13*F37,1)</f>
        <v>0.5</v>
      </c>
      <c r="D37" s="1794" t="s">
        <v>1449</v>
      </c>
      <c r="E37" s="347" t="s">
        <v>1450</v>
      </c>
      <c r="F37" s="376">
        <f ca="1">INDIRECT("'数据-取费表'!Al"&amp;$G$1)</f>
        <v>1.5E-3</v>
      </c>
      <c r="G37" s="1847"/>
      <c r="H37" s="1855"/>
      <c r="I37" s="1856"/>
      <c r="J37" s="1857"/>
      <c r="K37" s="751"/>
      <c r="L37" s="1855"/>
      <c r="M37" s="1855"/>
    </row>
    <row r="38" spans="1:18" ht="18" customHeight="1" thickBot="1">
      <c r="A38" s="1335" t="s">
        <v>1388</v>
      </c>
      <c r="B38" s="1336" t="s">
        <v>1434</v>
      </c>
      <c r="C38" s="1337">
        <f ca="1">ROUND(C5*F38,1)</f>
        <v>1.5</v>
      </c>
      <c r="D38" s="1338" t="s">
        <v>1454</v>
      </c>
      <c r="E38" s="1336" t="s">
        <v>1450</v>
      </c>
      <c r="F38" s="1332">
        <f ca="1">INDIRECT("'数据-取费表'!Am"&amp;$G$1)</f>
        <v>0.01</v>
      </c>
      <c r="G38" s="1847"/>
      <c r="H38" s="1855"/>
      <c r="I38" s="1856"/>
      <c r="J38" s="1857"/>
      <c r="K38" s="1861"/>
      <c r="L38" s="1855"/>
      <c r="M38" s="1855"/>
    </row>
    <row r="39" spans="1:18" ht="24.6" customHeight="1" thickTop="1">
      <c r="A39" s="1325" t="s">
        <v>1028</v>
      </c>
      <c r="B39" s="1340" t="s">
        <v>1478</v>
      </c>
      <c r="C39" s="355">
        <f ca="1">C5-C30</f>
        <v>120</v>
      </c>
      <c r="D39" s="1341" t="s">
        <v>1479</v>
      </c>
      <c r="E39" s="1342"/>
      <c r="F39" s="1343"/>
      <c r="G39" s="1847"/>
      <c r="H39" s="1855"/>
      <c r="I39" s="1856"/>
      <c r="J39" s="1857"/>
      <c r="K39" s="1861"/>
      <c r="L39" s="1855"/>
      <c r="M39" s="1855"/>
    </row>
    <row r="40" spans="1:18" ht="18" customHeight="1">
      <c r="A40" s="344" t="s">
        <v>1029</v>
      </c>
      <c r="B40" s="345" t="s">
        <v>1480</v>
      </c>
      <c r="C40" s="346">
        <f ca="1">ROUND(C39*(1-((1+F42)/(1+F40))^F41)/(F40-F42),0)</f>
        <v>2194</v>
      </c>
      <c r="D40" s="370" t="s">
        <v>1464</v>
      </c>
      <c r="E40" s="347" t="s">
        <v>1465</v>
      </c>
      <c r="F40" s="357">
        <f ca="1">INDIRECT("'数据-取费表'!I"&amp;$G$1)</f>
        <v>0.06</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25.59</v>
      </c>
      <c r="G41" s="1847"/>
      <c r="H41" s="732"/>
      <c r="I41" s="1856"/>
      <c r="J41" s="1857"/>
      <c r="K41" s="751"/>
      <c r="L41" s="732"/>
      <c r="M41" s="732"/>
    </row>
    <row r="42" spans="1:18" ht="18" customHeight="1">
      <c r="A42" s="353"/>
      <c r="B42" s="354"/>
      <c r="C42" s="355"/>
      <c r="D42" s="373"/>
      <c r="E42" s="347" t="s">
        <v>1472</v>
      </c>
      <c r="F42" s="357">
        <f ca="1">INDIRECT("'数据-取费表'!v"&amp;$G$1)</f>
        <v>3.5000000000000003E-2</v>
      </c>
      <c r="G42" s="1847"/>
      <c r="H42" s="732"/>
      <c r="I42" s="1856"/>
      <c r="J42" s="1857"/>
      <c r="K42" s="751"/>
      <c r="L42" s="732"/>
      <c r="M42" s="732"/>
    </row>
    <row r="43" spans="1:18" ht="18" customHeight="1" thickBot="1">
      <c r="A43" s="380" t="s">
        <v>1030</v>
      </c>
      <c r="B43" s="381" t="s">
        <v>1482</v>
      </c>
      <c r="C43" s="382">
        <f ca="1">ROUND(C40*10000/F43,0)</f>
        <v>61667</v>
      </c>
      <c r="D43" s="383" t="s">
        <v>1483</v>
      </c>
      <c r="E43" s="384" t="s">
        <v>1484</v>
      </c>
      <c r="F43" s="385">
        <f ca="1">INDIRECT("'数据-取费表'!k"&amp;$G$1)</f>
        <v>355.78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1514</v>
      </c>
      <c r="P45" s="1835"/>
      <c r="Q45" s="1835"/>
      <c r="R45" s="1835"/>
    </row>
    <row r="46" spans="1:18" s="1838" customFormat="1" ht="13.5" thickBot="1">
      <c r="A46" s="1866" t="s">
        <v>1515</v>
      </c>
      <c r="C46" s="1867">
        <f ca="1">C68-C40</f>
        <v>-2607</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2"/>
      <c r="I47" s="1876" t="s">
        <v>1521</v>
      </c>
      <c r="J47" s="1877" t="s">
        <v>3095</v>
      </c>
      <c r="K47" s="1878" t="s">
        <v>1522</v>
      </c>
      <c r="L47" s="1879">
        <f ca="1">INDIRECT("'数据-取费表'!d"&amp;$G$1)</f>
        <v>40</v>
      </c>
      <c r="M47" s="1834" t="str">
        <f>IF(ISNUMBER(FIND("住宅",C1)),"住宅","非住宅")</f>
        <v>非住宅</v>
      </c>
      <c r="O47" s="1880" t="s">
        <v>1037</v>
      </c>
      <c r="P47" s="1881" t="s">
        <v>1523</v>
      </c>
      <c r="Q47" s="1882">
        <f ca="1">C40+J29</f>
        <v>2194</v>
      </c>
      <c r="R47" s="1882" t="s">
        <v>1524</v>
      </c>
    </row>
    <row r="48" spans="1:18" s="1838" customFormat="1" ht="28.5" thickBot="1">
      <c r="A48" s="1356" t="s">
        <v>1132</v>
      </c>
      <c r="B48" s="345" t="s">
        <v>1396</v>
      </c>
      <c r="C48" s="1813">
        <f ca="1">C49+C53+C55</f>
        <v>0</v>
      </c>
      <c r="D48" s="1358"/>
      <c r="E48" s="1359"/>
      <c r="F48" s="1177"/>
      <c r="G48" s="792"/>
      <c r="H48" s="793"/>
      <c r="I48" s="1883" t="s">
        <v>1525</v>
      </c>
      <c r="J48" s="1884" t="s">
        <v>3096</v>
      </c>
      <c r="K48" s="1885" t="s">
        <v>1526</v>
      </c>
      <c r="L48" s="1886">
        <f ca="1">INDIRECT("'数据-取费表'!f"&amp;$G$1)</f>
        <v>26.29</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3031</v>
      </c>
      <c r="E49" s="1826" t="s">
        <v>1486</v>
      </c>
      <c r="F49" s="1277"/>
      <c r="G49" s="1887"/>
      <c r="H49" s="793"/>
      <c r="I49" s="1883" t="s">
        <v>1529</v>
      </c>
      <c r="J49" s="1888">
        <v>2020</v>
      </c>
      <c r="K49" s="1885" t="s">
        <v>1530</v>
      </c>
      <c r="L49" s="1889"/>
      <c r="O49" s="1890" t="s">
        <v>1039</v>
      </c>
      <c r="P49" s="1881" t="s">
        <v>1531</v>
      </c>
      <c r="Q49" s="1882">
        <f ca="1">C29</f>
        <v>314</v>
      </c>
      <c r="R49" s="1882" t="s">
        <v>1524</v>
      </c>
    </row>
    <row r="50" spans="1:18" s="1838" customFormat="1" ht="13.5" thickBot="1">
      <c r="A50" s="1191"/>
      <c r="B50" s="1194"/>
      <c r="C50" s="1364"/>
      <c r="D50" s="1168"/>
      <c r="E50" s="1273" t="s">
        <v>1401</v>
      </c>
      <c r="F50" s="1274">
        <f ca="1">F7</f>
        <v>355.78</v>
      </c>
      <c r="H50" s="793"/>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8">
        <f ca="1">F8</f>
        <v>365</v>
      </c>
      <c r="I51" s="1894" t="s">
        <v>1535</v>
      </c>
      <c r="J51" s="1895">
        <f>IF(J49="",J50,J49+J50-YEAR('数据-取费表'!B2))</f>
        <v>61</v>
      </c>
      <c r="K51" s="1896" t="s">
        <v>1536</v>
      </c>
      <c r="L51" s="1897">
        <f ca="1">ROUND(-PV(INDIRECT("'数据-取费表'!h"&amp;$G$1),L48,(C39-C13*C76),0),0)</f>
        <v>1281</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25.59</v>
      </c>
      <c r="R52" s="1882" t="s">
        <v>1541</v>
      </c>
    </row>
    <row r="53" spans="1:18" s="1838" customFormat="1" ht="24.75" thickBot="1">
      <c r="A53" s="1401" t="s">
        <v>1134</v>
      </c>
      <c r="B53" s="1827" t="s">
        <v>1404</v>
      </c>
      <c r="C53" s="361">
        <f ca="1">ROUND(IF(F53="押一",C49/12*F11,IF(F53="押二",C49/12*2*F11,IF(F53="押三",C49/12*3*F11,C54*F11))),0)</f>
        <v>0</v>
      </c>
      <c r="D53" s="1820" t="s">
        <v>3038</v>
      </c>
      <c r="E53" s="358" t="s">
        <v>1405</v>
      </c>
      <c r="F53" s="1362"/>
      <c r="I53" s="1901" t="s">
        <v>1542</v>
      </c>
      <c r="J53" s="2948">
        <f ca="1">IF(M47="住宅",IF(D1="——",MAX(J51,L48),MAX(J51,L48-'数据-取费表'!B24)),IF(D1="——",MIN(J51,L48),MIN(J51,L48-'数据-取费表'!B24)))</f>
        <v>25.59</v>
      </c>
      <c r="K53" s="3160" t="s">
        <v>1543</v>
      </c>
      <c r="L53" s="3161"/>
      <c r="O53" s="1880" t="s">
        <v>1043</v>
      </c>
      <c r="P53" s="1881" t="s">
        <v>1544</v>
      </c>
      <c r="Q53" s="1882">
        <f ca="1">Q47+Q48</f>
        <v>2194</v>
      </c>
      <c r="R53" s="1882" t="s">
        <v>1044</v>
      </c>
    </row>
    <row r="54" spans="1:18" s="1838" customFormat="1" ht="13.5" thickBot="1">
      <c r="A54" s="1402"/>
      <c r="B54" s="1821" t="s">
        <v>1383</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6">
        <f ca="1">C13</f>
        <v>314</v>
      </c>
      <c r="D56" s="1909"/>
      <c r="E56" s="1910"/>
      <c r="F56" s="1902"/>
      <c r="I56" s="1911" t="s">
        <v>1549</v>
      </c>
      <c r="J56" s="1912" t="s">
        <v>3057</v>
      </c>
      <c r="K56" s="1883" t="s">
        <v>1550</v>
      </c>
      <c r="L56" s="1886" t="str">
        <f ca="1">IF(L48&lt;J51,"——",L48-J53)</f>
        <v>——</v>
      </c>
      <c r="O56" s="1880" t="s">
        <v>1037</v>
      </c>
      <c r="P56" s="1881" t="s">
        <v>1523</v>
      </c>
      <c r="Q56" s="1882">
        <f ca="1">C40+J29</f>
        <v>2194</v>
      </c>
      <c r="R56" s="1882" t="s">
        <v>1524</v>
      </c>
    </row>
    <row r="57" spans="1:18" s="1838" customFormat="1" ht="24.75" thickBot="1">
      <c r="A57" s="1913"/>
      <c r="B57" s="1165" t="s">
        <v>1473</v>
      </c>
      <c r="C57" s="282">
        <f ca="1">C29</f>
        <v>314</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3" t="s">
        <v>1419</v>
      </c>
      <c r="C58" s="361">
        <f ca="1">ROUND(C59+C64+C65+C66,0)</f>
        <v>32</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26.5</v>
      </c>
      <c r="D59" s="1178" t="s">
        <v>1425</v>
      </c>
      <c r="E59" s="1179" t="s">
        <v>1426</v>
      </c>
      <c r="F59" s="368">
        <f ca="1">IF(项目基本情况!B11="企业","",IF(INDIRECT("'数据-取费表'!c"&amp;$G$1)="住宅",5%,IF(F49*F50*F51/12/(1+'数据-取费表'!C42)&gt;20000,12%,7%)))</f>
        <v>7.0000000000000007E-2</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7">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IF(项目基本情况!B11="自然人","——",IF(D61="按租金收入计税",ROUND(C48*F61,2),IF(D61="按房产原值计税",ROUND(C57*F61*0.7,2),INDIRECT("'数据-取费表'!Aj"&amp;$G$1))))</f>
        <v>26.38</v>
      </c>
      <c r="D61" s="1824" t="s">
        <v>1433</v>
      </c>
      <c r="E61" s="1165" t="s">
        <v>1489</v>
      </c>
      <c r="F61" s="367">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IF(项目基本情况!B11="自然人","——",ROUND(F62*F63/10000,2))</f>
        <v>0.16</v>
      </c>
      <c r="D62" s="1180" t="s">
        <v>1492</v>
      </c>
      <c r="E62" s="1165" t="s">
        <v>1493</v>
      </c>
      <c r="F62" s="371">
        <f t="shared" si="0"/>
        <v>30</v>
      </c>
      <c r="I62" s="1924" t="s">
        <v>1565</v>
      </c>
      <c r="J62" s="1925" t="s">
        <v>1566</v>
      </c>
      <c r="K62" s="1925" t="s">
        <v>1567</v>
      </c>
      <c r="L62" s="1925" t="s">
        <v>1568</v>
      </c>
      <c r="M62" s="1926" t="s">
        <v>1569</v>
      </c>
      <c r="O62" s="1880" t="s">
        <v>1043</v>
      </c>
      <c r="P62" s="1881" t="s">
        <v>1570</v>
      </c>
      <c r="Q62" s="1882">
        <f ca="1">Q56+Q57</f>
        <v>2194</v>
      </c>
      <c r="R62" s="1882" t="s">
        <v>1044</v>
      </c>
    </row>
    <row r="63" spans="1:18" s="1838" customFormat="1" ht="13.5" thickBot="1">
      <c r="A63" s="372"/>
      <c r="B63" s="1171"/>
      <c r="C63" s="29"/>
      <c r="D63" s="1181"/>
      <c r="E63" s="1165" t="s">
        <v>1494</v>
      </c>
      <c r="F63" s="348">
        <f t="shared" ca="1" si="0"/>
        <v>54.68</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ROUND(C57*F64,1)</f>
        <v>4.7</v>
      </c>
      <c r="D64" s="1179" t="s">
        <v>1497</v>
      </c>
      <c r="E64" s="1165" t="s">
        <v>1489</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0.5</v>
      </c>
      <c r="D65" s="1179" t="s">
        <v>1449</v>
      </c>
      <c r="E65" s="1165" t="s">
        <v>1450</v>
      </c>
      <c r="F65" s="376">
        <f t="shared" ca="1" si="0"/>
        <v>1.5E-3</v>
      </c>
      <c r="I65" s="1924" t="s">
        <v>1574</v>
      </c>
      <c r="J65" s="1925">
        <v>40</v>
      </c>
      <c r="K65" s="1925">
        <v>30</v>
      </c>
      <c r="L65" s="1925">
        <v>50</v>
      </c>
      <c r="M65" s="1927">
        <v>0.02</v>
      </c>
      <c r="O65" s="1880" t="s">
        <v>1037</v>
      </c>
      <c r="P65" s="1881" t="s">
        <v>1575</v>
      </c>
      <c r="Q65" s="1882">
        <f ca="1">C40+J29</f>
        <v>2194</v>
      </c>
      <c r="R65" s="1882" t="s">
        <v>1524</v>
      </c>
    </row>
    <row r="66" spans="1:18" s="1838" customFormat="1" ht="16.5" thickBot="1">
      <c r="A66" s="1197" t="s">
        <v>1499</v>
      </c>
      <c r="B66" s="1165" t="s">
        <v>1434</v>
      </c>
      <c r="C66" s="24">
        <f ca="1">ROUND(C48*F66,1)</f>
        <v>0</v>
      </c>
      <c r="D66" s="1179" t="s">
        <v>1500</v>
      </c>
      <c r="E66" s="1165" t="s">
        <v>1417</v>
      </c>
      <c r="F66" s="357">
        <f t="shared" ca="1" si="0"/>
        <v>0.01</v>
      </c>
      <c r="O66" s="1880" t="s">
        <v>1038</v>
      </c>
      <c r="P66" s="1881" t="s">
        <v>1553</v>
      </c>
      <c r="Q66" s="1882">
        <f ca="1">L60</f>
        <v>0</v>
      </c>
      <c r="R66" s="1882" t="s">
        <v>1576</v>
      </c>
    </row>
    <row r="67" spans="1:18" s="1838" customFormat="1" ht="16.5" thickBot="1">
      <c r="A67" s="1172" t="s">
        <v>1028</v>
      </c>
      <c r="B67" s="1182" t="s">
        <v>1458</v>
      </c>
      <c r="C67" s="361">
        <f ca="1">C48-C58</f>
        <v>-32</v>
      </c>
      <c r="D67" s="1178" t="s">
        <v>1459</v>
      </c>
      <c r="E67" s="1183"/>
      <c r="F67" s="1184"/>
      <c r="O67" s="1890" t="s">
        <v>1039</v>
      </c>
      <c r="P67" s="1881" t="s">
        <v>1557</v>
      </c>
      <c r="Q67" s="1928">
        <f ca="1">L51</f>
        <v>1281</v>
      </c>
      <c r="R67" s="1882" t="s">
        <v>1577</v>
      </c>
    </row>
    <row r="68" spans="1:18" s="1838" customFormat="1" ht="16.5" thickBot="1">
      <c r="A68" s="1162" t="s">
        <v>1029</v>
      </c>
      <c r="B68" s="1163" t="s">
        <v>1480</v>
      </c>
      <c r="C68" s="346">
        <f ca="1">ROUND(C67*(1-((1+F70)/(1+F68))^F69)/(F68-F70),0)</f>
        <v>-413</v>
      </c>
      <c r="D68" s="1180" t="s">
        <v>1464</v>
      </c>
      <c r="E68" s="1165" t="s">
        <v>1465</v>
      </c>
      <c r="F68" s="357">
        <f ca="1">F40</f>
        <v>0.06</v>
      </c>
      <c r="O68" s="1890" t="s">
        <v>1040</v>
      </c>
      <c r="P68" s="1929" t="s">
        <v>1578</v>
      </c>
      <c r="Q68" s="1882">
        <f ca="1">ROUND(Q69-Q70*Q71,0)</f>
        <v>93</v>
      </c>
      <c r="R68" s="1882" t="s">
        <v>1048</v>
      </c>
    </row>
    <row r="69" spans="1:18" s="1838" customFormat="1" ht="13.5" thickBot="1">
      <c r="A69" s="1166"/>
      <c r="B69" s="1167"/>
      <c r="C69" s="351"/>
      <c r="D69" s="1185" t="s">
        <v>1468</v>
      </c>
      <c r="E69" s="1165" t="s">
        <v>1469</v>
      </c>
      <c r="F69" s="379">
        <f ca="1">F41</f>
        <v>25.59</v>
      </c>
      <c r="O69" s="1890" t="s">
        <v>1045</v>
      </c>
      <c r="P69" s="1929" t="s">
        <v>1579</v>
      </c>
      <c r="Q69" s="1882">
        <f ca="1">C39</f>
        <v>120</v>
      </c>
      <c r="R69" s="1882" t="s">
        <v>1524</v>
      </c>
    </row>
    <row r="70" spans="1:18" s="1838" customFormat="1" ht="13.5" thickBot="1">
      <c r="A70" s="1169"/>
      <c r="B70" s="1170"/>
      <c r="C70" s="355"/>
      <c r="D70" s="1181"/>
      <c r="E70" s="1165" t="s">
        <v>1472</v>
      </c>
      <c r="F70" s="1271"/>
      <c r="O70" s="1890" t="s">
        <v>1046</v>
      </c>
      <c r="P70" s="1929" t="s">
        <v>1580</v>
      </c>
      <c r="Q70" s="1882">
        <f ca="1">C13</f>
        <v>314</v>
      </c>
      <c r="R70" s="1882" t="s">
        <v>1524</v>
      </c>
    </row>
    <row r="71" spans="1:18" s="1838" customFormat="1" ht="13.5" thickBot="1">
      <c r="A71" s="1186" t="s">
        <v>1030</v>
      </c>
      <c r="B71" s="1187" t="s">
        <v>1482</v>
      </c>
      <c r="C71" s="382">
        <f ca="1">ROUND(C68*10000/F71,0)</f>
        <v>-11608</v>
      </c>
      <c r="D71" s="1188" t="s">
        <v>1483</v>
      </c>
      <c r="E71" s="1189" t="s">
        <v>1484</v>
      </c>
      <c r="F71" s="385">
        <f ca="1">F43</f>
        <v>355.78</v>
      </c>
      <c r="O71" s="1890" t="s">
        <v>1047</v>
      </c>
      <c r="P71" s="1929" t="s">
        <v>1581</v>
      </c>
      <c r="Q71" s="1893">
        <f ca="1">C76</f>
        <v>8.5000000000000006E-2</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6" t="s">
        <v>1501</v>
      </c>
      <c r="C75" s="387">
        <f ca="1">ROUND(C13*C76,0)</f>
        <v>27</v>
      </c>
      <c r="D75" s="1838"/>
      <c r="E75" s="1838"/>
      <c r="F75" s="1838"/>
      <c r="K75" s="1864"/>
      <c r="L75" s="1838"/>
      <c r="O75" s="1880" t="s">
        <v>1043</v>
      </c>
      <c r="P75" s="1881" t="s">
        <v>1544</v>
      </c>
      <c r="Q75" s="1882">
        <f ca="1">Q65+Q66</f>
        <v>2194</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0.77500000000000002</v>
      </c>
    </row>
    <row r="80" spans="1:18">
      <c r="B80" s="386" t="s">
        <v>1506</v>
      </c>
      <c r="C80" s="318">
        <f ca="1">ROUND(C75/C39,3)</f>
        <v>0.22500000000000001</v>
      </c>
    </row>
    <row r="81" spans="2:3">
      <c r="B81" s="314" t="s">
        <v>1507</v>
      </c>
      <c r="C81" s="282"/>
    </row>
    <row r="82" spans="2:3">
      <c r="B82" s="317" t="s">
        <v>1508</v>
      </c>
      <c r="C82" s="319">
        <f ca="1">1-C83</f>
        <v>0.85699999999999998</v>
      </c>
    </row>
    <row r="83" spans="2:3">
      <c r="B83" s="317" t="s">
        <v>1509</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82"/>
      <c r="C1" s="1833"/>
      <c r="D1" s="1816"/>
      <c r="E1" s="1817" t="s">
        <v>1382</v>
      </c>
      <c r="F1" s="1279">
        <f ca="1">J53</f>
        <v>-0.7</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1585</v>
      </c>
      <c r="B2" s="1840" t="e">
        <f ca="1">ROUND(D2/10000,0)</f>
        <v>#DIV/0!</v>
      </c>
      <c r="C2" s="1841" t="s">
        <v>1586</v>
      </c>
      <c r="D2" s="1933" t="e">
        <f ca="1">C40+J29+L46</f>
        <v>#DIV/0!</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4" t="s">
        <v>1583</v>
      </c>
      <c r="I3" s="1836"/>
      <c r="J3" s="1836"/>
      <c r="K3" s="1837"/>
      <c r="L3" s="1836"/>
      <c r="M3" s="1836"/>
    </row>
    <row r="4" spans="1:37" ht="18" customHeight="1">
      <c r="A4" s="340" t="s">
        <v>1590</v>
      </c>
      <c r="B4" s="341" t="s">
        <v>1591</v>
      </c>
      <c r="C4" s="341" t="s">
        <v>1592</v>
      </c>
      <c r="D4" s="341" t="s">
        <v>1593</v>
      </c>
      <c r="E4" s="342" t="s">
        <v>1594</v>
      </c>
      <c r="F4" s="343"/>
      <c r="G4" s="1847"/>
      <c r="H4" s="340" t="s">
        <v>1590</v>
      </c>
      <c r="I4" s="341" t="s">
        <v>1591</v>
      </c>
      <c r="J4" s="341" t="s">
        <v>1592</v>
      </c>
      <c r="K4" s="341" t="s">
        <v>1593</v>
      </c>
      <c r="L4" s="342" t="s">
        <v>1594</v>
      </c>
      <c r="M4" s="343"/>
    </row>
    <row r="5" spans="1:37" ht="18" customHeight="1">
      <c r="A5" s="344">
        <v>1</v>
      </c>
      <c r="B5" s="345" t="s">
        <v>1595</v>
      </c>
      <c r="C5" s="1288">
        <f ca="1">C6+C10+C12</f>
        <v>0</v>
      </c>
      <c r="D5" s="1818" t="s">
        <v>1596</v>
      </c>
      <c r="E5" s="1289"/>
      <c r="F5" s="1290"/>
      <c r="G5" s="1847"/>
      <c r="H5" s="344">
        <v>1</v>
      </c>
      <c r="I5" s="345" t="s">
        <v>1595</v>
      </c>
      <c r="J5" s="1288">
        <f ca="1">J6+J10+J12</f>
        <v>0</v>
      </c>
      <c r="K5" s="1818" t="s">
        <v>1596</v>
      </c>
      <c r="L5" s="1289"/>
      <c r="M5" s="1290"/>
    </row>
    <row r="6" spans="1:37" ht="18" customHeight="1">
      <c r="A6" s="1287" t="s">
        <v>1032</v>
      </c>
      <c r="B6" s="3162" t="s">
        <v>1398</v>
      </c>
      <c r="C6" s="1292">
        <f ca="1">ROUND(F6*F8*F7*(1-F9),0)</f>
        <v>0</v>
      </c>
      <c r="D6" s="164" t="s">
        <v>3027</v>
      </c>
      <c r="E6" s="347" t="s">
        <v>1400</v>
      </c>
      <c r="F6" s="348">
        <f ca="1">INDIRECT("'数据-取费表'!u"&amp;$G$1)</f>
        <v>0</v>
      </c>
      <c r="G6" s="1847"/>
      <c r="H6" s="1287" t="s">
        <v>1032</v>
      </c>
      <c r="I6" s="3162" t="s">
        <v>1398</v>
      </c>
      <c r="J6" s="346">
        <f ca="1">ROUND(M6*M8*M7*(1-M9),0)</f>
        <v>0</v>
      </c>
      <c r="K6" s="1830" t="s">
        <v>3028</v>
      </c>
      <c r="L6" s="347" t="s">
        <v>1400</v>
      </c>
      <c r="M6" s="348">
        <f ca="1">INDIRECT("'数据-取费表'!z"&amp;$G$1)</f>
        <v>0</v>
      </c>
    </row>
    <row r="7" spans="1:37" ht="18" customHeight="1">
      <c r="A7" s="1291"/>
      <c r="B7" s="3163"/>
      <c r="C7" s="1293"/>
      <c r="D7" s="352"/>
      <c r="E7" s="1294" t="s">
        <v>1401</v>
      </c>
      <c r="F7" s="348">
        <f ca="1">IF(INDIRECT("'数据-取费表'!ah"&amp;$G$1)="",INDIRECT("'数据-取费表'!k"&amp;$G$1),INDIRECT("'数据-取费表'!ah"&amp;$G$1))</f>
        <v>0</v>
      </c>
      <c r="G7" s="1847"/>
      <c r="H7" s="349"/>
      <c r="I7" s="3163"/>
      <c r="J7" s="351"/>
      <c r="K7" s="352"/>
      <c r="L7" s="347" t="s">
        <v>1401</v>
      </c>
      <c r="M7" s="348">
        <f ca="1">F7</f>
        <v>0</v>
      </c>
    </row>
    <row r="8" spans="1:37" ht="18" customHeight="1">
      <c r="A8" s="349"/>
      <c r="B8" s="3163"/>
      <c r="C8" s="351"/>
      <c r="D8" s="352"/>
      <c r="E8" s="347" t="s">
        <v>1402</v>
      </c>
      <c r="F8" s="348">
        <f ca="1">INDIRECT("'数据-取费表'!ai"&amp;$G$1)</f>
        <v>0</v>
      </c>
      <c r="G8" s="1847"/>
      <c r="H8" s="349"/>
      <c r="I8" s="3163"/>
      <c r="J8" s="351"/>
      <c r="K8" s="352"/>
      <c r="L8" s="347" t="s">
        <v>1402</v>
      </c>
      <c r="M8" s="348">
        <f ca="1">INDIRECT("'数据-取费表'!ai"&amp;$G$1)</f>
        <v>0</v>
      </c>
    </row>
    <row r="9" spans="1:37" ht="18" customHeight="1">
      <c r="A9" s="349"/>
      <c r="B9" s="3164"/>
      <c r="C9" s="351"/>
      <c r="D9" s="352"/>
      <c r="E9" s="347" t="s">
        <v>1403</v>
      </c>
      <c r="F9" s="357">
        <f ca="1">INDIRECT("'数据-取费表'!w"&amp;$G$1)</f>
        <v>0</v>
      </c>
      <c r="G9" s="1847"/>
      <c r="H9" s="349"/>
      <c r="I9" s="3164"/>
      <c r="J9" s="351"/>
      <c r="K9" s="352"/>
      <c r="L9" s="358" t="s">
        <v>1403</v>
      </c>
      <c r="M9" s="359">
        <f ca="1">INDIRECT("'数据-取费表'!ab"&amp;$G$1)</f>
        <v>0</v>
      </c>
    </row>
    <row r="10" spans="1:37" ht="18" customHeight="1">
      <c r="A10" s="1287" t="s">
        <v>1036</v>
      </c>
      <c r="B10" s="1819" t="s">
        <v>1404</v>
      </c>
      <c r="C10" s="361">
        <f ca="1">ROUND(IF(F10="押一",C6/12*F11,IF(F10="押二",C6/12*2*F11,IF(F10="押三",C6/12*3*F11,C11*F11))),0)</f>
        <v>0</v>
      </c>
      <c r="D10" s="1820" t="s">
        <v>3038</v>
      </c>
      <c r="E10" s="358" t="s">
        <v>1405</v>
      </c>
      <c r="F10" s="1362"/>
      <c r="G10" s="1847"/>
      <c r="H10" s="1287" t="s">
        <v>1036</v>
      </c>
      <c r="I10" s="1819" t="s">
        <v>1404</v>
      </c>
      <c r="J10" s="346">
        <f ca="1">ROUND(IF(M10="押一",J6/12*M11,IF(M10="押二",J6/12*2*M11,IF(M10="押三",J6/12*3*M11,J11*M11))),0)</f>
        <v>0</v>
      </c>
      <c r="K10" s="1831" t="s">
        <v>3040</v>
      </c>
      <c r="L10" s="358" t="s">
        <v>1405</v>
      </c>
      <c r="M10" s="1362"/>
    </row>
    <row r="11" spans="1:37" ht="18" customHeight="1">
      <c r="A11" s="353"/>
      <c r="B11" s="1821" t="s">
        <v>1597</v>
      </c>
      <c r="C11" s="1174"/>
      <c r="D11" s="352"/>
      <c r="E11" s="358" t="s">
        <v>1407</v>
      </c>
      <c r="F11" s="359">
        <f ca="1">'数据-取费表'!B39</f>
        <v>1.4999999999999999E-2</v>
      </c>
      <c r="G11" s="1847"/>
      <c r="H11" s="1295"/>
      <c r="I11" s="1821" t="s">
        <v>1598</v>
      </c>
      <c r="J11" s="1174"/>
      <c r="K11" s="748"/>
      <c r="L11" s="358"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0</v>
      </c>
      <c r="D13" s="1327" t="s">
        <v>1410</v>
      </c>
      <c r="E13" s="1327" t="s">
        <v>1411</v>
      </c>
      <c r="F13" s="1328">
        <f ca="1">INDIRECT("'数据-取费表'!y"&amp;$G$1)</f>
        <v>0</v>
      </c>
      <c r="G13" s="1847"/>
      <c r="H13" s="1325">
        <v>2</v>
      </c>
      <c r="I13" s="1326" t="s">
        <v>1409</v>
      </c>
      <c r="J13" s="1286">
        <f ca="1">ROUND(J14*J15,0)</f>
        <v>0</v>
      </c>
      <c r="K13" s="1333" t="s">
        <v>1410</v>
      </c>
      <c r="L13" s="1848"/>
      <c r="M13" s="1849"/>
    </row>
    <row r="14" spans="1:37" ht="18" customHeight="1">
      <c r="A14" s="1197" t="s">
        <v>1031</v>
      </c>
      <c r="B14" s="347" t="s">
        <v>1412</v>
      </c>
      <c r="C14" s="363">
        <f ca="1">ROUND(INDIRECT("'数据-取费表'!l"&amp;$G$1)*F43+'数据-取费表'!L14*INDIRECT("'数据-取费表'!S"&amp;$G$1),0)</f>
        <v>0</v>
      </c>
      <c r="D14" s="1796" t="s">
        <v>1413</v>
      </c>
      <c r="E14" s="1790"/>
      <c r="F14" s="364"/>
      <c r="G14" s="1847"/>
      <c r="H14" s="1197" t="s">
        <v>1032</v>
      </c>
      <c r="I14" s="347" t="s">
        <v>1414</v>
      </c>
      <c r="J14" s="24">
        <f ca="1">C29</f>
        <v>0</v>
      </c>
      <c r="K14" s="15"/>
      <c r="L14" s="975"/>
      <c r="M14" s="976"/>
    </row>
    <row r="15" spans="1:37" s="1854" customFormat="1" ht="18" customHeight="1" thickBot="1">
      <c r="A15" s="1197" t="s">
        <v>1033</v>
      </c>
      <c r="B15" s="347" t="s">
        <v>1415</v>
      </c>
      <c r="C15" s="24">
        <f ca="1">ROUND(C14*F15,0)</f>
        <v>0</v>
      </c>
      <c r="D15" s="365" t="s">
        <v>1416</v>
      </c>
      <c r="E15" s="365" t="s">
        <v>1417</v>
      </c>
      <c r="F15" s="366">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7" t="s">
        <v>1418</v>
      </c>
      <c r="C16" s="24">
        <f ca="1">ROUND(INDIRECT("'数据-取费表'!l"&amp;$G$1)*F43*F16,0)</f>
        <v>0</v>
      </c>
      <c r="D16" s="347" t="s">
        <v>1416</v>
      </c>
      <c r="E16" s="347" t="s">
        <v>1417</v>
      </c>
      <c r="F16" s="367">
        <f ca="1">IF(INDIRECT("'数据-取费表'!c"&amp;$G$1)="住宅",'数据-取费表'!B34,0)</f>
        <v>0</v>
      </c>
      <c r="G16" s="1847"/>
      <c r="H16" s="1325" t="s">
        <v>1027</v>
      </c>
      <c r="I16" s="1326" t="s">
        <v>1419</v>
      </c>
      <c r="J16" s="355">
        <f ca="1">ROUND(J17+J22+J23+J24,0)</f>
        <v>0</v>
      </c>
      <c r="K16" s="1333" t="s">
        <v>1420</v>
      </c>
      <c r="L16" s="1334"/>
      <c r="M16" s="1290"/>
    </row>
    <row r="17" spans="1:37" s="1854" customFormat="1" ht="18" customHeight="1">
      <c r="A17" s="1197" t="s">
        <v>1385</v>
      </c>
      <c r="B17" s="347" t="s">
        <v>1421</v>
      </c>
      <c r="C17" s="24">
        <f ca="1">ROUND(F17*(F43+INDIRECT("'数据-取费表'!S"&amp;$G$1)),0)</f>
        <v>0</v>
      </c>
      <c r="D17" s="347" t="s">
        <v>1422</v>
      </c>
      <c r="E17" s="347" t="s">
        <v>1423</v>
      </c>
      <c r="F17" s="26">
        <f>'数据-取费表'!B35</f>
        <v>200</v>
      </c>
      <c r="G17" s="1850"/>
      <c r="H17" s="1197" t="s">
        <v>1032</v>
      </c>
      <c r="I17" s="347" t="s">
        <v>1424</v>
      </c>
      <c r="J17" s="24">
        <f ca="1">ROUND(IF(项目基本情况!B11="自然人",J6*M17/(1+'数据-取费表'!C42),J18+J19+J20),0)</f>
        <v>0</v>
      </c>
      <c r="K17" s="1796" t="s">
        <v>1425</v>
      </c>
      <c r="L17" s="1794" t="s">
        <v>1426</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7" t="s">
        <v>1427</v>
      </c>
      <c r="C18" s="24">
        <f ca="1">ROUND(C14*F18,0)</f>
        <v>0</v>
      </c>
      <c r="D18" s="347" t="s">
        <v>1416</v>
      </c>
      <c r="E18" s="347" t="s">
        <v>1417</v>
      </c>
      <c r="F18" s="367">
        <f>'数据-取费表'!B36</f>
        <v>1.4999999999999999E-2</v>
      </c>
      <c r="G18" s="1850"/>
      <c r="H18" s="1197" t="s">
        <v>1031</v>
      </c>
      <c r="I18" s="347" t="s">
        <v>1428</v>
      </c>
      <c r="J18" s="24">
        <f ca="1">ROUND(J6*M18/(1+'数据-取费表'!C42),0)</f>
        <v>0</v>
      </c>
      <c r="K18" s="1794"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1430</v>
      </c>
      <c r="C19" s="24">
        <f ca="1">SUM(C14:C18)</f>
        <v>0</v>
      </c>
      <c r="D19" s="140" t="s">
        <v>1431</v>
      </c>
      <c r="E19" s="1814"/>
      <c r="F19" s="26"/>
      <c r="G19" s="1847"/>
      <c r="H19" s="1197" t="s">
        <v>1033</v>
      </c>
      <c r="I19" s="347" t="s">
        <v>1432</v>
      </c>
      <c r="J19" s="24">
        <f ca="1">IF(K19="按租金收入计税",ROUND(J6*M19/(1+'数据-取费表'!C42),0),ROUND(C29*M19*0.7,0))</f>
        <v>0</v>
      </c>
      <c r="K19" s="1824" t="s">
        <v>1433</v>
      </c>
      <c r="L19" s="347" t="s">
        <v>1417</v>
      </c>
      <c r="M19" s="367">
        <f>IF(K19="按租金收入计税",'数据-取费表'!B51,'数据-取费表'!B50)</f>
        <v>1.2E-2</v>
      </c>
    </row>
    <row r="20" spans="1:37" s="1854" customFormat="1" ht="18" customHeight="1">
      <c r="A20" s="1197" t="s">
        <v>1036</v>
      </c>
      <c r="B20" s="347" t="s">
        <v>1434</v>
      </c>
      <c r="C20" s="24">
        <f ca="1">ROUND(C19*F20,0)</f>
        <v>0</v>
      </c>
      <c r="D20" s="369" t="s">
        <v>1435</v>
      </c>
      <c r="E20" s="347" t="s">
        <v>1417</v>
      </c>
      <c r="F20" s="367">
        <f>'数据-取费表'!B37</f>
        <v>0.02</v>
      </c>
      <c r="G20" s="1850"/>
      <c r="H20" s="1197" t="s">
        <v>1384</v>
      </c>
      <c r="I20" s="164" t="s">
        <v>1436</v>
      </c>
      <c r="J20" s="25">
        <f ca="1">ROUND(M20*M21,0)</f>
        <v>0</v>
      </c>
      <c r="K20" s="370" t="s">
        <v>1437</v>
      </c>
      <c r="L20" s="347" t="s">
        <v>1438</v>
      </c>
      <c r="M20" s="37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1439</v>
      </c>
      <c r="C21" s="24" t="s">
        <v>1</v>
      </c>
      <c r="D21" s="369" t="s">
        <v>1440</v>
      </c>
      <c r="E21" s="347" t="s">
        <v>1441</v>
      </c>
      <c r="F21" s="367">
        <f>'数据-取费表'!B38</f>
        <v>0.02</v>
      </c>
      <c r="G21" s="1850"/>
      <c r="H21" s="372"/>
      <c r="I21" s="356"/>
      <c r="J21" s="29"/>
      <c r="K21" s="373"/>
      <c r="L21" s="347" t="s">
        <v>1442</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7" t="s">
        <v>1443</v>
      </c>
      <c r="C22" s="24"/>
      <c r="D22" s="140" t="str">
        <f>IF(F23&lt;=1,"单利计息。","复利计息。")&amp;"建造成本、管理费用、销售费用产生的利息。"</f>
        <v>复利计息。建造成本、管理费用、销售费用产生的利息。</v>
      </c>
      <c r="E22" s="1814"/>
      <c r="F22" s="26"/>
      <c r="G22" s="1847"/>
      <c r="H22" s="1197" t="s">
        <v>1036</v>
      </c>
      <c r="I22" s="347" t="s">
        <v>1444</v>
      </c>
      <c r="J22" s="24">
        <f ca="1">ROUND(J14*M22,0)</f>
        <v>0</v>
      </c>
      <c r="K22" s="1794" t="s">
        <v>1445</v>
      </c>
      <c r="L22" s="347" t="s">
        <v>1417</v>
      </c>
      <c r="M22" s="374">
        <f ca="1">INDIRECT("'数据-取费表'!Ak"&amp;$G$1)</f>
        <v>0</v>
      </c>
    </row>
    <row r="23" spans="1:37" s="1854" customFormat="1" ht="18" customHeight="1">
      <c r="A23" s="1197"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0"/>
      <c r="H23" s="1197" t="s">
        <v>1072</v>
      </c>
      <c r="I23" s="347" t="s">
        <v>1448</v>
      </c>
      <c r="J23" s="24">
        <f ca="1">ROUND(J13*M23,0)</f>
        <v>0</v>
      </c>
      <c r="K23" s="1794" t="s">
        <v>1449</v>
      </c>
      <c r="L23" s="347" t="s">
        <v>1450</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0"/>
      <c r="H24" s="1335" t="s">
        <v>1388</v>
      </c>
      <c r="I24" s="1336" t="s">
        <v>1434</v>
      </c>
      <c r="J24" s="1337">
        <f ca="1">ROUND(J5*M24,0)</f>
        <v>0</v>
      </c>
      <c r="K24" s="1338" t="s">
        <v>1454</v>
      </c>
      <c r="L24" s="1336" t="s">
        <v>1450</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7" t="s">
        <v>1456</v>
      </c>
      <c r="C25" s="24"/>
      <c r="D25" s="140" t="s">
        <v>1457</v>
      </c>
      <c r="E25" s="1814"/>
      <c r="F25" s="26"/>
      <c r="G25" s="1847"/>
      <c r="H25" s="1325" t="s">
        <v>1028</v>
      </c>
      <c r="I25" s="1340" t="s">
        <v>1458</v>
      </c>
      <c r="J25" s="355">
        <f ca="1">J5-J16</f>
        <v>0</v>
      </c>
      <c r="K25" s="1341" t="s">
        <v>1459</v>
      </c>
      <c r="L25" s="1342"/>
      <c r="M25" s="1343"/>
    </row>
    <row r="26" spans="1:37" ht="18" customHeight="1">
      <c r="A26" s="1197" t="s">
        <v>1031</v>
      </c>
      <c r="B26" s="347" t="s">
        <v>1460</v>
      </c>
      <c r="C26" s="24">
        <f ca="1">ROUND((C19+C20)*F26,0)</f>
        <v>0</v>
      </c>
      <c r="D26" s="369" t="s">
        <v>1461</v>
      </c>
      <c r="E26" s="358" t="s">
        <v>1462</v>
      </c>
      <c r="F26" s="357">
        <f ca="1">INDIRECT("'数据-取费表'!q"&amp;$G$1)</f>
        <v>0</v>
      </c>
      <c r="G26" s="1847"/>
      <c r="H26" s="344" t="s">
        <v>1029</v>
      </c>
      <c r="I26" s="345" t="s">
        <v>1463</v>
      </c>
      <c r="J26" s="346">
        <f ca="1">IF(J5&lt;&gt;0,ROUND(J25*(1-((1+M28)/(1+M26))^M27)/(M26-M28),0),0)</f>
        <v>0</v>
      </c>
      <c r="K26" s="370" t="s">
        <v>1464</v>
      </c>
      <c r="L26" s="347" t="s">
        <v>1465</v>
      </c>
      <c r="M26" s="357">
        <f ca="1">INDIRECT("'数据-取费表'!I"&amp;$G$1)</f>
        <v>0</v>
      </c>
    </row>
    <row r="27" spans="1:37" ht="18" customHeight="1">
      <c r="A27" s="1197" t="s">
        <v>1033</v>
      </c>
      <c r="B27" s="347" t="s">
        <v>1466</v>
      </c>
      <c r="C27" s="24">
        <f ca="1">ROUND(F21*F26,4)</f>
        <v>0</v>
      </c>
      <c r="D27" s="369" t="s">
        <v>1467</v>
      </c>
      <c r="E27" s="365"/>
      <c r="F27" s="366"/>
      <c r="G27" s="1847"/>
      <c r="H27" s="349"/>
      <c r="I27" s="350"/>
      <c r="J27" s="351"/>
      <c r="K27" s="378" t="s">
        <v>1468</v>
      </c>
      <c r="L27" s="347" t="s">
        <v>1469</v>
      </c>
      <c r="M27" s="379">
        <f ca="1">INDIRECT("'数据-取费表'!ag"&amp;$G$1)</f>
        <v>0</v>
      </c>
    </row>
    <row r="28" spans="1:37" s="1854" customFormat="1" ht="18" customHeight="1">
      <c r="A28" s="1197"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0</v>
      </c>
      <c r="D29" s="1338"/>
      <c r="E29" s="1336"/>
      <c r="F29" s="1339"/>
      <c r="G29" s="1850"/>
      <c r="H29" s="380" t="s">
        <v>1030</v>
      </c>
      <c r="I29" s="381" t="s">
        <v>1474</v>
      </c>
      <c r="J29" s="382">
        <f ca="1">ROUND(J26/(1+F40)^F41,0)</f>
        <v>0</v>
      </c>
      <c r="K29" s="383" t="s">
        <v>1475</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0</v>
      </c>
      <c r="D30" s="1333" t="s">
        <v>1420</v>
      </c>
      <c r="E30" s="1334"/>
      <c r="F30" s="1290"/>
      <c r="G30" s="1847"/>
      <c r="H30" s="745"/>
      <c r="I30" s="746"/>
      <c r="J30" s="747"/>
      <c r="K30" s="748"/>
      <c r="L30" s="749"/>
      <c r="M30" s="750"/>
    </row>
    <row r="31" spans="1:37" ht="18" customHeight="1">
      <c r="A31" s="1197" t="s">
        <v>1032</v>
      </c>
      <c r="B31" s="347" t="s">
        <v>1424</v>
      </c>
      <c r="C31" s="24">
        <f ca="1">ROUND(IF(项目基本情况!B11="自然人",C6*F31/(1+'数据-取费表'!C42),C32+C33+C34),0)</f>
        <v>0</v>
      </c>
      <c r="D31" s="1796" t="s">
        <v>1425</v>
      </c>
      <c r="E31" s="1794" t="s">
        <v>1476</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1031</v>
      </c>
      <c r="B32" s="347" t="s">
        <v>1428</v>
      </c>
      <c r="C32" s="24">
        <f ca="1">IF(项目基本情况!B11="自然人","——",ROUND(C6*F32/(1+'数据-取费表'!C42),0))</f>
        <v>0</v>
      </c>
      <c r="D32" s="1794" t="s">
        <v>1429</v>
      </c>
      <c r="E32" s="347" t="s">
        <v>1417</v>
      </c>
      <c r="F32" s="377">
        <f>'数据-取费表'!B41</f>
        <v>5.6000000000000001E-2</v>
      </c>
      <c r="G32" s="1847"/>
      <c r="H32" s="745"/>
      <c r="I32" s="746"/>
      <c r="J32" s="747"/>
      <c r="K32" s="748"/>
      <c r="L32" s="749"/>
      <c r="M32" s="750"/>
    </row>
    <row r="33" spans="1:18" ht="18" customHeight="1">
      <c r="A33" s="1197" t="s">
        <v>1033</v>
      </c>
      <c r="B33" s="347" t="s">
        <v>1432</v>
      </c>
      <c r="C33" s="24">
        <f ca="1">IF(项目基本情况!B11="自然人","——",IF(D33="按租金收入计税",ROUND(C6*F33/(1+'数据-取费表'!C42),0),IF(D33="按房产原值计税",ROUND(C29*F33*0.7,0),INDIRECT("'数据-取费表'!Aj"&amp;$G$1))))</f>
        <v>0</v>
      </c>
      <c r="D33" s="1824" t="s">
        <v>1433</v>
      </c>
      <c r="E33" s="347" t="s">
        <v>1417</v>
      </c>
      <c r="F33" s="367">
        <f>IF(D33="按票据","——",IF(D33="按租金收入计税",'数据-取费表'!B51,'数据-取费表'!B50))</f>
        <v>1.2E-2</v>
      </c>
      <c r="G33" s="1847"/>
      <c r="H33" s="1855"/>
      <c r="I33" s="1856"/>
      <c r="J33" s="1857"/>
      <c r="K33" s="1858"/>
      <c r="L33" s="1855"/>
      <c r="M33" s="1855"/>
    </row>
    <row r="34" spans="1:18" ht="18" customHeight="1">
      <c r="A34" s="1287" t="s">
        <v>1384</v>
      </c>
      <c r="B34" s="164" t="s">
        <v>1436</v>
      </c>
      <c r="C34" s="25">
        <f ca="1">IF(项目基本情况!B11="自然人","——",ROUND(F34*F35,))</f>
        <v>0</v>
      </c>
      <c r="D34" s="370" t="s">
        <v>1437</v>
      </c>
      <c r="E34" s="347" t="s">
        <v>1438</v>
      </c>
      <c r="F34" s="371">
        <f>'数据-取费表'!B52</f>
        <v>30</v>
      </c>
      <c r="G34" s="1847"/>
      <c r="H34" s="745"/>
      <c r="I34" s="1856"/>
      <c r="J34" s="1857"/>
      <c r="K34" s="1859"/>
      <c r="L34" s="1860"/>
      <c r="M34" s="1860"/>
    </row>
    <row r="35" spans="1:18" ht="18" customHeight="1">
      <c r="A35" s="1349"/>
      <c r="B35" s="1347"/>
      <c r="C35" s="29"/>
      <c r="D35" s="373"/>
      <c r="E35" s="347" t="s">
        <v>1442</v>
      </c>
      <c r="F35" s="348">
        <f ca="1">INDIRECT("'数据-取费表'!r"&amp;$G$1)</f>
        <v>0</v>
      </c>
      <c r="G35" s="1847"/>
      <c r="H35" s="745"/>
      <c r="I35" s="1856"/>
      <c r="J35" s="1857"/>
      <c r="K35" s="1858"/>
      <c r="L35" s="1855"/>
      <c r="M35" s="1855"/>
    </row>
    <row r="36" spans="1:18" ht="18" customHeight="1">
      <c r="A36" s="1348" t="s">
        <v>1036</v>
      </c>
      <c r="B36" s="347" t="s">
        <v>1444</v>
      </c>
      <c r="C36" s="24">
        <f ca="1">ROUND(C29*F36,0)</f>
        <v>0</v>
      </c>
      <c r="D36" s="1794" t="s">
        <v>1477</v>
      </c>
      <c r="E36" s="347" t="s">
        <v>1417</v>
      </c>
      <c r="F36" s="374">
        <f ca="1">INDIRECT("'数据-取费表'!Ak"&amp;$G$1)</f>
        <v>0</v>
      </c>
      <c r="G36" s="1847"/>
      <c r="H36" s="1855"/>
      <c r="I36" s="1856"/>
      <c r="J36" s="1857"/>
      <c r="K36" s="751"/>
      <c r="L36" s="1855"/>
      <c r="M36" s="1855"/>
    </row>
    <row r="37" spans="1:18" ht="18" customHeight="1">
      <c r="A37" s="1197" t="s">
        <v>1072</v>
      </c>
      <c r="B37" s="347" t="s">
        <v>1448</v>
      </c>
      <c r="C37" s="24">
        <f ca="1">ROUND(C13*F37,0)</f>
        <v>0</v>
      </c>
      <c r="D37" s="1794" t="s">
        <v>1449</v>
      </c>
      <c r="E37" s="347" t="s">
        <v>1450</v>
      </c>
      <c r="F37" s="376">
        <f ca="1">INDIRECT("'数据-取费表'!Al"&amp;$G$1)</f>
        <v>0</v>
      </c>
      <c r="G37" s="1847"/>
      <c r="H37" s="1855"/>
      <c r="I37" s="1856"/>
      <c r="J37" s="1857"/>
      <c r="K37" s="751"/>
      <c r="L37" s="1855"/>
      <c r="M37" s="1855"/>
    </row>
    <row r="38" spans="1:18" ht="18" customHeight="1" thickBot="1">
      <c r="A38" s="1335" t="s">
        <v>1388</v>
      </c>
      <c r="B38" s="1336" t="s">
        <v>1434</v>
      </c>
      <c r="C38" s="1337">
        <f ca="1">ROUND(C5*F38,1)</f>
        <v>0</v>
      </c>
      <c r="D38" s="1338" t="s">
        <v>1454</v>
      </c>
      <c r="E38" s="1336" t="s">
        <v>1450</v>
      </c>
      <c r="F38" s="1332">
        <f ca="1">INDIRECT("'数据-取费表'!Am"&amp;$G$1)</f>
        <v>0</v>
      </c>
      <c r="G38" s="1847"/>
      <c r="H38" s="1855"/>
      <c r="I38" s="1856"/>
      <c r="J38" s="1857"/>
      <c r="K38" s="1861"/>
      <c r="L38" s="1855"/>
      <c r="M38" s="1855"/>
    </row>
    <row r="39" spans="1:18" ht="24.6" customHeight="1" thickTop="1">
      <c r="A39" s="1325" t="s">
        <v>1028</v>
      </c>
      <c r="B39" s="1340" t="s">
        <v>1478</v>
      </c>
      <c r="C39" s="355">
        <f ca="1">C5-C30</f>
        <v>0</v>
      </c>
      <c r="D39" s="1341" t="s">
        <v>1479</v>
      </c>
      <c r="E39" s="1342"/>
      <c r="F39" s="1343"/>
      <c r="G39" s="1847"/>
      <c r="H39" s="1855"/>
      <c r="I39" s="1856"/>
      <c r="J39" s="1857"/>
      <c r="K39" s="1861"/>
      <c r="L39" s="1855"/>
      <c r="M39" s="1855"/>
    </row>
    <row r="40" spans="1:18" ht="18" customHeight="1">
      <c r="A40" s="344" t="s">
        <v>1029</v>
      </c>
      <c r="B40" s="345" t="s">
        <v>1480</v>
      </c>
      <c r="C40" s="346" t="e">
        <f ca="1">ROUND(C39*(1-((1+F42)/(1+F40))^F41)/(F40-F42),0)</f>
        <v>#DIV/0!</v>
      </c>
      <c r="D40" s="370" t="s">
        <v>1464</v>
      </c>
      <c r="E40" s="347" t="s">
        <v>1465</v>
      </c>
      <c r="F40" s="357">
        <f ca="1">INDIRECT("'数据-取费表'!I"&amp;$G$1)</f>
        <v>0</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1472</v>
      </c>
      <c r="F42" s="357">
        <f ca="1">INDIRECT("'数据-取费表'!v"&amp;$G$1)</f>
        <v>0</v>
      </c>
      <c r="G42" s="1847"/>
      <c r="H42" s="732"/>
      <c r="I42" s="1856"/>
      <c r="J42" s="1857"/>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1599</v>
      </c>
      <c r="E45" s="1862"/>
      <c r="F45" s="1862"/>
      <c r="O45" s="1865" t="s">
        <v>1514</v>
      </c>
      <c r="P45" s="1835"/>
      <c r="Q45" s="1835"/>
      <c r="R45" s="1835"/>
    </row>
    <row r="46" spans="1:18" s="1838" customFormat="1" ht="13.5" thickBot="1">
      <c r="A46" s="1866" t="s">
        <v>1515</v>
      </c>
      <c r="C46" s="1867" t="e">
        <f ca="1">ROUND(C45/10000,0)</f>
        <v>#DIV/0!</v>
      </c>
      <c r="D46" s="1868" t="str">
        <f>C2</f>
        <v>万元</v>
      </c>
      <c r="I46" s="1869" t="s">
        <v>1516</v>
      </c>
      <c r="J46" s="1870"/>
      <c r="K46" s="1871"/>
      <c r="L46" s="1872" t="e">
        <f ca="1">IF(M47="住宅",0,IF(L48&gt;J51,L60,J60))</f>
        <v>#DIV/0!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92"/>
      <c r="I47" s="1876" t="s">
        <v>1521</v>
      </c>
      <c r="J47" s="1877"/>
      <c r="K47" s="1878" t="s">
        <v>1522</v>
      </c>
      <c r="L47" s="1879">
        <f ca="1">INDIRECT("'数据-取费表'!d"&amp;$G$1)</f>
        <v>0</v>
      </c>
      <c r="M47" s="1834" t="str">
        <f>IF(ISNUMBER(FIND("住宅",C1)),"住宅","非住宅")</f>
        <v>非住宅</v>
      </c>
      <c r="O47" s="1880" t="s">
        <v>1037</v>
      </c>
      <c r="P47" s="1881" t="s">
        <v>1523</v>
      </c>
      <c r="Q47" s="1882" t="e">
        <f ca="1">C40+J29</f>
        <v>#DIV/0!</v>
      </c>
      <c r="R47" s="1882" t="s">
        <v>1524</v>
      </c>
    </row>
    <row r="48" spans="1:18" s="1838" customFormat="1" ht="28.5" thickBot="1">
      <c r="A48" s="1356" t="s">
        <v>1132</v>
      </c>
      <c r="B48" s="345" t="s">
        <v>1396</v>
      </c>
      <c r="C48" s="1813">
        <f ca="1">C49+C53+C55</f>
        <v>0</v>
      </c>
      <c r="D48" s="1358"/>
      <c r="E48" s="1359"/>
      <c r="F48" s="1177"/>
      <c r="G48" s="792"/>
      <c r="H48" s="793"/>
      <c r="I48" s="1883" t="s">
        <v>1525</v>
      </c>
      <c r="J48" s="1884"/>
      <c r="K48" s="1885" t="s">
        <v>1526</v>
      </c>
      <c r="L48" s="1886">
        <f ca="1">INDIRECT("'数据-取费表'!f"&amp;$G$1)</f>
        <v>0</v>
      </c>
      <c r="O48" s="1880" t="s">
        <v>1038</v>
      </c>
      <c r="P48" s="1881" t="s">
        <v>1527</v>
      </c>
      <c r="Q48" s="1882" t="e">
        <f ca="1">J60</f>
        <v>#DIV/0!</v>
      </c>
      <c r="R48" s="1882" t="s">
        <v>1528</v>
      </c>
    </row>
    <row r="49" spans="1:18" s="1838" customFormat="1" ht="13.5" thickBot="1">
      <c r="A49" s="1190" t="s">
        <v>1133</v>
      </c>
      <c r="B49" s="1825" t="s">
        <v>1485</v>
      </c>
      <c r="C49" s="1360">
        <f ca="1">ROUND(F49*F51*F50*(1-F52),0)</f>
        <v>0</v>
      </c>
      <c r="D49" s="1272" t="s">
        <v>1399</v>
      </c>
      <c r="E49" s="1826" t="s">
        <v>1486</v>
      </c>
      <c r="F49" s="1277"/>
      <c r="G49" s="1887"/>
      <c r="H49" s="793"/>
      <c r="I49" s="1883" t="s">
        <v>1529</v>
      </c>
      <c r="J49" s="1888"/>
      <c r="K49" s="1885" t="s">
        <v>1530</v>
      </c>
      <c r="L49" s="1889"/>
      <c r="O49" s="1890" t="s">
        <v>1039</v>
      </c>
      <c r="P49" s="1881" t="s">
        <v>1531</v>
      </c>
      <c r="Q49" s="1882">
        <f ca="1">C29</f>
        <v>0</v>
      </c>
      <c r="R49" s="1882" t="s">
        <v>1524</v>
      </c>
    </row>
    <row r="50" spans="1:18" s="1838" customFormat="1" ht="13.5" thickBot="1">
      <c r="A50" s="1191"/>
      <c r="B50" s="1194"/>
      <c r="C50" s="1195"/>
      <c r="D50" s="1168"/>
      <c r="E50" s="1273" t="s">
        <v>1401</v>
      </c>
      <c r="F50" s="1274">
        <f ca="1">F7</f>
        <v>0</v>
      </c>
      <c r="H50" s="793"/>
      <c r="I50" s="1883" t="s">
        <v>1532</v>
      </c>
      <c r="J50" s="1891">
        <f>SUMPRODUCT((I63:I65=J47)*(J62:L62=J48)*(J63:L65))</f>
        <v>0</v>
      </c>
      <c r="K50" s="1885" t="s">
        <v>1533</v>
      </c>
      <c r="L50" s="1889"/>
      <c r="M50" s="1892"/>
      <c r="O50" s="1890" t="s">
        <v>1040</v>
      </c>
      <c r="P50" s="1881" t="s">
        <v>1534</v>
      </c>
      <c r="Q50" s="1893" t="e">
        <f ca="1">J58</f>
        <v>#DIV/0!</v>
      </c>
      <c r="R50" s="1882"/>
    </row>
    <row r="51" spans="1:18" s="1838" customFormat="1" ht="13.5" thickBot="1">
      <c r="A51" s="1192"/>
      <c r="B51" s="1194"/>
      <c r="C51" s="1195"/>
      <c r="D51" s="1168"/>
      <c r="E51" s="1196" t="s">
        <v>1402</v>
      </c>
      <c r="F51" s="348">
        <f ca="1">F8</f>
        <v>0</v>
      </c>
      <c r="I51" s="1894" t="s">
        <v>1535</v>
      </c>
      <c r="J51" s="1895">
        <f>IF(J49="",J50,J49+J50-YEAR('数据-取费表'!B2))</f>
        <v>0</v>
      </c>
      <c r="K51" s="1896" t="s">
        <v>1536</v>
      </c>
      <c r="L51" s="1897">
        <f ca="1">ROUND(-PV(INDIRECT("'数据-取费表'!h"&amp;$G$1),L48,(C39-C13*C76),0),0)</f>
        <v>0</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f ca="1">J53</f>
        <v>-0.7</v>
      </c>
      <c r="R52" s="1882" t="s">
        <v>1541</v>
      </c>
    </row>
    <row r="53" spans="1:18" s="1838" customFormat="1" ht="30.75" customHeight="1" thickBot="1">
      <c r="A53" s="1357" t="s">
        <v>1134</v>
      </c>
      <c r="B53" s="369" t="s">
        <v>1404</v>
      </c>
      <c r="C53" s="361">
        <f ca="1">ROUND(IF(F53="押一",C49/12*F11,IF(F53="押二",C49/12*2*F11,IF(F53="押三",C49/12*3*F11,C54*F11))),0)</f>
        <v>0</v>
      </c>
      <c r="D53" s="1820" t="s">
        <v>3041</v>
      </c>
      <c r="E53" s="358" t="s">
        <v>1405</v>
      </c>
      <c r="F53" s="1362"/>
      <c r="I53" s="1901" t="s">
        <v>1542</v>
      </c>
      <c r="J53" s="2948">
        <f ca="1">IF(M47="住宅",IF(D1="——",MAX(J51,L48),MAX(J51,L48-'数据-取费表'!B24)),IF(D1="——",MIN(J51,L48),MIN(J51,L48-'数据-取费表'!B24)))</f>
        <v>-0.7</v>
      </c>
      <c r="K53" s="3160" t="s">
        <v>1543</v>
      </c>
      <c r="L53" s="3161"/>
      <c r="O53" s="1880" t="s">
        <v>1043</v>
      </c>
      <c r="P53" s="1881" t="s">
        <v>1544</v>
      </c>
      <c r="Q53" s="1882" t="e">
        <f ca="1">Q47+Q48</f>
        <v>#DIV/0!</v>
      </c>
      <c r="R53" s="1882" t="s">
        <v>1044</v>
      </c>
    </row>
    <row r="54" spans="1:18" s="1838" customFormat="1" ht="13.5" thickBot="1">
      <c r="A54" s="1190"/>
      <c r="B54" s="1936" t="s">
        <v>1598</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#DIV/0!</v>
      </c>
      <c r="K55" s="1907" t="s">
        <v>1547</v>
      </c>
      <c r="L55" s="1908"/>
      <c r="O55" s="1873" t="s">
        <v>1517</v>
      </c>
      <c r="P55" s="1874" t="s">
        <v>1518</v>
      </c>
      <c r="Q55" s="1875" t="s">
        <v>1519</v>
      </c>
      <c r="R55" s="1875" t="s">
        <v>1520</v>
      </c>
    </row>
    <row r="56" spans="1:18" s="1838" customFormat="1" ht="36" customHeight="1" thickTop="1" thickBot="1">
      <c r="A56" s="1172">
        <v>2</v>
      </c>
      <c r="B56" s="1173" t="s">
        <v>1409</v>
      </c>
      <c r="C56" s="276">
        <f ca="1">C13</f>
        <v>0</v>
      </c>
      <c r="D56" s="1909"/>
      <c r="E56" s="1910"/>
      <c r="F56" s="1902"/>
      <c r="I56" s="1911" t="s">
        <v>1549</v>
      </c>
      <c r="J56" s="1912"/>
      <c r="K56" s="1883" t="s">
        <v>1550</v>
      </c>
      <c r="L56" s="1886">
        <f ca="1">IF(L48&lt;J51,"——",L48-J51)</f>
        <v>0</v>
      </c>
      <c r="O56" s="1880" t="s">
        <v>1037</v>
      </c>
      <c r="P56" s="1881" t="s">
        <v>1523</v>
      </c>
      <c r="Q56" s="1882" t="e">
        <f ca="1">C40+J29</f>
        <v>#DIV/0!</v>
      </c>
      <c r="R56" s="1882" t="s">
        <v>1524</v>
      </c>
    </row>
    <row r="57" spans="1:18" s="1838" customFormat="1" ht="24.75" thickBot="1">
      <c r="A57" s="1913"/>
      <c r="B57" s="1165" t="s">
        <v>1473</v>
      </c>
      <c r="C57" s="282">
        <f ca="1">C29</f>
        <v>0</v>
      </c>
      <c r="D57" s="1914"/>
      <c r="E57" s="1915"/>
      <c r="F57" s="1916"/>
      <c r="I57" s="1917" t="s">
        <v>1551</v>
      </c>
      <c r="J57" s="1918">
        <f ca="1">IF(OR(M47="住宅",J51&lt;L48,J56="是"),"——",J51-L48)</f>
        <v>0</v>
      </c>
      <c r="K57" s="1883" t="s">
        <v>1600</v>
      </c>
      <c r="L57" s="1886">
        <f ca="1">IF(L48&lt;J51,"——",IF(L55="比较法",L49,IF(L55="基准地价",L50,L51)))</f>
        <v>0</v>
      </c>
      <c r="O57" s="1880" t="s">
        <v>1038</v>
      </c>
      <c r="P57" s="1881" t="s">
        <v>1601</v>
      </c>
      <c r="Q57" s="1882" t="e">
        <f ca="1">L60</f>
        <v>#DIV/0!</v>
      </c>
      <c r="R57" s="1882" t="s">
        <v>1602</v>
      </c>
    </row>
    <row r="58" spans="1:18" s="1838" customFormat="1" ht="24.75" thickBot="1">
      <c r="A58" s="360" t="s">
        <v>1027</v>
      </c>
      <c r="B58" s="1173" t="s">
        <v>1419</v>
      </c>
      <c r="C58" s="361">
        <f ca="1">ROUND(C59+C64+C65+C66,0)</f>
        <v>0</v>
      </c>
      <c r="D58" s="1175" t="s">
        <v>1420</v>
      </c>
      <c r="E58" s="1176"/>
      <c r="F58" s="1177"/>
      <c r="I58" s="1917" t="s">
        <v>1555</v>
      </c>
      <c r="J58" s="1919" t="e">
        <f ca="1">IF(J55&lt;0.4,0.4,J55)</f>
        <v>#DIV/0!</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ROUND(IF(项目基本情况!B11="自然人",C48*F59,C60+C61+C62),0)</f>
        <v>0</v>
      </c>
      <c r="D59" s="1178" t="s">
        <v>1425</v>
      </c>
      <c r="E59" s="1179" t="s">
        <v>1426</v>
      </c>
      <c r="F59" s="368">
        <f ca="1">IF(项目基本情况!B11="企业","",IF(INDIRECT("'数据-取费表'!c"&amp;$G$1)="住宅",5%,IF(F49*F50*F51/12/(1+'数据-取费表'!C42)&gt;20000,12%,7%)))</f>
        <v>7.0000000000000007E-2</v>
      </c>
      <c r="I59" s="1917" t="s">
        <v>1558</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IF(项目基本情况!B11="自然人","——",ROUND(C48*F60/(1+'数据-取费表'!C42),0))</f>
        <v>0</v>
      </c>
      <c r="D60" s="1179" t="s">
        <v>1429</v>
      </c>
      <c r="E60" s="1165" t="s">
        <v>1417</v>
      </c>
      <c r="F60" s="377">
        <f t="shared" ref="F60:F66" si="0">F32</f>
        <v>5.6000000000000001E-2</v>
      </c>
      <c r="I60" s="1920" t="s">
        <v>1560</v>
      </c>
      <c r="J60" s="1921" t="e">
        <f ca="1">IF(OR(M47="住宅",J51&lt;L48,J56="是"),"0",ROUND(J59/(1+J52)^J53,0))</f>
        <v>#DIV/0!</v>
      </c>
      <c r="K60" s="1922" t="s">
        <v>1561</v>
      </c>
      <c r="L60" s="1921" t="e">
        <f ca="1">IF(OR(M47="住宅",L48&lt;J51),0,ROUND(L57*(L58/L59-1),0))</f>
        <v>#DIV/0!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IF(项目基本情况!B11="自然人","——",IF(D61="按租金收入计税",ROUND(C48*F61,0),IF(D61="按房产原值计税",ROUND(C57*F61*0.7,0),INDIRECT("'数据-取费表'!Aj"&amp;$G$1))))</f>
        <v>0</v>
      </c>
      <c r="D61" s="1824" t="s">
        <v>1433</v>
      </c>
      <c r="E61" s="1165" t="s">
        <v>1489</v>
      </c>
      <c r="F61" s="367">
        <f t="shared" si="0"/>
        <v>1.2E-2</v>
      </c>
      <c r="I61" s="1923"/>
      <c r="J61" s="1923"/>
      <c r="K61" s="1923"/>
      <c r="L61" s="1923"/>
      <c r="O61" s="1890" t="s">
        <v>1042</v>
      </c>
      <c r="P61" s="1881" t="str">
        <f>K59</f>
        <v>建设期及建筑物耐用年限下的土地年期修正系数Kn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IF(项目基本情况!B11="自然人","——",ROUND(F62*F63,0))</f>
        <v>0</v>
      </c>
      <c r="D62" s="1180" t="s">
        <v>1492</v>
      </c>
      <c r="E62" s="1165" t="s">
        <v>1493</v>
      </c>
      <c r="F62" s="371">
        <f t="shared" si="0"/>
        <v>30</v>
      </c>
      <c r="I62" s="1924" t="s">
        <v>1565</v>
      </c>
      <c r="J62" s="1925" t="s">
        <v>1566</v>
      </c>
      <c r="K62" s="1925" t="s">
        <v>1567</v>
      </c>
      <c r="L62" s="1925" t="s">
        <v>1568</v>
      </c>
      <c r="M62" s="1926" t="s">
        <v>1569</v>
      </c>
      <c r="O62" s="1880" t="s">
        <v>1043</v>
      </c>
      <c r="P62" s="1881" t="s">
        <v>1570</v>
      </c>
      <c r="Q62" s="1882" t="e">
        <f ca="1">Q56+Q57</f>
        <v>#DIV/0!</v>
      </c>
      <c r="R62" s="1882" t="s">
        <v>1044</v>
      </c>
    </row>
    <row r="63" spans="1:18" s="1838" customFormat="1" ht="13.5" thickBot="1">
      <c r="A63" s="372"/>
      <c r="B63" s="1171"/>
      <c r="C63" s="29"/>
      <c r="D63" s="1181"/>
      <c r="E63" s="1165" t="s">
        <v>1494</v>
      </c>
      <c r="F63" s="348">
        <f t="shared" ca="1" si="0"/>
        <v>0</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ROUND(C57*F64,0)</f>
        <v>0</v>
      </c>
      <c r="D64" s="1179" t="s">
        <v>1497</v>
      </c>
      <c r="E64" s="1165" t="s">
        <v>1489</v>
      </c>
      <c r="F64" s="374">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ROUND(C56*F65,0)</f>
        <v>0</v>
      </c>
      <c r="D65" s="1179" t="s">
        <v>1449</v>
      </c>
      <c r="E65" s="1165" t="s">
        <v>1450</v>
      </c>
      <c r="F65" s="376">
        <f t="shared" ca="1" si="0"/>
        <v>0</v>
      </c>
      <c r="I65" s="1924" t="s">
        <v>1574</v>
      </c>
      <c r="J65" s="1925">
        <v>40</v>
      </c>
      <c r="K65" s="1925">
        <v>30</v>
      </c>
      <c r="L65" s="1925">
        <v>50</v>
      </c>
      <c r="M65" s="1927">
        <v>0.02</v>
      </c>
      <c r="O65" s="1880" t="s">
        <v>1037</v>
      </c>
      <c r="P65" s="1881" t="s">
        <v>1575</v>
      </c>
      <c r="Q65" s="1882" t="e">
        <f ca="1">C40+J29</f>
        <v>#DIV/0!</v>
      </c>
      <c r="R65" s="1882" t="s">
        <v>1524</v>
      </c>
    </row>
    <row r="66" spans="1:18" s="1838" customFormat="1" ht="16.5" thickBot="1">
      <c r="A66" s="1197" t="s">
        <v>1499</v>
      </c>
      <c r="B66" s="1165" t="s">
        <v>1434</v>
      </c>
      <c r="C66" s="24">
        <f ca="1">ROUND(C48*F66,0)</f>
        <v>0</v>
      </c>
      <c r="D66" s="1179" t="s">
        <v>1500</v>
      </c>
      <c r="E66" s="1165" t="s">
        <v>1417</v>
      </c>
      <c r="F66" s="357">
        <f t="shared" ca="1" si="0"/>
        <v>0</v>
      </c>
      <c r="O66" s="1880" t="s">
        <v>1038</v>
      </c>
      <c r="P66" s="1881" t="s">
        <v>1553</v>
      </c>
      <c r="Q66" s="1882" t="e">
        <f ca="1">L60</f>
        <v>#DIV/0!</v>
      </c>
      <c r="R66" s="1882" t="s">
        <v>1576</v>
      </c>
    </row>
    <row r="67" spans="1:18" s="1838" customFormat="1" ht="16.5" thickBot="1">
      <c r="A67" s="1172" t="s">
        <v>1028</v>
      </c>
      <c r="B67" s="1182" t="s">
        <v>1458</v>
      </c>
      <c r="C67" s="361">
        <f ca="1">C48-C58</f>
        <v>0</v>
      </c>
      <c r="D67" s="1178" t="s">
        <v>1459</v>
      </c>
      <c r="E67" s="1183"/>
      <c r="F67" s="1184"/>
      <c r="O67" s="1890" t="s">
        <v>1039</v>
      </c>
      <c r="P67" s="1881" t="s">
        <v>1557</v>
      </c>
      <c r="Q67" s="1928">
        <f ca="1">L51</f>
        <v>0</v>
      </c>
      <c r="R67" s="1882" t="s">
        <v>1577</v>
      </c>
    </row>
    <row r="68" spans="1:18" s="1838" customFormat="1" ht="16.5" thickBot="1">
      <c r="A68" s="1162" t="s">
        <v>1029</v>
      </c>
      <c r="B68" s="1163" t="s">
        <v>1480</v>
      </c>
      <c r="C68" s="346" t="e">
        <f ca="1">ROUND(C67*(1-((1+F70)/(1+F68))^F69)/(F68-F70),0)</f>
        <v>#DIV/0!</v>
      </c>
      <c r="D68" s="1180" t="s">
        <v>1464</v>
      </c>
      <c r="E68" s="1165" t="s">
        <v>1465</v>
      </c>
      <c r="F68" s="357">
        <f ca="1">F40</f>
        <v>0</v>
      </c>
      <c r="O68" s="1890" t="s">
        <v>1040</v>
      </c>
      <c r="P68" s="1929" t="s">
        <v>1578</v>
      </c>
      <c r="Q68" s="1882">
        <f ca="1">ROUND(Q69-Q70*Q71,0)</f>
        <v>0</v>
      </c>
      <c r="R68" s="1882" t="s">
        <v>1048</v>
      </c>
    </row>
    <row r="69" spans="1:18" s="1838" customFormat="1" ht="13.5" thickBot="1">
      <c r="A69" s="1166"/>
      <c r="B69" s="1167"/>
      <c r="C69" s="351"/>
      <c r="D69" s="1185" t="s">
        <v>1468</v>
      </c>
      <c r="E69" s="1165" t="s">
        <v>1469</v>
      </c>
      <c r="F69" s="379">
        <f ca="1">F41</f>
        <v>0</v>
      </c>
      <c r="O69" s="1890" t="s">
        <v>1045</v>
      </c>
      <c r="P69" s="1929" t="s">
        <v>1579</v>
      </c>
      <c r="Q69" s="1882">
        <f ca="1">C39</f>
        <v>0</v>
      </c>
      <c r="R69" s="1882" t="s">
        <v>1524</v>
      </c>
    </row>
    <row r="70" spans="1:18" s="1838" customFormat="1" ht="13.5" thickBot="1">
      <c r="A70" s="1169"/>
      <c r="B70" s="1170"/>
      <c r="C70" s="355"/>
      <c r="D70" s="1181"/>
      <c r="E70" s="1165" t="s">
        <v>1472</v>
      </c>
      <c r="F70" s="1271">
        <f ca="1">F42</f>
        <v>0</v>
      </c>
      <c r="O70" s="1890" t="s">
        <v>1046</v>
      </c>
      <c r="P70" s="1929" t="s">
        <v>1580</v>
      </c>
      <c r="Q70" s="1882">
        <f ca="1">C13</f>
        <v>0</v>
      </c>
      <c r="R70" s="1882" t="s">
        <v>1524</v>
      </c>
    </row>
    <row r="71" spans="1:18" s="1838" customFormat="1" ht="13.5" thickBot="1">
      <c r="A71" s="1186" t="s">
        <v>1030</v>
      </c>
      <c r="B71" s="1187" t="s">
        <v>1482</v>
      </c>
      <c r="C71" s="382" t="e">
        <f ca="1">ROUND(C68/F71,0)</f>
        <v>#DIV/0!</v>
      </c>
      <c r="D71" s="1188" t="s">
        <v>1483</v>
      </c>
      <c r="E71" s="1189" t="s">
        <v>1484</v>
      </c>
      <c r="F71" s="385">
        <f ca="1">F43</f>
        <v>0</v>
      </c>
      <c r="O71" s="1890" t="s">
        <v>1047</v>
      </c>
      <c r="P71" s="1929" t="s">
        <v>1581</v>
      </c>
      <c r="Q71" s="1893">
        <f ca="1">C76</f>
        <v>0</v>
      </c>
      <c r="R71" s="1882"/>
    </row>
    <row r="72" spans="1:18" s="1838" customFormat="1" ht="13.5" thickBot="1">
      <c r="B72" s="796"/>
      <c r="C72" s="796"/>
      <c r="O72" s="1890" t="s">
        <v>1041</v>
      </c>
      <c r="P72" s="1881" t="s">
        <v>1559</v>
      </c>
      <c r="Q72" s="1893">
        <f>L52</f>
        <v>0</v>
      </c>
      <c r="R72" s="1882"/>
    </row>
    <row r="73" spans="1:18" ht="16.5" thickBot="1">
      <c r="A73" s="1838"/>
      <c r="B73" s="796"/>
      <c r="C73" s="796"/>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建设期及建筑物耐用年限下的土地年期修正系数Kn</v>
      </c>
      <c r="Q74" s="1882" t="e">
        <f ca="1">L59</f>
        <v>#DIV/0!</v>
      </c>
      <c r="R74" s="1882" t="s">
        <v>1564</v>
      </c>
    </row>
    <row r="75" spans="1:18" ht="13.5" thickBot="1">
      <c r="A75" s="1838"/>
      <c r="B75" s="386" t="s">
        <v>1501</v>
      </c>
      <c r="C75" s="387">
        <f ca="1">ROUND(C13*C76,0)</f>
        <v>0</v>
      </c>
      <c r="D75" s="1838"/>
      <c r="E75" s="1838"/>
      <c r="F75" s="1838"/>
      <c r="K75" s="1864"/>
      <c r="L75" s="1838"/>
      <c r="O75" s="1880" t="s">
        <v>1043</v>
      </c>
      <c r="P75" s="1881" t="s">
        <v>1544</v>
      </c>
      <c r="Q75" s="1882" t="e">
        <f ca="1">Q65+Q66</f>
        <v>#DIV/0!</v>
      </c>
      <c r="R75" s="1882" t="s">
        <v>1044</v>
      </c>
    </row>
    <row r="76" spans="1:18">
      <c r="B76" s="388" t="s">
        <v>1502</v>
      </c>
      <c r="C76" s="389">
        <f ca="1">INDIRECT("'数据-取费表'!j"&amp;$G$1)</f>
        <v>0</v>
      </c>
      <c r="I76" s="1838"/>
      <c r="J76" s="1838"/>
      <c r="K76" s="1864"/>
      <c r="L76" s="1838"/>
    </row>
    <row r="77" spans="1:18">
      <c r="B77" s="390" t="s">
        <v>1503</v>
      </c>
      <c r="C77" s="391"/>
      <c r="I77" s="1838"/>
      <c r="J77" s="1838"/>
      <c r="K77" s="1864"/>
      <c r="L77" s="1838"/>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2525</v>
      </c>
      <c r="B1" s="2560"/>
      <c r="C1" s="2560"/>
      <c r="D1" s="2560"/>
      <c r="E1" s="2561"/>
    </row>
    <row r="2" spans="1:6" ht="15.75">
      <c r="A2" s="2562" t="s">
        <v>2329</v>
      </c>
      <c r="B2" s="2563">
        <f ca="1">SUMIF(B6:B13,"&lt;&gt;#ref!",B6:B13)</f>
        <v>120721</v>
      </c>
      <c r="C2" s="2564" t="s">
        <v>2518</v>
      </c>
      <c r="D2" s="2565" t="s">
        <v>2519</v>
      </c>
      <c r="E2" s="2566">
        <f>SUM(E6:E13)</f>
        <v>27698</v>
      </c>
    </row>
    <row r="3" spans="1:6" ht="15.75">
      <c r="A3" s="2562" t="s">
        <v>1390</v>
      </c>
      <c r="B3" s="2563">
        <f ca="1">ROUND(B2*10000/E2,0)</f>
        <v>43585</v>
      </c>
      <c r="C3" s="2564" t="s">
        <v>2526</v>
      </c>
      <c r="D3" s="2567"/>
      <c r="E3" s="2568"/>
    </row>
    <row r="4" spans="1:6" ht="15.75">
      <c r="A4" s="2569"/>
      <c r="B4" s="2567"/>
      <c r="C4" s="2567"/>
      <c r="D4" s="2567"/>
      <c r="E4" s="2568"/>
    </row>
    <row r="5" spans="1:6" ht="15">
      <c r="A5" s="2570" t="s">
        <v>2520</v>
      </c>
      <c r="B5" s="3165" t="s">
        <v>2521</v>
      </c>
      <c r="C5" s="3165"/>
      <c r="D5" s="2571"/>
      <c r="E5" s="2572" t="s">
        <v>2522</v>
      </c>
      <c r="F5" s="2573" t="s">
        <v>2523</v>
      </c>
    </row>
    <row r="6" spans="1:6">
      <c r="A6" s="2574" t="str">
        <f>'数据-取费表'!AN6</f>
        <v>收益法</v>
      </c>
      <c r="B6" s="2573">
        <f ca="1">IF(F6="是",'数据-取费表'!AO6,0)</f>
        <v>2194</v>
      </c>
      <c r="C6" s="2564" t="s">
        <v>2518</v>
      </c>
      <c r="D6" s="2567"/>
      <c r="E6" s="2575">
        <f>IF(OR(A6=0,F6="否"),0,'数据-取费表'!K6+'数据-取费表'!S6)</f>
        <v>378.97999999999996</v>
      </c>
      <c r="F6" s="2576" t="s">
        <v>2524</v>
      </c>
    </row>
    <row r="7" spans="1:6">
      <c r="A7" s="2574" t="str">
        <f>'数据-取费表'!AN7</f>
        <v>收益法-1</v>
      </c>
      <c r="B7" s="2573">
        <f ca="1">IF(F7="是",'数据-取费表'!AO7,0)</f>
        <v>114611</v>
      </c>
      <c r="C7" s="2564" t="s">
        <v>2518</v>
      </c>
      <c r="D7" s="2567"/>
      <c r="E7" s="2575">
        <f>IF(OR(A7=0,F7="否"),0,'数据-取费表'!K7+'数据-取费表'!S7)</f>
        <v>20756.66</v>
      </c>
      <c r="F7" s="2576" t="s">
        <v>2524</v>
      </c>
    </row>
    <row r="8" spans="1:6">
      <c r="A8" s="2574" t="str">
        <f>'数据-取费表'!AN8</f>
        <v>收益法-2</v>
      </c>
      <c r="B8" s="2573">
        <f ca="1">IF(F8="是",'数据-取费表'!AO8,0)</f>
        <v>1497</v>
      </c>
      <c r="C8" s="2564" t="s">
        <v>2518</v>
      </c>
      <c r="D8" s="2567"/>
      <c r="E8" s="2575">
        <f>IF(OR(A8=0,F8="否"),0,'数据-取费表'!K8+'数据-取费表'!S8)</f>
        <v>4174.5200000000004</v>
      </c>
      <c r="F8" s="2576" t="s">
        <v>2524</v>
      </c>
    </row>
    <row r="9" spans="1:6">
      <c r="A9" s="2574" t="str">
        <f>'数据-取费表'!AN9</f>
        <v>收益法-3</v>
      </c>
      <c r="B9" s="2573">
        <f ca="1">IF(F9="是",'数据-取费表'!AO9,0)</f>
        <v>2419</v>
      </c>
      <c r="C9" s="2564" t="s">
        <v>2518</v>
      </c>
      <c r="D9" s="2567"/>
      <c r="E9" s="2575">
        <f>IF(OR(A9=0,F9="否"),0,'数据-取费表'!K9+'数据-取费表'!S9)</f>
        <v>2387.84</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297" t="s">
        <v>1076</v>
      </c>
      <c r="E2" s="1297" t="s">
        <v>1077</v>
      </c>
      <c r="F2" s="1297" t="s">
        <v>1078</v>
      </c>
      <c r="G2" s="1297" t="s">
        <v>1079</v>
      </c>
      <c r="H2" s="1297" t="s">
        <v>1080</v>
      </c>
      <c r="I2" s="1298" t="s">
        <v>1081</v>
      </c>
    </row>
    <row r="3" spans="1:9">
      <c r="A3" s="3171"/>
      <c r="B3" s="3172" t="s">
        <v>1082</v>
      </c>
      <c r="C3" s="3172"/>
      <c r="D3" s="1299"/>
      <c r="E3" s="1297"/>
      <c r="F3" s="1300"/>
      <c r="G3" s="1300"/>
      <c r="H3" s="1301"/>
      <c r="I3" s="1302">
        <f>ROUND(D3*E3*F3*G3*H3/10000,0)</f>
        <v>0</v>
      </c>
    </row>
    <row r="4" spans="1:9">
      <c r="A4" s="3171"/>
      <c r="B4" s="3172" t="s">
        <v>1083</v>
      </c>
      <c r="C4" s="3172"/>
      <c r="D4" s="1299"/>
      <c r="E4" s="1297"/>
      <c r="F4" s="1300"/>
      <c r="G4" s="1300"/>
      <c r="H4" s="1301"/>
      <c r="I4" s="1302">
        <f t="shared" ref="I4:I9" si="0">ROUND(D4*E4*F4*G4*H4/10000,0)</f>
        <v>0</v>
      </c>
    </row>
    <row r="5" spans="1:9">
      <c r="A5" s="3171"/>
      <c r="B5" s="3172" t="s">
        <v>1084</v>
      </c>
      <c r="C5" s="3172"/>
      <c r="D5" s="1299"/>
      <c r="E5" s="1297"/>
      <c r="F5" s="1300"/>
      <c r="G5" s="1300"/>
      <c r="H5" s="1301"/>
      <c r="I5" s="1302">
        <f t="shared" si="0"/>
        <v>0</v>
      </c>
    </row>
    <row r="6" spans="1:9">
      <c r="A6" s="3171"/>
      <c r="B6" s="3172" t="s">
        <v>1085</v>
      </c>
      <c r="C6" s="3172"/>
      <c r="D6" s="1299"/>
      <c r="E6" s="1297"/>
      <c r="F6" s="1300"/>
      <c r="G6" s="1300"/>
      <c r="H6" s="1301"/>
      <c r="I6" s="1302">
        <f t="shared" si="0"/>
        <v>0</v>
      </c>
    </row>
    <row r="7" spans="1:9">
      <c r="A7" s="3171"/>
      <c r="B7" s="3172" t="s">
        <v>1086</v>
      </c>
      <c r="C7" s="3172"/>
      <c r="D7" s="1299"/>
      <c r="E7" s="1297"/>
      <c r="F7" s="1300"/>
      <c r="G7" s="1300"/>
      <c r="H7" s="1301"/>
      <c r="I7" s="1302">
        <f t="shared" si="0"/>
        <v>0</v>
      </c>
    </row>
    <row r="8" spans="1:9">
      <c r="A8" s="3171"/>
      <c r="B8" s="3172" t="s">
        <v>1087</v>
      </c>
      <c r="C8" s="3172"/>
      <c r="D8" s="1299"/>
      <c r="E8" s="1297"/>
      <c r="F8" s="1300"/>
      <c r="G8" s="1300"/>
      <c r="H8" s="1301"/>
      <c r="I8" s="1302">
        <f t="shared" si="0"/>
        <v>0</v>
      </c>
    </row>
    <row r="9" spans="1:9">
      <c r="A9" s="3171"/>
      <c r="B9" s="3172" t="s">
        <v>1088</v>
      </c>
      <c r="C9" s="3172"/>
      <c r="D9" s="1299"/>
      <c r="E9" s="1297"/>
      <c r="F9" s="1300"/>
      <c r="G9" s="1300"/>
      <c r="H9" s="1301"/>
      <c r="I9" s="1302">
        <f t="shared" si="0"/>
        <v>0</v>
      </c>
    </row>
    <row r="10" spans="1:9">
      <c r="A10" s="3171"/>
      <c r="B10" s="3173" t="s">
        <v>1089</v>
      </c>
      <c r="C10" s="3173"/>
      <c r="D10" s="1303"/>
      <c r="E10" s="1303" t="e">
        <f>ROUND(D1*10000/D10/H9,0)</f>
        <v>#DIV/0!</v>
      </c>
      <c r="F10" s="1304"/>
      <c r="G10" s="1304"/>
      <c r="H10" s="1305"/>
      <c r="I10" s="1306">
        <f>SUM(I3:I9)</f>
        <v>0</v>
      </c>
    </row>
    <row r="11" spans="1:9" ht="14.25">
      <c r="A11" s="3171" t="s">
        <v>1090</v>
      </c>
      <c r="B11" s="3172" t="s">
        <v>1091</v>
      </c>
      <c r="C11" s="3172"/>
      <c r="D11" s="1299" t="s">
        <v>1092</v>
      </c>
      <c r="E11" s="1299" t="s">
        <v>1093</v>
      </c>
      <c r="F11" s="1300" t="s">
        <v>1094</v>
      </c>
      <c r="G11" s="1300" t="s">
        <v>1080</v>
      </c>
      <c r="H11" s="1307" t="s">
        <v>1095</v>
      </c>
      <c r="I11" s="1298" t="s">
        <v>1081</v>
      </c>
    </row>
    <row r="12" spans="1:9">
      <c r="A12" s="3171"/>
      <c r="B12" s="3172" t="s">
        <v>1096</v>
      </c>
      <c r="C12" s="3172"/>
      <c r="D12" s="1299"/>
      <c r="E12" s="1299"/>
      <c r="F12" s="1300"/>
      <c r="G12" s="1301"/>
      <c r="H12" s="1308"/>
      <c r="I12" s="1298">
        <f>ROUND(D12*E12*F12*G12/10000,0)</f>
        <v>0</v>
      </c>
    </row>
    <row r="13" spans="1:9">
      <c r="A13" s="3171"/>
      <c r="B13" s="3172" t="s">
        <v>1097</v>
      </c>
      <c r="C13" s="3172"/>
      <c r="D13" s="1299"/>
      <c r="E13" s="1299"/>
      <c r="F13" s="1300"/>
      <c r="G13" s="1301"/>
      <c r="H13" s="1308"/>
      <c r="I13" s="1298">
        <f>ROUND(D13*E13*F13*G13/10000,0)</f>
        <v>0</v>
      </c>
    </row>
    <row r="14" spans="1:9">
      <c r="A14" s="3171"/>
      <c r="B14" s="3172" t="s">
        <v>1098</v>
      </c>
      <c r="C14" s="3172"/>
      <c r="D14" s="1299"/>
      <c r="E14" s="1299"/>
      <c r="F14" s="1300"/>
      <c r="G14" s="1301"/>
      <c r="H14" s="1308"/>
      <c r="I14" s="1298">
        <f>ROUND(D14*E14*F14*G14/10000,0)</f>
        <v>0</v>
      </c>
    </row>
    <row r="15" spans="1:9">
      <c r="A15" s="3171"/>
      <c r="B15" s="3173" t="s">
        <v>1089</v>
      </c>
      <c r="C15" s="3173"/>
      <c r="D15" s="1303"/>
      <c r="E15" s="1303">
        <f>SUM(E12:E14)</f>
        <v>0</v>
      </c>
      <c r="F15" s="1304"/>
      <c r="G15" s="1301"/>
      <c r="H15" s="1308"/>
      <c r="I15" s="1309">
        <f>SUM(I12:I14)</f>
        <v>0</v>
      </c>
    </row>
    <row r="16" spans="1:9" ht="24">
      <c r="A16" s="3171" t="s">
        <v>1099</v>
      </c>
      <c r="B16" s="3172" t="s">
        <v>1100</v>
      </c>
      <c r="C16" s="3172"/>
      <c r="D16" s="1299" t="s">
        <v>1076</v>
      </c>
      <c r="E16" s="1310" t="s">
        <v>1101</v>
      </c>
      <c r="F16" s="1300" t="s">
        <v>1102</v>
      </c>
      <c r="G16" s="1301" t="s">
        <v>1080</v>
      </c>
      <c r="H16" s="1307" t="s">
        <v>1095</v>
      </c>
      <c r="I16" s="1298" t="s">
        <v>1081</v>
      </c>
    </row>
    <row r="17" spans="1:9" ht="14.25">
      <c r="A17" s="3171"/>
      <c r="B17" s="3172" t="s">
        <v>1103</v>
      </c>
      <c r="C17" s="3172"/>
      <c r="D17" s="1299"/>
      <c r="E17" s="1299"/>
      <c r="F17" s="1300"/>
      <c r="G17" s="1301"/>
      <c r="H17" s="1311"/>
      <c r="I17" s="1312">
        <f>ROUND(D17*E17*F17*G17/10000,0)</f>
        <v>0</v>
      </c>
    </row>
    <row r="18" spans="1:9" ht="14.25">
      <c r="A18" s="3171"/>
      <c r="B18" s="3172" t="s">
        <v>1104</v>
      </c>
      <c r="C18" s="3172"/>
      <c r="D18" s="1299"/>
      <c r="E18" s="1299"/>
      <c r="F18" s="1300"/>
      <c r="G18" s="1301"/>
      <c r="H18" s="1311"/>
      <c r="I18" s="1312">
        <f>ROUND(D18*E18*F18*G18/10000,0)</f>
        <v>0</v>
      </c>
    </row>
    <row r="19" spans="1:9" ht="14.25">
      <c r="A19" s="3171"/>
      <c r="B19" s="3172" t="s">
        <v>1105</v>
      </c>
      <c r="C19" s="3172"/>
      <c r="D19" s="1299"/>
      <c r="E19" s="1299"/>
      <c r="F19" s="1300"/>
      <c r="G19" s="1301"/>
      <c r="H19" s="1311"/>
      <c r="I19" s="1312">
        <f>ROUND(D19*E19*F19*G19/10000,0)</f>
        <v>0</v>
      </c>
    </row>
    <row r="20" spans="1:9">
      <c r="A20" s="3171"/>
      <c r="B20" s="3173" t="s">
        <v>1089</v>
      </c>
      <c r="C20" s="3173"/>
      <c r="D20" s="1303">
        <f>SUM(D17:D19)</f>
        <v>0</v>
      </c>
      <c r="E20" s="1303"/>
      <c r="F20" s="1304"/>
      <c r="G20" s="1301"/>
      <c r="H20" s="1308"/>
      <c r="I20" s="1309">
        <f>SUM(I17:I19)</f>
        <v>0</v>
      </c>
    </row>
    <row r="21" spans="1:9">
      <c r="A21" s="3171" t="s">
        <v>1106</v>
      </c>
      <c r="B21" s="3175"/>
      <c r="C21" s="3175"/>
      <c r="D21" s="3175"/>
      <c r="E21" s="3175"/>
      <c r="F21" s="3175"/>
      <c r="G21" s="3175"/>
      <c r="H21" s="1761">
        <v>0.1</v>
      </c>
      <c r="I21" s="1306">
        <f>ROUND(I10*H21,0)</f>
        <v>0</v>
      </c>
    </row>
    <row r="22" spans="1:9" ht="14.25">
      <c r="A22" s="3176" t="s">
        <v>1107</v>
      </c>
      <c r="B22" s="3177"/>
      <c r="C22" s="3178"/>
      <c r="D22" s="1313" t="s">
        <v>1108</v>
      </c>
      <c r="E22" s="1313" t="s">
        <v>1109</v>
      </c>
      <c r="F22" s="1314" t="s">
        <v>1110</v>
      </c>
      <c r="G22" s="1314" t="s">
        <v>1111</v>
      </c>
      <c r="H22" s="1307" t="s">
        <v>1112</v>
      </c>
      <c r="I22" s="1298" t="s">
        <v>1113</v>
      </c>
    </row>
    <row r="23" spans="1:9" ht="14.25" thickBot="1">
      <c r="A23" s="3179"/>
      <c r="B23" s="3180"/>
      <c r="C23" s="3181"/>
      <c r="D23" s="1315"/>
      <c r="E23" s="1315"/>
      <c r="F23" s="1315"/>
      <c r="G23" s="1316"/>
      <c r="H23" s="1317"/>
      <c r="I23" s="1318">
        <f>ROUND(E23*D23*F23*(1-G23)/10000,0)</f>
        <v>0</v>
      </c>
    </row>
    <row r="26" spans="1:9">
      <c r="A26" s="1319" t="s">
        <v>1114</v>
      </c>
      <c r="B26" s="1319"/>
      <c r="C26" s="1319"/>
      <c r="D26" s="1319"/>
      <c r="E26" s="3182">
        <f>C27-C30-C31-C32</f>
        <v>0</v>
      </c>
      <c r="F26" s="3182"/>
      <c r="G26" s="3182"/>
      <c r="H26" s="1733" t="s">
        <v>1336</v>
      </c>
    </row>
    <row r="27" spans="1:9">
      <c r="A27" s="1320">
        <v>1</v>
      </c>
      <c r="B27" s="1321" t="s">
        <v>1115</v>
      </c>
      <c r="C27" s="1321">
        <f>C28+C29</f>
        <v>0</v>
      </c>
      <c r="D27" s="1321"/>
      <c r="E27" s="3183"/>
      <c r="F27" s="3183"/>
      <c r="G27" s="3183"/>
    </row>
    <row r="28" spans="1:9">
      <c r="A28" s="1322" t="s">
        <v>1116</v>
      </c>
      <c r="B28" s="1321" t="s">
        <v>1117</v>
      </c>
      <c r="C28" s="1321"/>
      <c r="D28" s="1321"/>
      <c r="E28" s="3183"/>
      <c r="F28" s="3183"/>
      <c r="G28" s="318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74"/>
      <c r="F32" s="3174"/>
      <c r="G32" s="3174"/>
    </row>
    <row r="33" spans="1:7" hidden="1">
      <c r="A33" s="3184" t="s">
        <v>1126</v>
      </c>
      <c r="B33" s="3185"/>
      <c r="C33" s="3185"/>
      <c r="D33" s="3186"/>
      <c r="E33" s="3182"/>
      <c r="F33" s="3182"/>
      <c r="G33" s="3182"/>
    </row>
    <row r="34" spans="1:7" hidden="1">
      <c r="A34" s="1324">
        <v>1</v>
      </c>
      <c r="B34" s="1321" t="s">
        <v>1127</v>
      </c>
      <c r="C34" s="1321"/>
      <c r="D34" s="1321"/>
      <c r="E34" s="3183"/>
      <c r="F34" s="3183"/>
      <c r="G34" s="3183"/>
    </row>
    <row r="35" spans="1:7" hidden="1">
      <c r="A35" s="1324">
        <v>2</v>
      </c>
      <c r="B35" s="1321" t="s">
        <v>1128</v>
      </c>
      <c r="C35" s="1321"/>
      <c r="D35" s="1321"/>
      <c r="E35" s="3183"/>
      <c r="F35" s="3183"/>
      <c r="G35" s="3183"/>
    </row>
    <row r="36" spans="1:7" hidden="1">
      <c r="A36" s="1324">
        <v>3</v>
      </c>
      <c r="B36" s="1321" t="s">
        <v>1129</v>
      </c>
      <c r="C36" s="1321"/>
      <c r="D36" s="1321"/>
      <c r="E36" s="3183"/>
      <c r="F36" s="3183"/>
      <c r="G36" s="3183"/>
    </row>
    <row r="37" spans="1:7" hidden="1">
      <c r="A37" s="1324">
        <v>4</v>
      </c>
      <c r="B37" s="1321" t="s">
        <v>1130</v>
      </c>
      <c r="C37" s="1321"/>
      <c r="D37" s="1321"/>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580" t="s">
        <v>2528</v>
      </c>
      <c r="C1" s="1630" t="s">
        <v>2529</v>
      </c>
      <c r="D1" s="1617"/>
      <c r="E1" s="2581"/>
      <c r="F1" s="2582" t="s">
        <v>2530</v>
      </c>
      <c r="G1" s="1627" t="s">
        <v>2531</v>
      </c>
      <c r="H1" s="1626"/>
      <c r="I1" s="1626"/>
      <c r="J1" s="1626"/>
      <c r="K1" s="1628"/>
      <c r="L1" s="1629"/>
      <c r="M1" s="1630"/>
      <c r="N1" s="1630"/>
      <c r="O1" s="1630"/>
      <c r="P1" s="2583"/>
      <c r="Q1" s="1616"/>
      <c r="R1" s="1616"/>
      <c r="S1" s="1616"/>
      <c r="T1" s="1616"/>
      <c r="U1" s="1616"/>
      <c r="V1" s="1616"/>
      <c r="W1" s="1616"/>
      <c r="X1" s="1616"/>
      <c r="Y1" s="1616"/>
      <c r="Z1" s="1616"/>
      <c r="AA1" s="1616"/>
      <c r="AB1" s="1616"/>
      <c r="AC1" s="1624"/>
    </row>
    <row r="2" spans="1:29" s="393" customFormat="1" ht="28.5" customHeight="1" thickTop="1">
      <c r="A2" s="1613" t="s">
        <v>1389</v>
      </c>
      <c r="B2" s="1414" t="e">
        <f ca="1">IF(C2="——",ROUND(C49*D3/10000,0),ROUND(C49*D3/10000,0)-D2)</f>
        <v>#DIV/0!</v>
      </c>
      <c r="C2" s="2584"/>
      <c r="D2" s="1361" t="e">
        <f ca="1">SUMIF(INDIRECT("'"&amp;F2&amp;"'"&amp;"!A:A"),"承租人权益价值",INDIRECT("'"&amp;F2&amp;"'"&amp;"!c:c"))</f>
        <v>#REF!</v>
      </c>
      <c r="E2" s="2585" t="s">
        <v>2532</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2533</v>
      </c>
      <c r="D3" s="399">
        <f>IF(D1="",'数据-汇总表'!E3,SUMIF('数据-汇总表'!$C19:$C33,D1,'数据-汇总表'!$E19:$E33))</f>
        <v>27698</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401" t="s">
        <v>2534</v>
      </c>
      <c r="B4" s="402"/>
      <c r="C4" s="3205" t="s">
        <v>2535</v>
      </c>
      <c r="D4" s="3206"/>
      <c r="E4" s="3207" t="s">
        <v>2536</v>
      </c>
      <c r="F4" s="3208"/>
      <c r="G4" s="3205" t="s">
        <v>2537</v>
      </c>
      <c r="H4" s="3206"/>
      <c r="I4" s="3205" t="s">
        <v>2538</v>
      </c>
      <c r="J4" s="3206"/>
      <c r="K4" s="2594" t="s">
        <v>2539</v>
      </c>
      <c r="L4" s="1126"/>
      <c r="M4" s="1127"/>
      <c r="N4" s="1127"/>
      <c r="O4" s="1127"/>
      <c r="P4" s="3209" t="s">
        <v>2540</v>
      </c>
      <c r="Q4" s="3210"/>
      <c r="R4" s="3192" t="s">
        <v>2536</v>
      </c>
      <c r="S4" s="3193"/>
      <c r="T4" s="3192" t="s">
        <v>2537</v>
      </c>
      <c r="U4" s="3193"/>
      <c r="V4" s="3217" t="s">
        <v>2538</v>
      </c>
      <c r="W4" s="3217"/>
      <c r="X4" s="1809"/>
      <c r="Y4" s="3192" t="s">
        <v>2540</v>
      </c>
      <c r="Z4" s="3193"/>
      <c r="AA4" s="3187" t="s">
        <v>2536</v>
      </c>
      <c r="AB4" s="3187" t="s">
        <v>2537</v>
      </c>
      <c r="AC4" s="3187" t="s">
        <v>2538</v>
      </c>
    </row>
    <row r="5" spans="1:29" ht="15">
      <c r="A5" s="404"/>
      <c r="B5" s="405"/>
      <c r="C5" s="3198" t="s">
        <v>2541</v>
      </c>
      <c r="D5" s="3199"/>
      <c r="E5" s="3196" t="s">
        <v>2542</v>
      </c>
      <c r="F5" s="3197"/>
      <c r="G5" s="3198" t="s">
        <v>2543</v>
      </c>
      <c r="H5" s="3199"/>
      <c r="I5" s="3198" t="s">
        <v>2544</v>
      </c>
      <c r="J5" s="3199"/>
      <c r="K5" s="2595"/>
      <c r="L5" s="1126"/>
      <c r="M5" s="1127"/>
      <c r="N5" s="1127"/>
      <c r="O5" s="1127"/>
      <c r="P5" s="3211"/>
      <c r="Q5" s="3212"/>
      <c r="R5" s="3194"/>
      <c r="S5" s="3195"/>
      <c r="T5" s="3194"/>
      <c r="U5" s="3195"/>
      <c r="V5" s="3217"/>
      <c r="W5" s="3217"/>
      <c r="X5" s="1809"/>
      <c r="Y5" s="3194"/>
      <c r="Z5" s="3195"/>
      <c r="AA5" s="3188"/>
      <c r="AB5" s="3188"/>
      <c r="AC5" s="3188"/>
    </row>
    <row r="6" spans="1:29" ht="15.75" thickBot="1">
      <c r="A6" s="406"/>
      <c r="B6" s="407"/>
      <c r="C6" s="3200" t="s">
        <v>2545</v>
      </c>
      <c r="D6" s="3201"/>
      <c r="E6" s="3202" t="s">
        <v>2545</v>
      </c>
      <c r="F6" s="3203"/>
      <c r="G6" s="3200" t="s">
        <v>2545</v>
      </c>
      <c r="H6" s="3201"/>
      <c r="I6" s="3200" t="s">
        <v>2545</v>
      </c>
      <c r="J6" s="3201"/>
      <c r="K6" s="2595" t="s">
        <v>2546</v>
      </c>
      <c r="L6" s="1126"/>
      <c r="M6" s="1127"/>
      <c r="N6" s="1127"/>
      <c r="O6" s="1127"/>
      <c r="P6" s="3213"/>
      <c r="Q6" s="3214"/>
      <c r="R6" s="3194"/>
      <c r="S6" s="3195"/>
      <c r="T6" s="3215"/>
      <c r="U6" s="3216"/>
      <c r="V6" s="3217"/>
      <c r="W6" s="3217"/>
      <c r="X6" s="1809"/>
      <c r="Y6" s="3215"/>
      <c r="Z6" s="3216"/>
      <c r="AA6" s="3189"/>
      <c r="AB6" s="3189"/>
      <c r="AC6" s="3189"/>
    </row>
    <row r="7" spans="1:29" s="117" customFormat="1" ht="15.75" thickBot="1">
      <c r="A7" s="408" t="s">
        <v>2547</v>
      </c>
      <c r="B7" s="409"/>
      <c r="C7" s="410">
        <f>'数据-取费表'!B2</f>
        <v>43754</v>
      </c>
      <c r="D7" s="411">
        <v>100</v>
      </c>
      <c r="E7" s="412"/>
      <c r="F7" s="413">
        <f>SUMIF(58:58,YEAR(E7)&amp;"-"&amp;MONTH(E7),59:59)</f>
        <v>0</v>
      </c>
      <c r="G7" s="412"/>
      <c r="H7" s="411">
        <f>SUMIF(58:58,YEAR(G7)&amp;"-"&amp;MONTH(G7),59:59)</f>
        <v>0</v>
      </c>
      <c r="I7" s="412"/>
      <c r="J7" s="411">
        <f>SUMIF(58:58,YEAR(I7)&amp;"-"&amp;MONTH(I7),59:59)</f>
        <v>0</v>
      </c>
      <c r="K7" s="2596"/>
      <c r="L7" s="1128"/>
      <c r="M7" s="1129"/>
      <c r="N7" s="1129"/>
      <c r="O7" s="1129"/>
      <c r="P7" s="3190" t="s">
        <v>2548</v>
      </c>
      <c r="Q7" s="3218"/>
      <c r="R7" s="770" t="s">
        <v>23</v>
      </c>
      <c r="S7" s="771">
        <f t="shared" ref="S7:S15" si="0">F7</f>
        <v>0</v>
      </c>
      <c r="T7" s="770" t="s">
        <v>23</v>
      </c>
      <c r="U7" s="771">
        <f t="shared" ref="U7:U15" si="1">H7</f>
        <v>0</v>
      </c>
      <c r="V7" s="770" t="s">
        <v>23</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28"/>
      <c r="M8" s="1129"/>
      <c r="N8" s="1129"/>
      <c r="O8" s="1129"/>
      <c r="P8" s="3190" t="s">
        <v>2551</v>
      </c>
      <c r="Q8" s="3191"/>
      <c r="R8" s="770" t="s">
        <v>23</v>
      </c>
      <c r="S8" s="771">
        <f t="shared" si="0"/>
        <v>0</v>
      </c>
      <c r="T8" s="770" t="s">
        <v>23</v>
      </c>
      <c r="U8" s="771">
        <f t="shared" si="1"/>
        <v>0</v>
      </c>
      <c r="V8" s="770" t="s">
        <v>23</v>
      </c>
      <c r="W8" s="771">
        <f t="shared" si="2"/>
        <v>0</v>
      </c>
      <c r="X8" s="772"/>
      <c r="Y8" s="3190" t="s">
        <v>2551</v>
      </c>
      <c r="Z8" s="319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28"/>
      <c r="M9" s="1129"/>
      <c r="N9" s="1129"/>
      <c r="O9" s="1129"/>
      <c r="P9" s="3204"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4"/>
      <c r="Q11" s="1791"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8"/>
      <c r="M12" s="1129"/>
      <c r="N12" s="1129"/>
      <c r="O12" s="1129"/>
      <c r="P12" s="3204"/>
      <c r="Q12" s="1791">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6"/>
      <c r="M13" s="1127"/>
      <c r="N13" s="1127"/>
      <c r="O13" s="1127"/>
      <c r="P13" s="3204"/>
      <c r="Q13" s="1791">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6"/>
      <c r="M14" s="1127"/>
      <c r="N14" s="1127"/>
      <c r="O14" s="1127"/>
      <c r="P14" s="3204"/>
      <c r="Q14" s="1791">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2558</v>
      </c>
      <c r="B15" s="69" t="s">
        <v>2085</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31" t="s">
        <v>2559</v>
      </c>
      <c r="Q15" s="1806" t="str">
        <f t="shared" si="6"/>
        <v>居住社区成熟度</v>
      </c>
      <c r="R15" s="774" t="s">
        <v>21</v>
      </c>
      <c r="S15" s="775">
        <f t="shared" si="0"/>
        <v>100</v>
      </c>
      <c r="T15" s="774" t="s">
        <v>21</v>
      </c>
      <c r="U15" s="775">
        <f t="shared" si="1"/>
        <v>100</v>
      </c>
      <c r="V15" s="774" t="s">
        <v>21</v>
      </c>
      <c r="W15" s="775">
        <f t="shared" si="2"/>
        <v>100</v>
      </c>
      <c r="X15" s="1809"/>
      <c r="Y15" s="3224" t="s">
        <v>2559</v>
      </c>
      <c r="Z15" s="1810" t="str">
        <f t="shared" si="7"/>
        <v>居住社区成熟度</v>
      </c>
      <c r="AA15" s="1807">
        <f t="shared" si="3"/>
        <v>1</v>
      </c>
      <c r="AB15" s="1807">
        <f t="shared" si="4"/>
        <v>1</v>
      </c>
      <c r="AC15" s="1807">
        <f t="shared" si="5"/>
        <v>1</v>
      </c>
    </row>
    <row r="16" spans="1:29" ht="15">
      <c r="A16" s="428"/>
      <c r="B16" s="446"/>
      <c r="C16" s="447"/>
      <c r="D16" s="448"/>
      <c r="E16" s="2602"/>
      <c r="F16" s="448"/>
      <c r="G16" s="2603"/>
      <c r="H16" s="450"/>
      <c r="I16" s="2603"/>
      <c r="J16" s="448"/>
      <c r="K16" s="2604"/>
      <c r="L16" s="1136"/>
      <c r="M16" s="1127"/>
      <c r="N16" s="1127"/>
      <c r="O16" s="1127"/>
      <c r="P16" s="3232"/>
      <c r="Q16" s="1806"/>
      <c r="R16" s="774"/>
      <c r="S16" s="775"/>
      <c r="T16" s="774"/>
      <c r="U16" s="775"/>
      <c r="V16" s="774"/>
      <c r="W16" s="775"/>
      <c r="X16" s="1809"/>
      <c r="Y16" s="3225"/>
      <c r="Z16" s="1810"/>
      <c r="AA16" s="1807">
        <v>1</v>
      </c>
      <c r="AB16" s="1807">
        <v>1</v>
      </c>
      <c r="AC16" s="1807">
        <v>1</v>
      </c>
    </row>
    <row r="17" spans="1:29" ht="85.5">
      <c r="A17" s="428"/>
      <c r="B17" s="451" t="s">
        <v>2097</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32"/>
      <c r="Q17" s="1806" t="str">
        <f>B17</f>
        <v>交通便捷度</v>
      </c>
      <c r="R17" s="774" t="s">
        <v>21</v>
      </c>
      <c r="S17" s="775">
        <f>F17</f>
        <v>100</v>
      </c>
      <c r="T17" s="774" t="s">
        <v>21</v>
      </c>
      <c r="U17" s="775">
        <f>H17</f>
        <v>100</v>
      </c>
      <c r="V17" s="774" t="s">
        <v>21</v>
      </c>
      <c r="W17" s="775">
        <f>J17</f>
        <v>100</v>
      </c>
      <c r="X17" s="1809"/>
      <c r="Y17" s="3225"/>
      <c r="Z17" s="1810" t="str">
        <f>Q17</f>
        <v>交通便捷度</v>
      </c>
      <c r="AA17" s="1807">
        <f t="shared" si="3"/>
        <v>1</v>
      </c>
      <c r="AB17" s="1807">
        <f t="shared" si="4"/>
        <v>1</v>
      </c>
      <c r="AC17" s="1807">
        <f t="shared" si="5"/>
        <v>1</v>
      </c>
    </row>
    <row r="18" spans="1:29" ht="15">
      <c r="A18" s="428"/>
      <c r="B18" s="456"/>
      <c r="C18" s="2606"/>
      <c r="D18" s="450"/>
      <c r="E18" s="2607"/>
      <c r="F18" s="450"/>
      <c r="G18" s="2608"/>
      <c r="H18" s="448"/>
      <c r="I18" s="2608"/>
      <c r="J18" s="448"/>
      <c r="K18" s="2604"/>
      <c r="L18" s="1136"/>
      <c r="M18" s="1127"/>
      <c r="N18" s="1127"/>
      <c r="O18" s="1127"/>
      <c r="P18" s="3232"/>
      <c r="Q18" s="1806"/>
      <c r="R18" s="774"/>
      <c r="S18" s="775"/>
      <c r="T18" s="774"/>
      <c r="U18" s="775"/>
      <c r="V18" s="774"/>
      <c r="W18" s="775"/>
      <c r="X18" s="1809"/>
      <c r="Y18" s="3225"/>
      <c r="Z18" s="1810"/>
      <c r="AA18" s="1807">
        <v>1</v>
      </c>
      <c r="AB18" s="1807">
        <v>1</v>
      </c>
      <c r="AC18" s="1807">
        <v>1</v>
      </c>
    </row>
    <row r="19" spans="1:29" ht="42.75">
      <c r="A19" s="428"/>
      <c r="B19" s="451" t="s">
        <v>2095</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32"/>
      <c r="Q19" s="1806" t="str">
        <f>B19</f>
        <v>公共配套设施</v>
      </c>
      <c r="R19" s="774" t="s">
        <v>21</v>
      </c>
      <c r="S19" s="775">
        <f>F19</f>
        <v>100</v>
      </c>
      <c r="T19" s="774" t="s">
        <v>21</v>
      </c>
      <c r="U19" s="775">
        <f>H19</f>
        <v>100</v>
      </c>
      <c r="V19" s="774" t="s">
        <v>21</v>
      </c>
      <c r="W19" s="775">
        <f>J19</f>
        <v>100</v>
      </c>
      <c r="X19" s="1809"/>
      <c r="Y19" s="3225"/>
      <c r="Z19" s="1810" t="str">
        <f>Q19</f>
        <v>公共配套设施</v>
      </c>
      <c r="AA19" s="1807">
        <f t="shared" si="3"/>
        <v>1</v>
      </c>
      <c r="AB19" s="1807">
        <f t="shared" si="4"/>
        <v>1</v>
      </c>
      <c r="AC19" s="1807">
        <f t="shared" si="5"/>
        <v>1</v>
      </c>
    </row>
    <row r="20" spans="1:29" ht="15">
      <c r="A20" s="428"/>
      <c r="B20" s="456"/>
      <c r="C20" s="447"/>
      <c r="D20" s="448"/>
      <c r="E20" s="2602"/>
      <c r="F20" s="448"/>
      <c r="G20" s="2603"/>
      <c r="H20" s="448"/>
      <c r="I20" s="2603"/>
      <c r="J20" s="448"/>
      <c r="K20" s="2604"/>
      <c r="L20" s="1136"/>
      <c r="M20" s="1127"/>
      <c r="N20" s="1127"/>
      <c r="O20" s="1127"/>
      <c r="P20" s="3232"/>
      <c r="Q20" s="1806"/>
      <c r="R20" s="774"/>
      <c r="S20" s="775"/>
      <c r="T20" s="774"/>
      <c r="U20" s="775"/>
      <c r="V20" s="774"/>
      <c r="W20" s="775"/>
      <c r="X20" s="1809"/>
      <c r="Y20" s="3225"/>
      <c r="Z20" s="1810"/>
      <c r="AA20" s="1807">
        <v>1</v>
      </c>
      <c r="AB20" s="1807">
        <v>1</v>
      </c>
      <c r="AC20" s="1807">
        <v>1</v>
      </c>
    </row>
    <row r="21" spans="1:29" ht="28.5">
      <c r="A21" s="428"/>
      <c r="B21" s="1380" t="s">
        <v>2098</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32"/>
      <c r="Q21" s="1806" t="str">
        <f>B21</f>
        <v>基础设施水平</v>
      </c>
      <c r="R21" s="774" t="s">
        <v>17</v>
      </c>
      <c r="S21" s="775">
        <f>F21</f>
        <v>100</v>
      </c>
      <c r="T21" s="774" t="s">
        <v>17</v>
      </c>
      <c r="U21" s="775">
        <f>H21</f>
        <v>100</v>
      </c>
      <c r="V21" s="774" t="s">
        <v>17</v>
      </c>
      <c r="W21" s="775">
        <f>J21</f>
        <v>100</v>
      </c>
      <c r="X21" s="1809"/>
      <c r="Y21" s="3225"/>
      <c r="Z21" s="1810" t="str">
        <f>Q21</f>
        <v>基础设施水平</v>
      </c>
      <c r="AA21" s="1807">
        <f t="shared" ref="AA21" si="8">D21/F21</f>
        <v>1</v>
      </c>
      <c r="AB21" s="1807">
        <f t="shared" ref="AB21" si="9">D21/H21</f>
        <v>1</v>
      </c>
      <c r="AC21" s="1807">
        <f t="shared" ref="AC21" si="10">D21/J21</f>
        <v>1</v>
      </c>
    </row>
    <row r="22" spans="1:29" ht="15">
      <c r="A22" s="428"/>
      <c r="B22" s="1380"/>
      <c r="C22" s="2606"/>
      <c r="D22" s="448"/>
      <c r="E22" s="447"/>
      <c r="F22" s="448"/>
      <c r="G22" s="2609"/>
      <c r="H22" s="448"/>
      <c r="I22" s="447"/>
      <c r="J22" s="448"/>
      <c r="K22" s="2610"/>
      <c r="L22" s="1136"/>
      <c r="M22" s="1127"/>
      <c r="N22" s="1127"/>
      <c r="O22" s="1127"/>
      <c r="P22" s="3232"/>
      <c r="Q22" s="1806"/>
      <c r="R22" s="774"/>
      <c r="S22" s="775"/>
      <c r="T22" s="774"/>
      <c r="U22" s="775"/>
      <c r="V22" s="774"/>
      <c r="W22" s="775"/>
      <c r="X22" s="1809"/>
      <c r="Y22" s="3225"/>
      <c r="Z22" s="1810"/>
      <c r="AA22" s="1807">
        <v>1</v>
      </c>
      <c r="AB22" s="1807">
        <v>1</v>
      </c>
      <c r="AC22" s="1807">
        <v>1</v>
      </c>
    </row>
    <row r="23" spans="1:29" ht="57">
      <c r="A23" s="428"/>
      <c r="B23" s="451" t="s">
        <v>2102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32"/>
      <c r="Q23" s="1806" t="str">
        <f>B23</f>
        <v>自然及人文环境</v>
      </c>
      <c r="R23" s="774" t="s">
        <v>21</v>
      </c>
      <c r="S23" s="775">
        <f>F23</f>
        <v>100</v>
      </c>
      <c r="T23" s="774" t="s">
        <v>21</v>
      </c>
      <c r="U23" s="775">
        <f>H23</f>
        <v>100</v>
      </c>
      <c r="V23" s="774" t="s">
        <v>21</v>
      </c>
      <c r="W23" s="775">
        <f>J23</f>
        <v>100</v>
      </c>
      <c r="X23" s="1809"/>
      <c r="Y23" s="3225"/>
      <c r="Z23" s="1810" t="str">
        <f>Q23</f>
        <v>自然及人文环境</v>
      </c>
      <c r="AA23" s="1807">
        <f>D23/F23</f>
        <v>1</v>
      </c>
      <c r="AB23" s="1807">
        <f>D23/H23</f>
        <v>1</v>
      </c>
      <c r="AC23" s="1807">
        <f>D23/J23</f>
        <v>1</v>
      </c>
    </row>
    <row r="24" spans="1:29" ht="15">
      <c r="A24" s="428"/>
      <c r="B24" s="456"/>
      <c r="C24" s="447"/>
      <c r="D24" s="448"/>
      <c r="E24" s="2602"/>
      <c r="F24" s="448"/>
      <c r="G24" s="2603"/>
      <c r="H24" s="448"/>
      <c r="I24" s="2603"/>
      <c r="J24" s="448"/>
      <c r="K24" s="2604"/>
      <c r="L24" s="1136"/>
      <c r="M24" s="1127"/>
      <c r="N24" s="1127"/>
      <c r="O24" s="1127"/>
      <c r="P24" s="3232"/>
      <c r="Q24" s="1806"/>
      <c r="R24" s="774"/>
      <c r="S24" s="775"/>
      <c r="T24" s="774"/>
      <c r="U24" s="775"/>
      <c r="V24" s="774"/>
      <c r="W24" s="775"/>
      <c r="X24" s="1809"/>
      <c r="Y24" s="3225"/>
      <c r="Z24" s="1810"/>
      <c r="AA24" s="1807">
        <v>1</v>
      </c>
      <c r="AB24" s="1807">
        <v>1</v>
      </c>
      <c r="AC24" s="1807">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36"/>
      <c r="M25" s="1127"/>
      <c r="N25" s="1127"/>
      <c r="O25" s="1127"/>
      <c r="P25" s="3232"/>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25"/>
      <c r="Z25" s="1810" t="str">
        <f>Q25</f>
        <v>楼层-1</v>
      </c>
      <c r="AA25" s="1807">
        <f t="shared" ref="AA25:AA46" si="15">D25/F25</f>
        <v>1</v>
      </c>
      <c r="AB25" s="1807">
        <f t="shared" ref="AB25:AB46" si="16">D25/H25</f>
        <v>1</v>
      </c>
      <c r="AC25" s="1807">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36"/>
      <c r="M26" s="1127"/>
      <c r="N26" s="1127"/>
      <c r="O26" s="1127"/>
      <c r="P26" s="3232"/>
      <c r="Q26" s="1806" t="str">
        <f t="shared" si="11"/>
        <v>朝向</v>
      </c>
      <c r="R26" s="774" t="s">
        <v>21</v>
      </c>
      <c r="S26" s="775">
        <f t="shared" si="12"/>
        <v>100</v>
      </c>
      <c r="T26" s="774" t="s">
        <v>21</v>
      </c>
      <c r="U26" s="775">
        <f t="shared" si="13"/>
        <v>100</v>
      </c>
      <c r="V26" s="774" t="s">
        <v>21</v>
      </c>
      <c r="W26" s="775">
        <f t="shared" si="14"/>
        <v>100</v>
      </c>
      <c r="X26" s="1809"/>
      <c r="Y26" s="3225"/>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9"/>
      <c r="L27" s="1128"/>
      <c r="M27" s="1129"/>
      <c r="N27" s="1129"/>
      <c r="O27" s="1129"/>
      <c r="P27" s="3232"/>
      <c r="Q27" s="1791">
        <f t="shared" si="11"/>
        <v>111</v>
      </c>
      <c r="R27" s="770" t="s">
        <v>21</v>
      </c>
      <c r="S27" s="771">
        <f t="shared" si="12"/>
        <v>100</v>
      </c>
      <c r="T27" s="770" t="s">
        <v>21</v>
      </c>
      <c r="U27" s="771">
        <f t="shared" si="13"/>
        <v>100</v>
      </c>
      <c r="V27" s="770" t="s">
        <v>21</v>
      </c>
      <c r="W27" s="771">
        <f t="shared" si="14"/>
        <v>100</v>
      </c>
      <c r="X27" s="772"/>
      <c r="Y27" s="3225"/>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3"/>
      <c r="H28" s="435">
        <f>SUMIF(92:92,G28,93:93)-SUMIF(92:92,C28,93:93)+100</f>
        <v>100</v>
      </c>
      <c r="I28" s="434"/>
      <c r="J28" s="435">
        <f>SUMIF(92:92,I28,93:93)-SUMIF(92:92,C28,93:93)+100</f>
        <v>100</v>
      </c>
      <c r="K28" s="2599"/>
      <c r="L28" s="1136"/>
      <c r="M28" s="1127"/>
      <c r="N28" s="1127"/>
      <c r="O28" s="1127"/>
      <c r="P28" s="3232"/>
      <c r="Q28" s="1806">
        <f t="shared" si="11"/>
        <v>111</v>
      </c>
      <c r="R28" s="774" t="s">
        <v>21</v>
      </c>
      <c r="S28" s="775">
        <f t="shared" si="12"/>
        <v>100</v>
      </c>
      <c r="T28" s="774" t="s">
        <v>21</v>
      </c>
      <c r="U28" s="775">
        <f t="shared" si="13"/>
        <v>100</v>
      </c>
      <c r="V28" s="774" t="s">
        <v>21</v>
      </c>
      <c r="W28" s="775">
        <f t="shared" si="14"/>
        <v>100</v>
      </c>
      <c r="X28" s="1809"/>
      <c r="Y28" s="3225"/>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3"/>
      <c r="H29" s="435">
        <f>SUMIF(94:94,G29,95:95)-SUMIF(94:94,C29,95:95)+100</f>
        <v>100</v>
      </c>
      <c r="I29" s="434"/>
      <c r="J29" s="435">
        <f>SUMIF(94:94,I29,95:95)-SUMIF(94:94,C29,95:95)+100</f>
        <v>100</v>
      </c>
      <c r="K29" s="2599"/>
      <c r="L29" s="1136"/>
      <c r="M29" s="1127"/>
      <c r="N29" s="1127"/>
      <c r="O29" s="1127"/>
      <c r="P29" s="3232"/>
      <c r="Q29" s="1806">
        <f t="shared" si="11"/>
        <v>111</v>
      </c>
      <c r="R29" s="774" t="s">
        <v>21</v>
      </c>
      <c r="S29" s="775">
        <f t="shared" si="12"/>
        <v>100</v>
      </c>
      <c r="T29" s="774" t="s">
        <v>21</v>
      </c>
      <c r="U29" s="775">
        <f t="shared" si="13"/>
        <v>100</v>
      </c>
      <c r="V29" s="774" t="s">
        <v>21</v>
      </c>
      <c r="W29" s="775">
        <f t="shared" si="14"/>
        <v>100</v>
      </c>
      <c r="X29" s="1809"/>
      <c r="Y29" s="3225"/>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3"/>
      <c r="H30" s="435">
        <f>SUMIF(96:96,G30,97:97)-SUMIF(96:96,C30,97:97)+100</f>
        <v>100</v>
      </c>
      <c r="I30" s="434"/>
      <c r="J30" s="435">
        <f>SUMIF(96:96,I30,97:97)-SUMIF(96:96,C30,97:97)+100</f>
        <v>100</v>
      </c>
      <c r="K30" s="2599"/>
      <c r="L30" s="1136"/>
      <c r="M30" s="1127"/>
      <c r="N30" s="1127"/>
      <c r="O30" s="1127"/>
      <c r="P30" s="3232"/>
      <c r="Q30" s="1806">
        <f t="shared" si="11"/>
        <v>111</v>
      </c>
      <c r="R30" s="774" t="s">
        <v>21</v>
      </c>
      <c r="S30" s="775">
        <f t="shared" si="12"/>
        <v>100</v>
      </c>
      <c r="T30" s="774" t="s">
        <v>21</v>
      </c>
      <c r="U30" s="775">
        <f t="shared" si="13"/>
        <v>100</v>
      </c>
      <c r="V30" s="774" t="s">
        <v>21</v>
      </c>
      <c r="W30" s="775">
        <f t="shared" si="14"/>
        <v>100</v>
      </c>
      <c r="X30" s="1809"/>
      <c r="Y30" s="3225"/>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4"/>
      <c r="H31" s="438">
        <f>SUMIF(98:98,G31,99:99)-SUMIF(98:98,C31,99:99)+100</f>
        <v>100</v>
      </c>
      <c r="I31" s="437"/>
      <c r="J31" s="438">
        <f>SUMIF(98:98,I31,99:99)-SUMIF(98:98,C31,99:99)+100</f>
        <v>100</v>
      </c>
      <c r="K31" s="2599"/>
      <c r="L31" s="1136"/>
      <c r="M31" s="1127"/>
      <c r="N31" s="1127"/>
      <c r="O31" s="1127"/>
      <c r="P31" s="3232"/>
      <c r="Q31" s="1806">
        <f t="shared" si="11"/>
        <v>111</v>
      </c>
      <c r="R31" s="774" t="s">
        <v>21</v>
      </c>
      <c r="S31" s="775">
        <f t="shared" si="12"/>
        <v>100</v>
      </c>
      <c r="T31" s="774" t="s">
        <v>21</v>
      </c>
      <c r="U31" s="775">
        <f t="shared" si="13"/>
        <v>100</v>
      </c>
      <c r="V31" s="774" t="s">
        <v>21</v>
      </c>
      <c r="W31" s="775">
        <f t="shared" si="14"/>
        <v>100</v>
      </c>
      <c r="X31" s="1809"/>
      <c r="Y31" s="3225"/>
      <c r="Z31" s="1810">
        <f t="shared" si="18"/>
        <v>111</v>
      </c>
      <c r="AA31" s="1807">
        <f t="shared" si="15"/>
        <v>1</v>
      </c>
      <c r="AB31" s="1807">
        <f t="shared" si="16"/>
        <v>1</v>
      </c>
      <c r="AC31" s="1807">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6"/>
      <c r="M32" s="1127"/>
      <c r="N32" s="1127"/>
      <c r="O32" s="1127"/>
      <c r="P32" s="3226" t="s">
        <v>2564</v>
      </c>
      <c r="Q32" s="1806" t="str">
        <f t="shared" si="11"/>
        <v>建筑类型</v>
      </c>
      <c r="R32" s="774" t="s">
        <v>21</v>
      </c>
      <c r="S32" s="775">
        <f t="shared" si="12"/>
        <v>100</v>
      </c>
      <c r="T32" s="774" t="s">
        <v>21</v>
      </c>
      <c r="U32" s="775">
        <f t="shared" si="13"/>
        <v>100</v>
      </c>
      <c r="V32" s="774" t="s">
        <v>21</v>
      </c>
      <c r="W32" s="775">
        <f t="shared" si="14"/>
        <v>100</v>
      </c>
      <c r="X32" s="1809"/>
      <c r="Y32" s="3229" t="s">
        <v>2564</v>
      </c>
      <c r="Z32" s="1810" t="str">
        <f t="shared" si="18"/>
        <v>建筑类型</v>
      </c>
      <c r="AA32" s="1807">
        <f t="shared" si="15"/>
        <v>1</v>
      </c>
      <c r="AB32" s="1807">
        <f t="shared" si="16"/>
        <v>1</v>
      </c>
      <c r="AC32" s="1807">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4"/>
      <c r="M33" s="1137"/>
      <c r="N33" s="1137"/>
      <c r="O33" s="1137"/>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07" t="e">
        <f t="shared" si="15"/>
        <v>#N/A</v>
      </c>
      <c r="AB33" s="1807" t="e">
        <f t="shared" si="16"/>
        <v>#N/A</v>
      </c>
      <c r="AC33" s="1807"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6"/>
      <c r="M34" s="1127"/>
      <c r="N34" s="1127"/>
      <c r="O34" s="1127"/>
      <c r="P34" s="3227"/>
      <c r="Q34" s="1806" t="str">
        <f t="shared" si="11"/>
        <v>建筑结构</v>
      </c>
      <c r="R34" s="774" t="s">
        <v>21</v>
      </c>
      <c r="S34" s="775">
        <f t="shared" si="12"/>
        <v>100</v>
      </c>
      <c r="T34" s="774" t="s">
        <v>21</v>
      </c>
      <c r="U34" s="775">
        <f t="shared" si="13"/>
        <v>100</v>
      </c>
      <c r="V34" s="774" t="s">
        <v>21</v>
      </c>
      <c r="W34" s="775">
        <f t="shared" si="14"/>
        <v>100</v>
      </c>
      <c r="X34" s="1809"/>
      <c r="Y34" s="3229"/>
      <c r="Z34" s="1810" t="str">
        <f t="shared" si="18"/>
        <v>建筑结构</v>
      </c>
      <c r="AA34" s="1807">
        <f t="shared" si="15"/>
        <v>1</v>
      </c>
      <c r="AB34" s="1807">
        <f t="shared" si="16"/>
        <v>1</v>
      </c>
      <c r="AC34" s="1807">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6"/>
      <c r="M35" s="1127"/>
      <c r="N35" s="1127"/>
      <c r="O35" s="1127"/>
      <c r="P35" s="3227"/>
      <c r="Q35" s="1806" t="str">
        <f t="shared" si="11"/>
        <v>建筑品质</v>
      </c>
      <c r="R35" s="774" t="s">
        <v>21</v>
      </c>
      <c r="S35" s="775">
        <f t="shared" si="12"/>
        <v>100</v>
      </c>
      <c r="T35" s="774" t="s">
        <v>21</v>
      </c>
      <c r="U35" s="775">
        <f t="shared" si="13"/>
        <v>100</v>
      </c>
      <c r="V35" s="774" t="s">
        <v>21</v>
      </c>
      <c r="W35" s="775">
        <f t="shared" si="14"/>
        <v>100</v>
      </c>
      <c r="X35" s="1809"/>
      <c r="Y35" s="3229"/>
      <c r="Z35" s="1810" t="str">
        <f t="shared" si="18"/>
        <v>建筑品质</v>
      </c>
      <c r="AA35" s="1807">
        <f t="shared" si="15"/>
        <v>1</v>
      </c>
      <c r="AB35" s="1807">
        <f t="shared" si="16"/>
        <v>1</v>
      </c>
      <c r="AC35" s="1807">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6"/>
      <c r="M36" s="1127"/>
      <c r="N36" s="1127"/>
      <c r="O36" s="1127"/>
      <c r="P36" s="3227"/>
      <c r="Q36" s="1806" t="str">
        <f t="shared" si="11"/>
        <v>公共部分装修</v>
      </c>
      <c r="R36" s="774" t="s">
        <v>21</v>
      </c>
      <c r="S36" s="775">
        <f t="shared" si="12"/>
        <v>100</v>
      </c>
      <c r="T36" s="774" t="s">
        <v>21</v>
      </c>
      <c r="U36" s="775">
        <f t="shared" si="13"/>
        <v>100</v>
      </c>
      <c r="V36" s="774" t="s">
        <v>21</v>
      </c>
      <c r="W36" s="775">
        <f t="shared" si="14"/>
        <v>100</v>
      </c>
      <c r="X36" s="1809"/>
      <c r="Y36" s="3229"/>
      <c r="Z36" s="1810" t="str">
        <f t="shared" si="18"/>
        <v>公共部分装修</v>
      </c>
      <c r="AA36" s="1807">
        <f t="shared" si="15"/>
        <v>1</v>
      </c>
      <c r="AB36" s="1807">
        <f t="shared" si="16"/>
        <v>1</v>
      </c>
      <c r="AC36" s="1807">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7"/>
      <c r="Q37" s="1791"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6"/>
      <c r="M38" s="1127"/>
      <c r="N38" s="1127"/>
      <c r="O38" s="1127"/>
      <c r="P38" s="3227" t="s">
        <v>2564</v>
      </c>
      <c r="Q38" s="1806" t="str">
        <f t="shared" si="11"/>
        <v>物业管理</v>
      </c>
      <c r="R38" s="774" t="s">
        <v>21</v>
      </c>
      <c r="S38" s="775">
        <f t="shared" si="12"/>
        <v>100</v>
      </c>
      <c r="T38" s="774" t="s">
        <v>21</v>
      </c>
      <c r="U38" s="775">
        <f t="shared" si="13"/>
        <v>100</v>
      </c>
      <c r="V38" s="774" t="s">
        <v>21</v>
      </c>
      <c r="W38" s="775">
        <f t="shared" si="14"/>
        <v>100</v>
      </c>
      <c r="X38" s="1809"/>
      <c r="Y38" s="3229" t="s">
        <v>2564</v>
      </c>
      <c r="Z38" s="1810" t="str">
        <f t="shared" si="18"/>
        <v>物业管理</v>
      </c>
      <c r="AA38" s="1807">
        <f t="shared" si="15"/>
        <v>1</v>
      </c>
      <c r="AB38" s="1807">
        <f t="shared" si="16"/>
        <v>1</v>
      </c>
      <c r="AC38" s="1807">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6"/>
      <c r="M39" s="1127"/>
      <c r="N39" s="1127"/>
      <c r="O39" s="1127"/>
      <c r="P39" s="3227"/>
      <c r="Q39" s="1806" t="str">
        <f t="shared" si="11"/>
        <v>市政基础设施</v>
      </c>
      <c r="R39" s="774" t="s">
        <v>21</v>
      </c>
      <c r="S39" s="775">
        <f t="shared" si="12"/>
        <v>100</v>
      </c>
      <c r="T39" s="774" t="s">
        <v>21</v>
      </c>
      <c r="U39" s="775">
        <f t="shared" si="13"/>
        <v>100</v>
      </c>
      <c r="V39" s="774" t="s">
        <v>21</v>
      </c>
      <c r="W39" s="775">
        <f t="shared" si="14"/>
        <v>100</v>
      </c>
      <c r="X39" s="1809"/>
      <c r="Y39" s="3229"/>
      <c r="Z39" s="1810" t="str">
        <f t="shared" si="18"/>
        <v>市政基础设施</v>
      </c>
      <c r="AA39" s="1807">
        <f t="shared" si="15"/>
        <v>1</v>
      </c>
      <c r="AB39" s="1807">
        <f t="shared" si="16"/>
        <v>1</v>
      </c>
      <c r="AC39" s="1807">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6"/>
      <c r="M40" s="1127"/>
      <c r="N40" s="1127"/>
      <c r="O40" s="1127"/>
      <c r="P40" s="3227"/>
      <c r="Q40" s="1806" t="str">
        <f t="shared" si="11"/>
        <v>房型</v>
      </c>
      <c r="R40" s="774" t="s">
        <v>21</v>
      </c>
      <c r="S40" s="775">
        <f t="shared" si="12"/>
        <v>100</v>
      </c>
      <c r="T40" s="774" t="s">
        <v>21</v>
      </c>
      <c r="U40" s="775">
        <f t="shared" si="13"/>
        <v>100</v>
      </c>
      <c r="V40" s="774" t="s">
        <v>21</v>
      </c>
      <c r="W40" s="775">
        <f t="shared" si="14"/>
        <v>100</v>
      </c>
      <c r="X40" s="1809"/>
      <c r="Y40" s="3229"/>
      <c r="Z40" s="1810" t="str">
        <f t="shared" si="18"/>
        <v>房型</v>
      </c>
      <c r="AA40" s="1807">
        <f t="shared" si="15"/>
        <v>1</v>
      </c>
      <c r="AB40" s="1807">
        <f t="shared" si="16"/>
        <v>1</v>
      </c>
      <c r="AC40" s="1807">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4"/>
      <c r="M41" s="1137"/>
      <c r="N41" s="1137"/>
      <c r="O41" s="1137"/>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07">
        <f t="shared" si="15"/>
        <v>1</v>
      </c>
      <c r="AB41" s="1807">
        <f t="shared" si="16"/>
        <v>1</v>
      </c>
      <c r="AC41" s="1807">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6"/>
      <c r="M42" s="1127"/>
      <c r="N42" s="1127"/>
      <c r="O42" s="1127"/>
      <c r="P42" s="3227"/>
      <c r="Q42" s="1806" t="str">
        <f t="shared" si="11"/>
        <v>内部装修</v>
      </c>
      <c r="R42" s="774" t="s">
        <v>21</v>
      </c>
      <c r="S42" s="775">
        <f t="shared" si="12"/>
        <v>100</v>
      </c>
      <c r="T42" s="774" t="s">
        <v>21</v>
      </c>
      <c r="U42" s="775">
        <f t="shared" si="13"/>
        <v>100</v>
      </c>
      <c r="V42" s="774" t="s">
        <v>21</v>
      </c>
      <c r="W42" s="775">
        <f t="shared" si="14"/>
        <v>100</v>
      </c>
      <c r="X42" s="1809"/>
      <c r="Y42" s="3229"/>
      <c r="Z42" s="1810" t="str">
        <f t="shared" si="18"/>
        <v>内部装修</v>
      </c>
      <c r="AA42" s="1807">
        <f t="shared" si="15"/>
        <v>1</v>
      </c>
      <c r="AB42" s="1807">
        <f t="shared" si="16"/>
        <v>1</v>
      </c>
      <c r="AC42" s="1807">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6"/>
      <c r="M43" s="1127"/>
      <c r="N43" s="1127"/>
      <c r="O43" s="1127"/>
      <c r="P43" s="3227"/>
      <c r="Q43" s="1806" t="str">
        <f t="shared" si="11"/>
        <v>内部装修维护情况</v>
      </c>
      <c r="R43" s="774" t="s">
        <v>21</v>
      </c>
      <c r="S43" s="775">
        <f t="shared" si="12"/>
        <v>100</v>
      </c>
      <c r="T43" s="774" t="s">
        <v>21</v>
      </c>
      <c r="U43" s="775">
        <f t="shared" si="13"/>
        <v>100</v>
      </c>
      <c r="V43" s="774" t="s">
        <v>21</v>
      </c>
      <c r="W43" s="775">
        <f t="shared" si="14"/>
        <v>100</v>
      </c>
      <c r="X43" s="1809"/>
      <c r="Y43" s="3229"/>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8"/>
      <c r="M44" s="1129"/>
      <c r="N44" s="1129"/>
      <c r="O44" s="1129"/>
      <c r="P44" s="3227"/>
      <c r="Q44" s="1791">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6"/>
      <c r="M45" s="1127"/>
      <c r="N45" s="1127"/>
      <c r="O45" s="1127"/>
      <c r="P45" s="3227"/>
      <c r="Q45" s="1806">
        <f t="shared" si="11"/>
        <v>111</v>
      </c>
      <c r="R45" s="774" t="s">
        <v>21</v>
      </c>
      <c r="S45" s="775">
        <f t="shared" si="12"/>
        <v>100</v>
      </c>
      <c r="T45" s="774" t="s">
        <v>21</v>
      </c>
      <c r="U45" s="775">
        <f t="shared" si="13"/>
        <v>100</v>
      </c>
      <c r="V45" s="774" t="s">
        <v>21</v>
      </c>
      <c r="W45" s="775">
        <f t="shared" si="14"/>
        <v>100</v>
      </c>
      <c r="X45" s="1809"/>
      <c r="Y45" s="3229"/>
      <c r="Z45" s="1810">
        <f t="shared" si="18"/>
        <v>111</v>
      </c>
      <c r="AA45" s="1807">
        <f t="shared" si="15"/>
        <v>1</v>
      </c>
      <c r="AB45" s="1807">
        <f t="shared" si="16"/>
        <v>1</v>
      </c>
      <c r="AC45" s="1807">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6"/>
      <c r="M46" s="1127"/>
      <c r="N46" s="1127"/>
      <c r="O46" s="1127"/>
      <c r="P46" s="3228"/>
      <c r="Q46" s="1806">
        <f t="shared" si="11"/>
        <v>111</v>
      </c>
      <c r="R46" s="774" t="s">
        <v>20</v>
      </c>
      <c r="S46" s="775">
        <f t="shared" si="12"/>
        <v>100</v>
      </c>
      <c r="T46" s="774" t="s">
        <v>20</v>
      </c>
      <c r="U46" s="775">
        <f t="shared" si="13"/>
        <v>100</v>
      </c>
      <c r="V46" s="774" t="s">
        <v>20</v>
      </c>
      <c r="W46" s="775">
        <f t="shared" si="14"/>
        <v>100</v>
      </c>
      <c r="X46" s="1809"/>
      <c r="Y46" s="3230"/>
      <c r="Z46" s="1810">
        <f t="shared" si="18"/>
        <v>111</v>
      </c>
      <c r="AA46" s="1807">
        <f t="shared" si="15"/>
        <v>1</v>
      </c>
      <c r="AB46" s="1807">
        <f t="shared" si="16"/>
        <v>1</v>
      </c>
      <c r="AC46" s="1807">
        <f t="shared" si="17"/>
        <v>1</v>
      </c>
    </row>
    <row r="47" spans="1:29" ht="15">
      <c r="A47" s="479" t="s">
        <v>2576</v>
      </c>
      <c r="B47" s="480"/>
      <c r="C47" s="1403" t="s">
        <v>19</v>
      </c>
      <c r="D47" s="1404"/>
      <c r="E47" s="1405"/>
      <c r="F47" s="1406"/>
      <c r="G47" s="1407"/>
      <c r="H47" s="1408"/>
      <c r="I47" s="1405"/>
      <c r="J47" s="1408"/>
      <c r="K47" s="2619"/>
      <c r="L47" s="1139"/>
      <c r="M47" s="1140"/>
      <c r="N47" s="1127"/>
      <c r="O47" s="1140"/>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2577</v>
      </c>
      <c r="B48" s="487"/>
      <c r="C48" s="1409" t="e">
        <f>R49</f>
        <v>#DIV/0!</v>
      </c>
      <c r="D48" s="1410"/>
      <c r="E48" s="1411" t="e">
        <f>R48</f>
        <v>#DIV/0!</v>
      </c>
      <c r="F48" s="1411"/>
      <c r="G48" s="1409" t="e">
        <f>T48</f>
        <v>#DIV/0!</v>
      </c>
      <c r="H48" s="1410"/>
      <c r="I48" s="1411" t="e">
        <f>V48</f>
        <v>#DIV/0!</v>
      </c>
      <c r="J48" s="1410"/>
      <c r="K48" s="2620"/>
      <c r="L48" s="1139"/>
      <c r="M48" s="1140"/>
      <c r="N48" s="1140"/>
      <c r="O48" s="1140"/>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2578</v>
      </c>
      <c r="B49" s="493"/>
      <c r="C49" s="1412" t="e">
        <f>R49</f>
        <v>#DIV/0!</v>
      </c>
      <c r="D49" s="1413"/>
      <c r="E49" s="1413"/>
      <c r="F49" s="1413"/>
      <c r="G49" s="1413"/>
      <c r="H49" s="1413"/>
      <c r="I49" s="1413"/>
      <c r="J49" s="1413"/>
      <c r="K49" s="2621"/>
      <c r="L49" s="1139"/>
      <c r="M49" s="1140"/>
      <c r="N49" s="1140"/>
      <c r="O49" s="1140"/>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3"/>
    </row>
    <row r="55" spans="1:29" s="502"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63" t="s">
        <v>2582</v>
      </c>
      <c r="B57" s="759"/>
      <c r="C57" s="764"/>
      <c r="D57" s="764"/>
      <c r="E57" s="764"/>
      <c r="F57" s="765"/>
      <c r="G57" s="765"/>
      <c r="H57" s="764"/>
      <c r="I57" s="764"/>
      <c r="J57" s="764"/>
      <c r="K57" s="1156"/>
      <c r="L57" s="1157"/>
      <c r="M57" s="1155"/>
      <c r="N57" s="1155"/>
      <c r="O57" s="1155"/>
      <c r="P57" s="2624"/>
      <c r="Q57" s="504"/>
    </row>
    <row r="58" spans="1:29" s="508" customFormat="1" ht="15">
      <c r="A58" s="505" t="s">
        <v>2583</v>
      </c>
      <c r="B58" s="506"/>
      <c r="C58" s="1572" t="str">
        <f>YEAR(C7)&amp;"-"&amp;MONTH(C7)</f>
        <v>2019-10</v>
      </c>
      <c r="D58" s="1571">
        <f>EDATE(C58,-1)</f>
        <v>43709</v>
      </c>
      <c r="E58" s="1571">
        <f>EDATE(D58,-1)</f>
        <v>43678</v>
      </c>
      <c r="F58" s="1571">
        <f t="shared" ref="F58:O58" si="19">EDATE(E58,-1)</f>
        <v>43647</v>
      </c>
      <c r="G58" s="1571">
        <f t="shared" si="19"/>
        <v>43617</v>
      </c>
      <c r="H58" s="1571">
        <f t="shared" si="19"/>
        <v>43586</v>
      </c>
      <c r="I58" s="1571">
        <f t="shared" si="19"/>
        <v>43556</v>
      </c>
      <c r="J58" s="1571">
        <f t="shared" si="19"/>
        <v>43525</v>
      </c>
      <c r="K58" s="1571">
        <f t="shared" si="19"/>
        <v>43497</v>
      </c>
      <c r="L58" s="1571">
        <f t="shared" si="19"/>
        <v>43466</v>
      </c>
      <c r="M58" s="1571">
        <f t="shared" si="19"/>
        <v>43435</v>
      </c>
      <c r="N58" s="1571">
        <f t="shared" si="19"/>
        <v>43405</v>
      </c>
      <c r="O58" s="1571">
        <f t="shared" si="19"/>
        <v>43374</v>
      </c>
      <c r="P58" s="1566"/>
    </row>
    <row r="59" spans="1:29" s="117" customFormat="1" ht="15">
      <c r="A59" s="509"/>
      <c r="B59" s="2625"/>
      <c r="C59" s="1569">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47"/>
      <c r="O61" s="1147"/>
      <c r="P61" s="2627"/>
      <c r="Q61" s="504"/>
    </row>
    <row r="62" spans="1:29" s="117" customFormat="1" ht="15.75" thickBot="1">
      <c r="A62" s="521"/>
      <c r="B62" s="510"/>
      <c r="C62" s="511">
        <v>100</v>
      </c>
      <c r="D62" s="512"/>
      <c r="E62" s="512"/>
      <c r="F62" s="512"/>
      <c r="G62" s="512"/>
      <c r="H62" s="512"/>
      <c r="I62" s="512"/>
      <c r="J62" s="512"/>
      <c r="K62" s="512"/>
      <c r="L62" s="512"/>
      <c r="M62" s="514"/>
      <c r="N62" s="1147"/>
      <c r="O62" s="1147"/>
      <c r="P62" s="2626"/>
      <c r="Q62" s="504"/>
    </row>
    <row r="63" spans="1:29">
      <c r="A63" s="527" t="s">
        <v>2587</v>
      </c>
      <c r="B63" s="528" t="s">
        <v>2553</v>
      </c>
      <c r="C63" s="529">
        <f>C9</f>
        <v>0</v>
      </c>
      <c r="D63" s="530"/>
      <c r="E63" s="530"/>
      <c r="F63" s="530"/>
      <c r="G63" s="530"/>
      <c r="H63" s="530"/>
      <c r="I63" s="530"/>
      <c r="J63" s="530"/>
      <c r="K63" s="531"/>
      <c r="L63" s="532"/>
      <c r="M63" s="533"/>
      <c r="N63" s="1148"/>
      <c r="O63" s="1148"/>
      <c r="P63" s="2628"/>
      <c r="Q63" s="504"/>
    </row>
    <row r="64" spans="1:29" ht="15.75" thickBot="1">
      <c r="A64" s="534"/>
      <c r="B64" s="535"/>
      <c r="C64" s="536">
        <v>100</v>
      </c>
      <c r="D64" s="536"/>
      <c r="E64" s="536"/>
      <c r="F64" s="536"/>
      <c r="G64" s="536"/>
      <c r="H64" s="536"/>
      <c r="I64" s="536"/>
      <c r="J64" s="536"/>
      <c r="K64" s="536"/>
      <c r="L64" s="536"/>
      <c r="M64" s="537"/>
      <c r="N64" s="1149"/>
      <c r="O64" s="1149"/>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8"/>
      <c r="O65" s="1148"/>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8"/>
      <c r="Q67" s="504"/>
    </row>
    <row r="68" spans="1:17" ht="15">
      <c r="A68" s="534"/>
      <c r="B68" s="548"/>
      <c r="C68" s="549"/>
      <c r="D68" s="549"/>
      <c r="E68" s="549"/>
      <c r="F68" s="549"/>
      <c r="G68" s="549"/>
      <c r="H68" s="549"/>
      <c r="I68" s="549"/>
      <c r="J68" s="549"/>
      <c r="K68" s="550"/>
      <c r="L68" s="551"/>
      <c r="M68" s="552"/>
      <c r="N68" s="1148"/>
      <c r="O68" s="1148"/>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8"/>
      <c r="Q69" s="504"/>
    </row>
    <row r="70" spans="1:17" s="471" customFormat="1" ht="15.75" thickTop="1">
      <c r="A70" s="553"/>
      <c r="B70" s="538">
        <f>B12</f>
        <v>111</v>
      </c>
      <c r="C70" s="554"/>
      <c r="D70" s="554"/>
      <c r="E70" s="554"/>
      <c r="F70" s="554"/>
      <c r="G70" s="554"/>
      <c r="H70" s="555"/>
      <c r="I70" s="555"/>
      <c r="J70" s="555"/>
      <c r="K70" s="555"/>
      <c r="L70" s="556"/>
      <c r="M70" s="557"/>
      <c r="N70" s="1150"/>
      <c r="O70" s="1150"/>
      <c r="P70" s="2629"/>
      <c r="Q70" s="559"/>
    </row>
    <row r="71" spans="1:17" s="471" customFormat="1" ht="15.75" thickBot="1">
      <c r="A71" s="553"/>
      <c r="B71" s="543"/>
      <c r="C71" s="560"/>
      <c r="D71" s="536"/>
      <c r="E71" s="536"/>
      <c r="F71" s="536"/>
      <c r="G71" s="536"/>
      <c r="H71" s="536"/>
      <c r="I71" s="536"/>
      <c r="J71" s="536"/>
      <c r="K71" s="536"/>
      <c r="L71" s="536"/>
      <c r="M71" s="537"/>
      <c r="N71" s="1149"/>
      <c r="O71" s="1149"/>
      <c r="P71" s="2629"/>
      <c r="Q71" s="559"/>
    </row>
    <row r="72" spans="1:17" s="471" customFormat="1" ht="15.75" thickTop="1">
      <c r="A72" s="553"/>
      <c r="B72" s="538">
        <f>B13</f>
        <v>111</v>
      </c>
      <c r="C72" s="554"/>
      <c r="D72" s="554"/>
      <c r="E72" s="554"/>
      <c r="F72" s="554"/>
      <c r="G72" s="554"/>
      <c r="H72" s="555"/>
      <c r="I72" s="555"/>
      <c r="J72" s="555"/>
      <c r="K72" s="555"/>
      <c r="L72" s="556"/>
      <c r="M72" s="557"/>
      <c r="N72" s="1150"/>
      <c r="O72" s="1150"/>
      <c r="P72" s="2630"/>
      <c r="Q72" s="561"/>
    </row>
    <row r="73" spans="1:17" s="471" customFormat="1" ht="15.75" thickBot="1">
      <c r="A73" s="553"/>
      <c r="B73" s="543"/>
      <c r="C73" s="560"/>
      <c r="D73" s="560"/>
      <c r="E73" s="560"/>
      <c r="F73" s="560"/>
      <c r="G73" s="560"/>
      <c r="H73" s="562"/>
      <c r="I73" s="562"/>
      <c r="J73" s="562"/>
      <c r="K73" s="562"/>
      <c r="L73" s="562"/>
      <c r="M73" s="563"/>
      <c r="N73" s="1150"/>
      <c r="O73" s="1150"/>
      <c r="P73" s="2629"/>
      <c r="Q73" s="559"/>
    </row>
    <row r="74" spans="1:17" s="471" customFormat="1" ht="15.75" thickTop="1">
      <c r="A74" s="553"/>
      <c r="B74" s="546">
        <f>B14</f>
        <v>111</v>
      </c>
      <c r="C74" s="554"/>
      <c r="D74" s="554"/>
      <c r="E74" s="554"/>
      <c r="F74" s="554"/>
      <c r="G74" s="523"/>
      <c r="H74" s="564"/>
      <c r="I74" s="564"/>
      <c r="J74" s="564"/>
      <c r="K74" s="564"/>
      <c r="L74" s="565"/>
      <c r="M74" s="566"/>
      <c r="N74" s="1150"/>
      <c r="O74" s="1150"/>
      <c r="P74" s="2631"/>
      <c r="Q74" s="559"/>
    </row>
    <row r="75" spans="1:17" s="471" customFormat="1" ht="15.75" thickBot="1">
      <c r="A75" s="568"/>
      <c r="B75" s="569"/>
      <c r="C75" s="570"/>
      <c r="D75" s="570"/>
      <c r="E75" s="570"/>
      <c r="F75" s="570"/>
      <c r="G75" s="570"/>
      <c r="H75" s="571"/>
      <c r="I75" s="571"/>
      <c r="J75" s="571"/>
      <c r="K75" s="571"/>
      <c r="L75" s="571"/>
      <c r="M75" s="572"/>
      <c r="N75" s="1150"/>
      <c r="O75" s="1150"/>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8"/>
      <c r="O76" s="1148"/>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8"/>
      <c r="O78" s="1148"/>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8"/>
      <c r="O80" s="1148"/>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8"/>
      <c r="Q81" s="504"/>
    </row>
    <row r="82" spans="1:17" ht="15.75" thickTop="1">
      <c r="A82" s="534"/>
      <c r="B82" s="546" t="s">
        <v>2098</v>
      </c>
      <c r="C82" s="539" t="s">
        <v>2603</v>
      </c>
      <c r="D82" s="539" t="s">
        <v>2604</v>
      </c>
      <c r="E82" s="539" t="s">
        <v>2605</v>
      </c>
      <c r="F82" s="539" t="s">
        <v>2606</v>
      </c>
      <c r="G82" s="539" t="s">
        <v>2607</v>
      </c>
      <c r="H82" s="539"/>
      <c r="I82" s="539"/>
      <c r="J82" s="539"/>
      <c r="K82" s="539"/>
      <c r="L82" s="539"/>
      <c r="M82" s="1378"/>
      <c r="N82" s="1149"/>
      <c r="O82" s="1149"/>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8"/>
      <c r="O84" s="1148"/>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8"/>
      <c r="Q85" s="504"/>
    </row>
    <row r="86" spans="1:17" s="117" customFormat="1" ht="15.75" thickTop="1">
      <c r="A86" s="579"/>
      <c r="B86" s="538" t="s">
        <v>2609</v>
      </c>
      <c r="C86" s="554"/>
      <c r="D86" s="554"/>
      <c r="E86" s="554"/>
      <c r="F86" s="554"/>
      <c r="G86" s="554"/>
      <c r="H86" s="554"/>
      <c r="I86" s="554"/>
      <c r="J86" s="554"/>
      <c r="K86" s="554"/>
      <c r="L86" s="580"/>
      <c r="M86" s="581"/>
      <c r="N86" s="1147"/>
      <c r="O86" s="1147"/>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8"/>
      <c r="Q87" s="504"/>
    </row>
    <row r="88" spans="1:17" s="117" customFormat="1" ht="15.75" thickTop="1">
      <c r="A88" s="579"/>
      <c r="B88" s="538" t="s">
        <v>2610</v>
      </c>
      <c r="C88" s="554"/>
      <c r="D88" s="554"/>
      <c r="E88" s="554"/>
      <c r="F88" s="2633"/>
      <c r="G88" s="554"/>
      <c r="H88" s="554"/>
      <c r="I88" s="554"/>
      <c r="J88" s="554"/>
      <c r="K88" s="554"/>
      <c r="L88" s="554"/>
      <c r="M88" s="581"/>
      <c r="N88" s="1147"/>
      <c r="O88" s="1147"/>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8"/>
      <c r="Q89" s="504"/>
    </row>
    <row r="90" spans="1:17" s="471" customFormat="1" ht="15.75" thickTop="1">
      <c r="A90" s="553"/>
      <c r="B90" s="538">
        <f>B27</f>
        <v>111</v>
      </c>
      <c r="C90" s="554"/>
      <c r="D90" s="554"/>
      <c r="E90" s="554"/>
      <c r="F90" s="554"/>
      <c r="G90" s="554"/>
      <c r="H90" s="555"/>
      <c r="I90" s="555"/>
      <c r="J90" s="555"/>
      <c r="K90" s="555"/>
      <c r="L90" s="556"/>
      <c r="M90" s="557"/>
      <c r="N90" s="1150"/>
      <c r="O90" s="1150"/>
      <c r="P90" s="2629"/>
      <c r="Q90" s="559"/>
    </row>
    <row r="91" spans="1:17" s="471" customFormat="1" ht="15.75" thickBot="1">
      <c r="A91" s="553"/>
      <c r="B91" s="543"/>
      <c r="C91" s="560"/>
      <c r="D91" s="560"/>
      <c r="E91" s="560"/>
      <c r="F91" s="560"/>
      <c r="G91" s="560"/>
      <c r="H91" s="562"/>
      <c r="I91" s="562"/>
      <c r="J91" s="562"/>
      <c r="K91" s="562"/>
      <c r="L91" s="562"/>
      <c r="M91" s="563"/>
      <c r="N91" s="1150"/>
      <c r="O91" s="1150"/>
      <c r="P91" s="2629"/>
      <c r="Q91" s="559"/>
    </row>
    <row r="92" spans="1:17" ht="15.75" thickTop="1">
      <c r="A92" s="534"/>
      <c r="B92" s="538">
        <f>B28</f>
        <v>111</v>
      </c>
      <c r="C92" s="554"/>
      <c r="D92" s="554"/>
      <c r="E92" s="554"/>
      <c r="F92" s="554"/>
      <c r="G92" s="583"/>
      <c r="H92" s="583"/>
      <c r="I92" s="583"/>
      <c r="J92" s="583"/>
      <c r="K92" s="584"/>
      <c r="L92" s="585"/>
      <c r="M92" s="586"/>
      <c r="N92" s="1148"/>
      <c r="O92" s="1148"/>
      <c r="P92" s="2628"/>
      <c r="Q92" s="504"/>
    </row>
    <row r="93" spans="1:17" ht="15.75" thickBot="1">
      <c r="A93" s="534"/>
      <c r="B93" s="543"/>
      <c r="C93" s="560"/>
      <c r="D93" s="536"/>
      <c r="E93" s="536"/>
      <c r="F93" s="536"/>
      <c r="G93" s="536"/>
      <c r="H93" s="536"/>
      <c r="I93" s="536"/>
      <c r="J93" s="536"/>
      <c r="K93" s="536"/>
      <c r="L93" s="536"/>
      <c r="M93" s="537"/>
      <c r="N93" s="1149"/>
      <c r="O93" s="1149"/>
      <c r="P93" s="2628"/>
      <c r="Q93" s="504"/>
    </row>
    <row r="94" spans="1:17" ht="15.75" thickTop="1">
      <c r="A94" s="534"/>
      <c r="B94" s="538">
        <f>B29</f>
        <v>111</v>
      </c>
      <c r="C94" s="554"/>
      <c r="D94" s="554"/>
      <c r="E94" s="554"/>
      <c r="F94" s="554"/>
      <c r="G94" s="583"/>
      <c r="H94" s="583"/>
      <c r="I94" s="583"/>
      <c r="J94" s="583"/>
      <c r="K94" s="584"/>
      <c r="L94" s="585"/>
      <c r="M94" s="586"/>
      <c r="N94" s="1148"/>
      <c r="O94" s="1148"/>
      <c r="P94" s="2628"/>
      <c r="Q94" s="504"/>
    </row>
    <row r="95" spans="1:17" ht="15.75" thickBot="1">
      <c r="A95" s="534"/>
      <c r="B95" s="543"/>
      <c r="C95" s="560"/>
      <c r="D95" s="560"/>
      <c r="E95" s="560"/>
      <c r="F95" s="560"/>
      <c r="G95" s="536"/>
      <c r="H95" s="536"/>
      <c r="I95" s="536"/>
      <c r="J95" s="536"/>
      <c r="K95" s="536"/>
      <c r="L95" s="536"/>
      <c r="M95" s="537"/>
      <c r="N95" s="1149"/>
      <c r="O95" s="1149"/>
      <c r="P95" s="2628"/>
      <c r="Q95" s="504"/>
    </row>
    <row r="96" spans="1:17" ht="15.75" thickTop="1">
      <c r="A96" s="534"/>
      <c r="B96" s="538">
        <f>B30</f>
        <v>111</v>
      </c>
      <c r="C96" s="554"/>
      <c r="D96" s="554"/>
      <c r="E96" s="554"/>
      <c r="F96" s="554"/>
      <c r="G96" s="583"/>
      <c r="H96" s="583"/>
      <c r="I96" s="583"/>
      <c r="J96" s="583"/>
      <c r="K96" s="584"/>
      <c r="L96" s="585"/>
      <c r="M96" s="586"/>
      <c r="N96" s="1148"/>
      <c r="O96" s="1148"/>
      <c r="P96" s="2628"/>
      <c r="Q96" s="504"/>
    </row>
    <row r="97" spans="1:17" ht="15.75" thickBot="1">
      <c r="A97" s="534"/>
      <c r="B97" s="543"/>
      <c r="C97" s="570"/>
      <c r="D97" s="570"/>
      <c r="E97" s="570"/>
      <c r="F97" s="570"/>
      <c r="G97" s="536"/>
      <c r="H97" s="536"/>
      <c r="I97" s="536"/>
      <c r="J97" s="536"/>
      <c r="K97" s="536"/>
      <c r="L97" s="536"/>
      <c r="M97" s="537"/>
      <c r="N97" s="1149"/>
      <c r="O97" s="1149"/>
      <c r="P97" s="2628"/>
      <c r="Q97" s="504"/>
    </row>
    <row r="98" spans="1:17" ht="15.75" thickTop="1">
      <c r="A98" s="534"/>
      <c r="B98" s="546">
        <f>B31</f>
        <v>111</v>
      </c>
      <c r="C98" s="587"/>
      <c r="D98" s="587"/>
      <c r="E98" s="587"/>
      <c r="F98" s="587"/>
      <c r="G98" s="587"/>
      <c r="H98" s="587"/>
      <c r="I98" s="587"/>
      <c r="J98" s="587"/>
      <c r="K98" s="588"/>
      <c r="L98" s="589"/>
      <c r="M98" s="590"/>
      <c r="N98" s="1148"/>
      <c r="O98" s="1148"/>
      <c r="P98" s="2628"/>
      <c r="Q98" s="504"/>
    </row>
    <row r="99" spans="1:17" ht="15.75" thickBot="1">
      <c r="A99" s="2634"/>
      <c r="B99" s="569"/>
      <c r="C99" s="591"/>
      <c r="D99" s="591"/>
      <c r="E99" s="591"/>
      <c r="F99" s="591"/>
      <c r="G99" s="591"/>
      <c r="H99" s="591"/>
      <c r="I99" s="591"/>
      <c r="J99" s="591"/>
      <c r="K99" s="591"/>
      <c r="L99" s="591"/>
      <c r="M99" s="592"/>
      <c r="N99" s="1149"/>
      <c r="O99" s="1149"/>
      <c r="P99" s="2628"/>
      <c r="Q99" s="504"/>
    </row>
    <row r="100" spans="1:17">
      <c r="A100" s="527" t="s">
        <v>2562</v>
      </c>
      <c r="B100" s="528" t="s">
        <v>2611</v>
      </c>
      <c r="C100" s="530"/>
      <c r="D100" s="530"/>
      <c r="E100" s="530"/>
      <c r="F100" s="530"/>
      <c r="G100" s="530"/>
      <c r="H100" s="530"/>
      <c r="I100" s="530"/>
      <c r="J100" s="530"/>
      <c r="K100" s="531"/>
      <c r="L100" s="532"/>
      <c r="M100" s="533"/>
      <c r="N100" s="1148"/>
      <c r="O100" s="1148"/>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8"/>
      <c r="Q102" s="504"/>
    </row>
    <row r="103" spans="1:17" s="471" customFormat="1">
      <c r="A103" s="593"/>
      <c r="B103" s="594"/>
      <c r="C103" s="595"/>
      <c r="D103" s="595"/>
      <c r="E103" s="595"/>
      <c r="F103" s="595"/>
      <c r="G103" s="595"/>
      <c r="H103" s="595"/>
      <c r="I103" s="595"/>
      <c r="J103" s="596"/>
      <c r="K103" s="596"/>
      <c r="L103" s="597"/>
      <c r="M103" s="598"/>
      <c r="N103" s="1150"/>
      <c r="O103" s="1150"/>
      <c r="P103" s="2629"/>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9"/>
      <c r="Q104" s="559"/>
    </row>
    <row r="105" spans="1:17" ht="15" thickTop="1">
      <c r="A105" s="599"/>
      <c r="B105" s="538" t="s">
        <v>2613</v>
      </c>
      <c r="C105" s="554"/>
      <c r="D105" s="554"/>
      <c r="E105" s="583"/>
      <c r="F105" s="583"/>
      <c r="G105" s="583"/>
      <c r="H105" s="583"/>
      <c r="I105" s="583"/>
      <c r="J105" s="583"/>
      <c r="K105" s="584"/>
      <c r="L105" s="585"/>
      <c r="M105" s="586"/>
      <c r="N105" s="1148"/>
      <c r="O105" s="1148"/>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8"/>
      <c r="Q106" s="504"/>
    </row>
    <row r="107" spans="1:17" ht="15" thickTop="1">
      <c r="A107" s="599"/>
      <c r="B107" s="538" t="s">
        <v>2614</v>
      </c>
      <c r="C107" s="583"/>
      <c r="D107" s="583"/>
      <c r="E107" s="583"/>
      <c r="F107" s="583"/>
      <c r="G107" s="583"/>
      <c r="H107" s="583"/>
      <c r="I107" s="583"/>
      <c r="J107" s="583"/>
      <c r="K107" s="584"/>
      <c r="L107" s="585"/>
      <c r="M107" s="586"/>
      <c r="N107" s="1148"/>
      <c r="O107" s="1148"/>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8"/>
      <c r="Q108" s="504"/>
    </row>
    <row r="109" spans="1:17" ht="15" thickTop="1">
      <c r="A109" s="599"/>
      <c r="B109" s="538" t="s">
        <v>2615</v>
      </c>
      <c r="C109" s="554"/>
      <c r="D109" s="554"/>
      <c r="E109" s="554"/>
      <c r="F109" s="583"/>
      <c r="G109" s="583"/>
      <c r="H109" s="583"/>
      <c r="I109" s="583"/>
      <c r="J109" s="583"/>
      <c r="K109" s="584"/>
      <c r="L109" s="585"/>
      <c r="M109" s="586"/>
      <c r="N109" s="1148"/>
      <c r="O109" s="1148"/>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9"/>
      <c r="Q113" s="559"/>
    </row>
    <row r="114" spans="1:17" ht="15" thickTop="1">
      <c r="A114" s="599"/>
      <c r="B114" s="538" t="s">
        <v>2616</v>
      </c>
      <c r="C114" s="554"/>
      <c r="D114" s="554"/>
      <c r="E114" s="583"/>
      <c r="F114" s="583"/>
      <c r="G114" s="583"/>
      <c r="H114" s="583"/>
      <c r="I114" s="583"/>
      <c r="J114" s="583"/>
      <c r="K114" s="584"/>
      <c r="L114" s="585"/>
      <c r="M114" s="586"/>
      <c r="N114" s="1148"/>
      <c r="O114" s="1148"/>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8"/>
      <c r="Q115" s="504"/>
    </row>
    <row r="116" spans="1:17" ht="15" thickTop="1">
      <c r="A116" s="599"/>
      <c r="B116" s="538" t="s">
        <v>2617</v>
      </c>
      <c r="C116" s="554"/>
      <c r="D116" s="554"/>
      <c r="E116" s="554"/>
      <c r="F116" s="554"/>
      <c r="G116" s="554"/>
      <c r="H116" s="583"/>
      <c r="I116" s="583"/>
      <c r="J116" s="583"/>
      <c r="K116" s="584"/>
      <c r="L116" s="585"/>
      <c r="M116" s="586"/>
      <c r="N116" s="1148"/>
      <c r="O116" s="1148"/>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8"/>
      <c r="Q117" s="504"/>
    </row>
    <row r="118" spans="1:17" ht="15" thickTop="1">
      <c r="A118" s="599"/>
      <c r="B118" s="538" t="s">
        <v>2618</v>
      </c>
      <c r="C118" s="583"/>
      <c r="D118" s="583"/>
      <c r="E118" s="583"/>
      <c r="F118" s="583"/>
      <c r="G118" s="583"/>
      <c r="H118" s="583"/>
      <c r="I118" s="583"/>
      <c r="J118" s="583"/>
      <c r="K118" s="584"/>
      <c r="L118" s="585"/>
      <c r="M118" s="586"/>
      <c r="N118" s="1148"/>
      <c r="O118" s="1148"/>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8"/>
      <c r="Q119" s="504"/>
    </row>
    <row r="120" spans="1:17" s="471" customFormat="1" ht="28.5" thickTop="1">
      <c r="A120" s="593"/>
      <c r="B120" s="538" t="s">
        <v>2573</v>
      </c>
      <c r="C120" s="554"/>
      <c r="D120" s="554"/>
      <c r="E120" s="554"/>
      <c r="F120" s="554"/>
      <c r="G120" s="554"/>
      <c r="H120" s="554"/>
      <c r="I120" s="554"/>
      <c r="J120" s="554"/>
      <c r="K120" s="554"/>
      <c r="L120" s="580"/>
      <c r="M120" s="581"/>
      <c r="N120" s="1150"/>
      <c r="O120" s="1150"/>
      <c r="P120" s="2629"/>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9"/>
      <c r="Q121" s="559"/>
    </row>
    <row r="122" spans="1:17" ht="15" thickTop="1">
      <c r="A122" s="599"/>
      <c r="B122" s="538" t="s">
        <v>2619</v>
      </c>
      <c r="C122" s="554"/>
      <c r="D122" s="554"/>
      <c r="E122" s="554"/>
      <c r="F122" s="583"/>
      <c r="G122" s="583"/>
      <c r="H122" s="583"/>
      <c r="I122" s="583"/>
      <c r="J122" s="583"/>
      <c r="K122" s="584"/>
      <c r="L122" s="585"/>
      <c r="M122" s="586"/>
      <c r="N122" s="1148"/>
      <c r="O122" s="1148"/>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8"/>
      <c r="O124" s="1148"/>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8"/>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9"/>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9"/>
      <c r="Q127" s="559"/>
    </row>
    <row r="128" spans="1:17" ht="15" thickTop="1">
      <c r="A128" s="599"/>
      <c r="B128" s="538">
        <f>B45</f>
        <v>111</v>
      </c>
      <c r="C128" s="554"/>
      <c r="D128" s="554"/>
      <c r="E128" s="554"/>
      <c r="F128" s="554"/>
      <c r="G128" s="583"/>
      <c r="H128" s="583"/>
      <c r="I128" s="583"/>
      <c r="J128" s="583"/>
      <c r="K128" s="584"/>
      <c r="L128" s="585"/>
      <c r="M128" s="586"/>
      <c r="N128" s="1148"/>
      <c r="O128" s="1148"/>
      <c r="P128" s="2628"/>
      <c r="Q128" s="504"/>
    </row>
    <row r="129" spans="1:17" ht="15.75" thickBot="1">
      <c r="A129" s="534"/>
      <c r="B129" s="543"/>
      <c r="C129" s="560"/>
      <c r="D129" s="560"/>
      <c r="E129" s="560"/>
      <c r="F129" s="560"/>
      <c r="G129" s="536"/>
      <c r="H129" s="536"/>
      <c r="I129" s="536"/>
      <c r="J129" s="536"/>
      <c r="K129" s="536"/>
      <c r="L129" s="536"/>
      <c r="M129" s="537"/>
      <c r="N129" s="1149"/>
      <c r="O129" s="1149"/>
      <c r="P129" s="2628"/>
      <c r="Q129" s="504"/>
    </row>
    <row r="130" spans="1:17" ht="15" thickTop="1">
      <c r="A130" s="599"/>
      <c r="B130" s="546">
        <f>B46</f>
        <v>111</v>
      </c>
      <c r="C130" s="554"/>
      <c r="D130" s="554"/>
      <c r="E130" s="554"/>
      <c r="F130" s="554"/>
      <c r="G130" s="587"/>
      <c r="H130" s="587"/>
      <c r="I130" s="587"/>
      <c r="J130" s="587"/>
      <c r="K130" s="523"/>
      <c r="L130" s="524"/>
      <c r="M130" s="590"/>
      <c r="N130" s="1148"/>
      <c r="O130" s="1148"/>
      <c r="P130" s="2628"/>
      <c r="Q130" s="504"/>
    </row>
    <row r="131" spans="1:17" ht="15.75" thickBot="1">
      <c r="A131" s="2634"/>
      <c r="B131" s="569"/>
      <c r="C131" s="570"/>
      <c r="D131" s="570"/>
      <c r="E131" s="570"/>
      <c r="F131" s="570"/>
      <c r="G131" s="591"/>
      <c r="H131" s="591"/>
      <c r="I131" s="591"/>
      <c r="J131" s="591"/>
      <c r="K131" s="591"/>
      <c r="L131" s="591"/>
      <c r="M131" s="592"/>
      <c r="N131" s="1149"/>
      <c r="O131" s="1149"/>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0">
        <v>6</v>
      </c>
      <c r="C139" s="1081">
        <v>96</v>
      </c>
      <c r="D139" s="2646" t="s">
        <v>2630</v>
      </c>
      <c r="E139" s="1082">
        <v>100</v>
      </c>
      <c r="F139" s="1083">
        <v>102.5</v>
      </c>
      <c r="G139" s="2646" t="s">
        <v>2630</v>
      </c>
      <c r="H139" s="1084">
        <v>105</v>
      </c>
      <c r="I139" s="2647" t="s">
        <v>2631</v>
      </c>
      <c r="J139" s="1081">
        <v>20</v>
      </c>
      <c r="K139" s="1085">
        <f>C145/(J139-2)</f>
        <v>4.0555555555555553E-3</v>
      </c>
    </row>
    <row r="140" spans="1:17" ht="15">
      <c r="B140" s="1086">
        <v>5</v>
      </c>
      <c r="C140" s="1087">
        <v>100</v>
      </c>
      <c r="D140" s="1087"/>
      <c r="E140" s="1088"/>
      <c r="F140" s="1089">
        <v>102</v>
      </c>
      <c r="G140" s="1087"/>
      <c r="H140" s="1090"/>
      <c r="I140" s="2648" t="s">
        <v>2632</v>
      </c>
      <c r="J140" s="315">
        <f>ROUNDUP((J139-1)/2,0)</f>
        <v>10</v>
      </c>
      <c r="K140" s="1091">
        <v>100</v>
      </c>
    </row>
    <row r="141" spans="1:17" ht="15">
      <c r="B141" s="1086">
        <v>4</v>
      </c>
      <c r="C141" s="1087">
        <v>102</v>
      </c>
      <c r="D141" s="1087"/>
      <c r="E141" s="1088"/>
      <c r="F141" s="1089">
        <v>101.5</v>
      </c>
      <c r="G141" s="1087"/>
      <c r="H141" s="1090"/>
      <c r="I141" s="2648" t="s">
        <v>2633</v>
      </c>
      <c r="J141" s="315">
        <v>1</v>
      </c>
      <c r="K141" s="1092">
        <f>ROUND(100+(J141-J140)*K139*100,1)</f>
        <v>96.4</v>
      </c>
    </row>
    <row r="142" spans="1:17" ht="15">
      <c r="B142" s="1086">
        <v>3</v>
      </c>
      <c r="C142" s="1087">
        <v>103</v>
      </c>
      <c r="D142" s="1087"/>
      <c r="E142" s="1088"/>
      <c r="F142" s="1089">
        <v>101</v>
      </c>
      <c r="G142" s="1087"/>
      <c r="H142" s="1090"/>
      <c r="I142" s="2648" t="s">
        <v>2634</v>
      </c>
      <c r="J142" s="315">
        <f>J139</f>
        <v>20</v>
      </c>
      <c r="K142" s="1093">
        <v>95</v>
      </c>
    </row>
    <row r="143" spans="1:17" ht="15">
      <c r="B143" s="1086">
        <v>2</v>
      </c>
      <c r="C143" s="1087">
        <v>100</v>
      </c>
      <c r="D143" s="1087"/>
      <c r="E143" s="1088"/>
      <c r="F143" s="1089">
        <v>100.5</v>
      </c>
      <c r="G143" s="1087"/>
      <c r="H143" s="1090"/>
      <c r="I143" s="2648" t="s">
        <v>2635</v>
      </c>
      <c r="J143" s="1087">
        <v>15</v>
      </c>
      <c r="K143" s="1092">
        <f>ROUND(100+(J143-J140)*K139*100,1)</f>
        <v>102</v>
      </c>
    </row>
    <row r="144" spans="1:17" ht="15">
      <c r="B144" s="1086">
        <v>1</v>
      </c>
      <c r="C144" s="1087">
        <v>98</v>
      </c>
      <c r="D144" s="2649" t="s">
        <v>2636</v>
      </c>
      <c r="E144" s="1088">
        <v>102</v>
      </c>
      <c r="F144" s="1094">
        <v>100</v>
      </c>
      <c r="G144" s="2649" t="s">
        <v>2636</v>
      </c>
      <c r="H144" s="1090">
        <v>105</v>
      </c>
      <c r="I144" s="2648" t="s">
        <v>2635</v>
      </c>
      <c r="J144" s="1087">
        <v>18</v>
      </c>
      <c r="K144" s="1092">
        <f>ROUND(100+(J144-J140)*K139*100,1)</f>
        <v>103.2</v>
      </c>
    </row>
    <row r="145" spans="2:11" ht="15.75" thickBot="1">
      <c r="B145" s="2650" t="s">
        <v>2637</v>
      </c>
      <c r="C145" s="1095">
        <f>ROUND(MAX(C139:C144)/MIN(C139:C144)-1,3)</f>
        <v>7.2999999999999995E-2</v>
      </c>
      <c r="D145" s="1096"/>
      <c r="E145" s="1096"/>
      <c r="F145" s="2651" t="s">
        <v>2638</v>
      </c>
      <c r="G145" s="2652"/>
      <c r="H145" s="2653"/>
      <c r="I145" s="2654" t="s">
        <v>2635</v>
      </c>
      <c r="J145" s="1097">
        <v>8</v>
      </c>
      <c r="K145" s="1098">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36">
      <c r="A4" s="1943" t="str">
        <f>"受贵公司委托，我公司对"&amp;项目基本情况!S1&amp;"进行了预评估。"</f>
        <v>受贵公司委托，我公司对出让国有建设用地使用权及在建建筑物房地产抵押价值进行了预评估。</v>
      </c>
    </row>
    <row r="5" spans="1:1" ht="18.75">
      <c r="A5" s="1944" t="s">
        <v>1607</v>
      </c>
    </row>
    <row r="6" spans="1:1" ht="18.75">
      <c r="A6" s="1945" t="s">
        <v>1608</v>
      </c>
    </row>
    <row r="7" spans="1:1" ht="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估价对象为出让国有建设用地使用权及在建建筑物房地产，为所有。根据《国有土地使用证》[]，估价对象（分摊）出让国有建设用地使用权面积为3996.4平方米，建筑面积为27698平方米。</v>
      </c>
    </row>
    <row r="8" spans="1:1" ht="57.75">
      <c r="A8" s="1946" t="s">
        <v>1609</v>
      </c>
    </row>
    <row r="9" spans="1:1" ht="18.75">
      <c r="A9" s="1945" t="s">
        <v>1610</v>
      </c>
    </row>
    <row r="10" spans="1:1" ht="1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3996.4平方米，规划建筑面积为27698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1613</v>
      </c>
    </row>
    <row r="15" spans="1:1" ht="18">
      <c r="A15" s="1949" t="str">
        <f>TEXT(项目基本情况!D3,"yyyy年m月d日;;")&amp;IF(项目基本情况!D3=项目基本情况!B3,"（评估专业人员实地查勘之日）","")</f>
        <v>2019年10月16日</v>
      </c>
    </row>
    <row r="16" spans="1:1" ht="18.75">
      <c r="A16" s="1948" t="s">
        <v>1614</v>
      </c>
    </row>
    <row r="17" spans="1:1" ht="75">
      <c r="A17" s="1943" t="s">
        <v>1615</v>
      </c>
    </row>
    <row r="18" spans="1:1" ht="36">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16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580" t="s">
        <v>2641</v>
      </c>
      <c r="C1" s="1630" t="s">
        <v>2529</v>
      </c>
      <c r="D1" s="1617"/>
      <c r="E1" s="2655"/>
      <c r="F1" s="2582"/>
      <c r="G1" s="1627" t="s">
        <v>2642</v>
      </c>
      <c r="H1" s="1626"/>
      <c r="I1" s="1626"/>
      <c r="J1" s="1626"/>
      <c r="K1" s="1628"/>
      <c r="L1" s="1629"/>
      <c r="M1" s="1630"/>
      <c r="N1" s="1630"/>
      <c r="O1" s="1630"/>
      <c r="P1" s="2656"/>
      <c r="Q1" s="2657"/>
      <c r="R1" s="2657"/>
      <c r="S1" s="2657"/>
      <c r="T1" s="2657"/>
      <c r="U1" s="2657"/>
      <c r="V1" s="2657"/>
      <c r="W1" s="2657"/>
      <c r="X1" s="2657"/>
      <c r="Y1" s="2657"/>
      <c r="Z1" s="2657"/>
      <c r="AA1" s="2657"/>
      <c r="AB1" s="2657"/>
      <c r="AC1" s="2658"/>
    </row>
    <row r="2" spans="1:29" s="398" customFormat="1" ht="28.5" customHeight="1" thickTop="1">
      <c r="A2" s="1613" t="s">
        <v>2329</v>
      </c>
      <c r="B2" s="1414" t="e">
        <f ca="1">IF(C2="——",ROUND(C49*D3/10000,0),ROUND(C49*D3/10000,0)-D2)</f>
        <v>#DIV/0!</v>
      </c>
      <c r="C2" s="2584"/>
      <c r="D2" s="1361" t="e">
        <f ca="1">SUMIF(INDIRECT("'"&amp;F2&amp;"'"&amp;"!A:A"),"承租人权益价值",INDIRECT("'"&amp;F2&amp;"'"&amp;"!c:c"))</f>
        <v>#REF!</v>
      </c>
      <c r="E2" s="2585" t="s">
        <v>2330</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8" customFormat="1" ht="28.5" customHeight="1" thickBot="1">
      <c r="A3" s="247" t="s">
        <v>2331</v>
      </c>
      <c r="B3" s="609" t="e">
        <f ca="1">IF(C2="——",C49,ROUND(B2*10000/D3,0))</f>
        <v>#DIV/0!</v>
      </c>
      <c r="C3" s="400" t="s">
        <v>2643</v>
      </c>
      <c r="D3" s="399">
        <f>IF(D1="",'数据-汇总表'!E3,SUMIF('数据-汇总表'!$C19:$C33,D1,'数据-汇总表'!$E19:$E33))</f>
        <v>27698</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217" t="s">
        <v>2647</v>
      </c>
      <c r="AC4" s="3187" t="s">
        <v>2648</v>
      </c>
    </row>
    <row r="5" spans="1:29"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217"/>
      <c r="AC5" s="3188"/>
    </row>
    <row r="6" spans="1:29" ht="15.75" thickBot="1">
      <c r="A6" s="406"/>
      <c r="B6" s="407"/>
      <c r="C6" s="3200" t="s">
        <v>2545</v>
      </c>
      <c r="D6" s="3201"/>
      <c r="E6" s="3202" t="s">
        <v>2545</v>
      </c>
      <c r="F6" s="3203"/>
      <c r="G6" s="3200" t="s">
        <v>2545</v>
      </c>
      <c r="H6" s="3201"/>
      <c r="I6" s="3200" t="s">
        <v>2545</v>
      </c>
      <c r="J6" s="3201"/>
      <c r="K6" s="610" t="s">
        <v>2546</v>
      </c>
      <c r="L6" s="1126"/>
      <c r="M6" s="1127"/>
      <c r="N6" s="1127"/>
      <c r="O6" s="1127"/>
      <c r="P6" s="3213"/>
      <c r="Q6" s="3214"/>
      <c r="R6" s="3194"/>
      <c r="S6" s="3195"/>
      <c r="T6" s="3215"/>
      <c r="U6" s="3216"/>
      <c r="V6" s="3217"/>
      <c r="W6" s="3217"/>
      <c r="X6" s="1809"/>
      <c r="Y6" s="3215"/>
      <c r="Z6" s="3216"/>
      <c r="AA6" s="3189"/>
      <c r="AB6" s="3217"/>
      <c r="AC6" s="3189"/>
    </row>
    <row r="7" spans="1:29" s="117" customFormat="1" ht="15.75" thickBot="1">
      <c r="A7" s="408" t="s">
        <v>2547</v>
      </c>
      <c r="B7" s="409"/>
      <c r="C7" s="410">
        <f>'数据-取费表'!B2</f>
        <v>43754</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90" t="s">
        <v>2548</v>
      </c>
      <c r="Q7" s="3218"/>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04"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04"/>
      <c r="Q11" s="1791"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4"/>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4"/>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4"/>
      <c r="Q14" s="1791">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31" t="s">
        <v>2559</v>
      </c>
      <c r="Q15" s="1806" t="str">
        <f t="shared" si="6"/>
        <v>商业繁华度</v>
      </c>
      <c r="R15" s="774" t="s">
        <v>17</v>
      </c>
      <c r="S15" s="775">
        <f t="shared" si="0"/>
        <v>100</v>
      </c>
      <c r="T15" s="774" t="s">
        <v>17</v>
      </c>
      <c r="U15" s="775">
        <f t="shared" si="1"/>
        <v>100</v>
      </c>
      <c r="V15" s="774" t="s">
        <v>17</v>
      </c>
      <c r="W15" s="775">
        <f t="shared" si="2"/>
        <v>100</v>
      </c>
      <c r="X15" s="1809"/>
      <c r="Y15" s="3224" t="s">
        <v>2559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32"/>
      <c r="Q16" s="1806"/>
      <c r="R16" s="774"/>
      <c r="S16" s="775"/>
      <c r="T16" s="774"/>
      <c r="U16" s="775"/>
      <c r="V16" s="774"/>
      <c r="W16" s="775"/>
      <c r="X16" s="1809"/>
      <c r="Y16" s="3225"/>
      <c r="Z16" s="1810"/>
      <c r="AA16" s="1807">
        <v>1</v>
      </c>
      <c r="AB16" s="1807">
        <v>1</v>
      </c>
      <c r="AC16" s="1807">
        <v>1</v>
      </c>
    </row>
    <row r="17" spans="1:29" ht="85.5">
      <c r="A17" s="428"/>
      <c r="B17" s="451" t="s">
        <v>2097</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32"/>
      <c r="Q17" s="1806" t="str">
        <f>B17</f>
        <v>交通便捷度</v>
      </c>
      <c r="R17" s="774" t="s">
        <v>17</v>
      </c>
      <c r="S17" s="775">
        <f>F17</f>
        <v>100</v>
      </c>
      <c r="T17" s="774" t="s">
        <v>17</v>
      </c>
      <c r="U17" s="775">
        <f>H17</f>
        <v>100</v>
      </c>
      <c r="V17" s="774" t="s">
        <v>17</v>
      </c>
      <c r="W17" s="775">
        <f>J17</f>
        <v>100</v>
      </c>
      <c r="X17" s="1809"/>
      <c r="Y17" s="3225"/>
      <c r="Z17" s="1810" t="str">
        <f>Q17</f>
        <v>交通便捷度</v>
      </c>
      <c r="AA17" s="1807">
        <f t="shared" si="3"/>
        <v>1</v>
      </c>
      <c r="AB17" s="1807">
        <f t="shared" si="4"/>
        <v>1</v>
      </c>
      <c r="AC17" s="1807">
        <f t="shared" si="5"/>
        <v>1</v>
      </c>
    </row>
    <row r="18" spans="1:29" ht="15">
      <c r="A18" s="428"/>
      <c r="B18" s="456"/>
      <c r="C18" s="2606"/>
      <c r="D18" s="450"/>
      <c r="E18" s="2608"/>
      <c r="F18" s="453"/>
      <c r="G18" s="2607"/>
      <c r="H18" s="448"/>
      <c r="I18" s="2608"/>
      <c r="J18" s="448"/>
      <c r="K18" s="615"/>
      <c r="L18" s="1136"/>
      <c r="M18" s="1127"/>
      <c r="N18" s="1127"/>
      <c r="O18" s="1127"/>
      <c r="P18" s="3232"/>
      <c r="Q18" s="1806"/>
      <c r="R18" s="774"/>
      <c r="S18" s="775"/>
      <c r="T18" s="774"/>
      <c r="U18" s="775"/>
      <c r="V18" s="774"/>
      <c r="W18" s="775"/>
      <c r="X18" s="1809"/>
      <c r="Y18" s="3225"/>
      <c r="Z18" s="1810"/>
      <c r="AA18" s="1807">
        <v>1</v>
      </c>
      <c r="AB18" s="1807">
        <v>1</v>
      </c>
      <c r="AC18" s="1807">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32"/>
      <c r="Q19" s="1806" t="str">
        <f>B19</f>
        <v>公共配套设施</v>
      </c>
      <c r="R19" s="774" t="s">
        <v>17</v>
      </c>
      <c r="S19" s="775">
        <f>F19</f>
        <v>100</v>
      </c>
      <c r="T19" s="774" t="s">
        <v>17</v>
      </c>
      <c r="U19" s="775">
        <f>H19</f>
        <v>100</v>
      </c>
      <c r="V19" s="774" t="s">
        <v>17</v>
      </c>
      <c r="W19" s="775">
        <f>J19</f>
        <v>100</v>
      </c>
      <c r="X19" s="1809"/>
      <c r="Y19" s="3225"/>
      <c r="Z19" s="1810" t="str">
        <f>Q19</f>
        <v>公共配套设施</v>
      </c>
      <c r="AA19" s="1807">
        <f t="shared" si="3"/>
        <v>1</v>
      </c>
      <c r="AB19" s="1807">
        <f t="shared" si="4"/>
        <v>1</v>
      </c>
      <c r="AC19" s="1807">
        <f t="shared" si="5"/>
        <v>1</v>
      </c>
    </row>
    <row r="20" spans="1:29" ht="15">
      <c r="A20" s="428"/>
      <c r="B20" s="456"/>
      <c r="C20" s="447"/>
      <c r="D20" s="448"/>
      <c r="E20" s="2603"/>
      <c r="F20" s="449"/>
      <c r="G20" s="2602"/>
      <c r="H20" s="448"/>
      <c r="I20" s="2603"/>
      <c r="J20" s="448"/>
      <c r="K20" s="615"/>
      <c r="L20" s="1136"/>
      <c r="M20" s="1127"/>
      <c r="N20" s="1127"/>
      <c r="O20" s="1127"/>
      <c r="P20" s="3232"/>
      <c r="Q20" s="1806"/>
      <c r="R20" s="774"/>
      <c r="S20" s="775"/>
      <c r="T20" s="774"/>
      <c r="U20" s="775"/>
      <c r="V20" s="774"/>
      <c r="W20" s="775"/>
      <c r="X20" s="1809"/>
      <c r="Y20" s="3225"/>
      <c r="Z20" s="1810"/>
      <c r="AA20" s="1807">
        <v>1</v>
      </c>
      <c r="AB20" s="1807">
        <v>1</v>
      </c>
      <c r="AC20" s="1807">
        <v>1</v>
      </c>
    </row>
    <row r="21" spans="1:29" ht="28.5">
      <c r="A21" s="428"/>
      <c r="B21" s="1380"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32"/>
      <c r="Q21" s="1806" t="str">
        <f>B21</f>
        <v>基础设施水平</v>
      </c>
      <c r="R21" s="774" t="s">
        <v>17</v>
      </c>
      <c r="S21" s="775">
        <f>F21</f>
        <v>100</v>
      </c>
      <c r="T21" s="774" t="s">
        <v>17</v>
      </c>
      <c r="U21" s="775">
        <f>H21</f>
        <v>100</v>
      </c>
      <c r="V21" s="774" t="s">
        <v>17</v>
      </c>
      <c r="W21" s="775">
        <f>J21</f>
        <v>100</v>
      </c>
      <c r="X21" s="1809"/>
      <c r="Y21" s="3225"/>
      <c r="Z21" s="1810" t="str">
        <f>Q21</f>
        <v>基础设施水平</v>
      </c>
      <c r="AA21" s="1807">
        <f t="shared" ref="AA21" si="8">D21/F21</f>
        <v>1</v>
      </c>
      <c r="AB21" s="1807">
        <f t="shared" ref="AB21" si="9">D21/H21</f>
        <v>1</v>
      </c>
      <c r="AC21" s="1807">
        <f t="shared" ref="AC21" si="10">D21/J21</f>
        <v>1</v>
      </c>
    </row>
    <row r="22" spans="1:29" ht="15">
      <c r="A22" s="428"/>
      <c r="B22" s="1380"/>
      <c r="C22" s="2606"/>
      <c r="D22" s="448"/>
      <c r="E22" s="447"/>
      <c r="F22" s="449"/>
      <c r="G22" s="447"/>
      <c r="H22" s="448"/>
      <c r="I22" s="447"/>
      <c r="J22" s="448"/>
      <c r="K22" s="1379"/>
      <c r="L22" s="1136"/>
      <c r="M22" s="1127"/>
      <c r="N22" s="1127"/>
      <c r="O22" s="1127"/>
      <c r="P22" s="3232"/>
      <c r="Q22" s="1806"/>
      <c r="R22" s="774"/>
      <c r="S22" s="775"/>
      <c r="T22" s="774"/>
      <c r="U22" s="775"/>
      <c r="V22" s="774"/>
      <c r="W22" s="775"/>
      <c r="X22" s="1809"/>
      <c r="Y22" s="3225"/>
      <c r="Z22" s="1810"/>
      <c r="AA22" s="1807">
        <v>1</v>
      </c>
      <c r="AB22" s="1807">
        <v>1</v>
      </c>
      <c r="AC22" s="1807">
        <v>1</v>
      </c>
    </row>
    <row r="23" spans="1:29" ht="57">
      <c r="A23" s="428"/>
      <c r="B23" s="451" t="s">
        <v>2102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32"/>
      <c r="Q23" s="1806" t="str">
        <f>B23</f>
        <v>自然及人文环境</v>
      </c>
      <c r="R23" s="774" t="s">
        <v>17</v>
      </c>
      <c r="S23" s="775">
        <f>F23</f>
        <v>100</v>
      </c>
      <c r="T23" s="774" t="s">
        <v>17</v>
      </c>
      <c r="U23" s="775">
        <f>H23</f>
        <v>100</v>
      </c>
      <c r="V23" s="774" t="s">
        <v>17</v>
      </c>
      <c r="W23" s="775">
        <f>J23</f>
        <v>100</v>
      </c>
      <c r="X23" s="1809"/>
      <c r="Y23" s="3225"/>
      <c r="Z23" s="1810" t="str">
        <f>Q23</f>
        <v>自然及人文环境</v>
      </c>
      <c r="AA23" s="1807">
        <f t="shared" si="3"/>
        <v>1</v>
      </c>
      <c r="AB23" s="1807">
        <f t="shared" si="4"/>
        <v>1</v>
      </c>
      <c r="AC23" s="1807">
        <f t="shared" si="5"/>
        <v>1</v>
      </c>
    </row>
    <row r="24" spans="1:29" ht="15">
      <c r="A24" s="428"/>
      <c r="B24" s="456"/>
      <c r="C24" s="447"/>
      <c r="D24" s="448"/>
      <c r="E24" s="2603"/>
      <c r="F24" s="449"/>
      <c r="G24" s="2602"/>
      <c r="H24" s="448"/>
      <c r="I24" s="2603"/>
      <c r="J24" s="448"/>
      <c r="K24" s="615"/>
      <c r="L24" s="1136"/>
      <c r="M24" s="1127"/>
      <c r="N24" s="1127"/>
      <c r="O24" s="1127"/>
      <c r="P24" s="3232"/>
      <c r="Q24" s="1806"/>
      <c r="R24" s="774"/>
      <c r="S24" s="775"/>
      <c r="T24" s="774"/>
      <c r="U24" s="775"/>
      <c r="V24" s="774"/>
      <c r="W24" s="775"/>
      <c r="X24" s="1809"/>
      <c r="Y24" s="3225"/>
      <c r="Z24" s="1810"/>
      <c r="AA24" s="1807">
        <v>1</v>
      </c>
      <c r="AB24" s="1807">
        <v>1</v>
      </c>
      <c r="AC24" s="1807">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32"/>
      <c r="Q25" s="1806" t="str">
        <f t="shared" ref="Q25:Q46" si="11">B25</f>
        <v>临街状况</v>
      </c>
      <c r="R25" s="774" t="s">
        <v>17</v>
      </c>
      <c r="S25" s="775">
        <f>F25</f>
        <v>100</v>
      </c>
      <c r="T25" s="774" t="s">
        <v>17</v>
      </c>
      <c r="U25" s="775">
        <f>H25</f>
        <v>100</v>
      </c>
      <c r="V25" s="774" t="s">
        <v>17</v>
      </c>
      <c r="W25" s="775">
        <f>J25</f>
        <v>100</v>
      </c>
      <c r="X25" s="1809"/>
      <c r="Y25" s="3225"/>
      <c r="Z25" s="1810" t="str">
        <f>Q25</f>
        <v>临街状况</v>
      </c>
      <c r="AA25" s="1807">
        <f t="shared" si="3"/>
        <v>1</v>
      </c>
      <c r="AB25" s="1807">
        <f t="shared" si="4"/>
        <v>1</v>
      </c>
      <c r="AC25" s="1807">
        <f t="shared" si="5"/>
        <v>1</v>
      </c>
    </row>
    <row r="26" spans="1:29" ht="15">
      <c r="A26" s="428"/>
      <c r="B26" s="1382" t="s">
        <v>2656</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32"/>
      <c r="Q26" s="1806" t="str">
        <f t="shared" si="11"/>
        <v>平面位置/可视性</v>
      </c>
      <c r="R26" s="774" t="s">
        <v>17</v>
      </c>
      <c r="S26" s="775">
        <f>F26</f>
        <v>100</v>
      </c>
      <c r="T26" s="774" t="s">
        <v>17</v>
      </c>
      <c r="U26" s="775">
        <f>H26</f>
        <v>100</v>
      </c>
      <c r="V26" s="774" t="s">
        <v>17</v>
      </c>
      <c r="W26" s="775">
        <f>J26</f>
        <v>100</v>
      </c>
      <c r="X26" s="1809"/>
      <c r="Y26" s="3225"/>
      <c r="Z26" s="1810" t="str">
        <f>Q26</f>
        <v>平面位置/可视性</v>
      </c>
      <c r="AA26" s="1807">
        <f t="shared" si="3"/>
        <v>1</v>
      </c>
      <c r="AB26" s="1807">
        <f t="shared" si="4"/>
        <v>1</v>
      </c>
      <c r="AC26" s="1807">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28"/>
      <c r="M27" s="1129"/>
      <c r="N27" s="1129"/>
      <c r="O27" s="1129"/>
      <c r="P27" s="3232"/>
      <c r="Q27" s="1791" t="str">
        <f t="shared" si="11"/>
        <v>人流量</v>
      </c>
      <c r="R27" s="770" t="s">
        <v>17</v>
      </c>
      <c r="S27" s="771">
        <f>F27</f>
        <v>100</v>
      </c>
      <c r="T27" s="770" t="s">
        <v>17</v>
      </c>
      <c r="U27" s="771">
        <f>H27</f>
        <v>100</v>
      </c>
      <c r="V27" s="770" t="s">
        <v>17</v>
      </c>
      <c r="W27" s="771">
        <f>J27</f>
        <v>100</v>
      </c>
      <c r="X27" s="772"/>
      <c r="Y27" s="3225"/>
      <c r="Z27" s="55" t="str">
        <f>Q27</f>
        <v>人流量</v>
      </c>
      <c r="AA27" s="1807">
        <f>D27/F27</f>
        <v>1</v>
      </c>
      <c r="AB27" s="1807">
        <f>D27/H27</f>
        <v>1</v>
      </c>
      <c r="AC27" s="1807">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32"/>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25"/>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2"/>
      <c r="Q29" s="1806">
        <f t="shared" si="11"/>
        <v>111</v>
      </c>
      <c r="R29" s="774" t="s">
        <v>17</v>
      </c>
      <c r="S29" s="775">
        <f t="shared" si="12"/>
        <v>100</v>
      </c>
      <c r="T29" s="774" t="s">
        <v>17</v>
      </c>
      <c r="U29" s="775">
        <f t="shared" si="13"/>
        <v>100</v>
      </c>
      <c r="V29" s="774" t="s">
        <v>17</v>
      </c>
      <c r="W29" s="775">
        <f t="shared" si="14"/>
        <v>100</v>
      </c>
      <c r="X29" s="1809"/>
      <c r="Y29" s="3225"/>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2"/>
      <c r="Q30" s="1806">
        <f t="shared" si="11"/>
        <v>111</v>
      </c>
      <c r="R30" s="774" t="s">
        <v>17</v>
      </c>
      <c r="S30" s="775">
        <f t="shared" si="12"/>
        <v>100</v>
      </c>
      <c r="T30" s="774" t="s">
        <v>17</v>
      </c>
      <c r="U30" s="775">
        <f t="shared" si="13"/>
        <v>100</v>
      </c>
      <c r="V30" s="774" t="s">
        <v>17</v>
      </c>
      <c r="W30" s="775">
        <f t="shared" si="14"/>
        <v>100</v>
      </c>
      <c r="X30" s="1809"/>
      <c r="Y30" s="3225"/>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2"/>
      <c r="Q31" s="1806">
        <f t="shared" si="11"/>
        <v>111</v>
      </c>
      <c r="R31" s="774" t="s">
        <v>17</v>
      </c>
      <c r="S31" s="775">
        <f t="shared" si="12"/>
        <v>100</v>
      </c>
      <c r="T31" s="774" t="s">
        <v>17</v>
      </c>
      <c r="U31" s="775">
        <f t="shared" si="13"/>
        <v>100</v>
      </c>
      <c r="V31" s="774" t="s">
        <v>17</v>
      </c>
      <c r="W31" s="775">
        <f t="shared" si="14"/>
        <v>100</v>
      </c>
      <c r="X31" s="1809"/>
      <c r="Y31" s="3225"/>
      <c r="Z31" s="1810">
        <f t="shared" si="15"/>
        <v>111</v>
      </c>
      <c r="AA31" s="1807">
        <f t="shared" si="3"/>
        <v>1</v>
      </c>
      <c r="AB31" s="1807">
        <f t="shared" si="4"/>
        <v>1</v>
      </c>
      <c r="AC31" s="1807">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6"/>
      <c r="M32" s="1127"/>
      <c r="N32" s="1127"/>
      <c r="O32" s="1127"/>
      <c r="P32" s="3226" t="s">
        <v>2564</v>
      </c>
      <c r="Q32" s="1806" t="str">
        <f t="shared" si="11"/>
        <v>商业类型</v>
      </c>
      <c r="R32" s="774" t="s">
        <v>17</v>
      </c>
      <c r="S32" s="775">
        <f t="shared" si="12"/>
        <v>100</v>
      </c>
      <c r="T32" s="774" t="s">
        <v>17</v>
      </c>
      <c r="U32" s="775">
        <f t="shared" si="13"/>
        <v>100</v>
      </c>
      <c r="V32" s="774" t="s">
        <v>17</v>
      </c>
      <c r="W32" s="775">
        <f t="shared" si="14"/>
        <v>100</v>
      </c>
      <c r="X32" s="1809"/>
      <c r="Y32" s="3229" t="s">
        <v>2564</v>
      </c>
      <c r="Z32" s="1810" t="str">
        <f t="shared" si="15"/>
        <v>商业类型</v>
      </c>
      <c r="AA32" s="1807">
        <f t="shared" si="3"/>
        <v>1</v>
      </c>
      <c r="AB32" s="1807">
        <f t="shared" si="4"/>
        <v>1</v>
      </c>
      <c r="AC32" s="1807">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07" t="e">
        <f t="shared" si="3"/>
        <v>#N/A</v>
      </c>
      <c r="AB33" s="1807" t="e">
        <f t="shared" si="4"/>
        <v>#N/A</v>
      </c>
      <c r="AC33" s="1807"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6"/>
      <c r="M34" s="1127"/>
      <c r="N34" s="1127"/>
      <c r="O34" s="1127"/>
      <c r="P34" s="3227"/>
      <c r="Q34" s="1806" t="str">
        <f t="shared" si="11"/>
        <v>建筑结构</v>
      </c>
      <c r="R34" s="774" t="s">
        <v>17</v>
      </c>
      <c r="S34" s="775">
        <f t="shared" si="12"/>
        <v>100</v>
      </c>
      <c r="T34" s="774" t="s">
        <v>17</v>
      </c>
      <c r="U34" s="775">
        <f t="shared" si="13"/>
        <v>100</v>
      </c>
      <c r="V34" s="774" t="s">
        <v>17</v>
      </c>
      <c r="W34" s="775">
        <f t="shared" si="14"/>
        <v>100</v>
      </c>
      <c r="X34" s="1809"/>
      <c r="Y34" s="3229"/>
      <c r="Z34" s="1810" t="str">
        <f t="shared" si="15"/>
        <v>建筑结构</v>
      </c>
      <c r="AA34" s="1807">
        <f t="shared" si="3"/>
        <v>1</v>
      </c>
      <c r="AB34" s="1807">
        <f t="shared" si="4"/>
        <v>1</v>
      </c>
      <c r="AC34" s="1807">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6"/>
      <c r="M35" s="1127"/>
      <c r="N35" s="1127"/>
      <c r="O35" s="1127"/>
      <c r="P35" s="3227"/>
      <c r="Q35" s="1806" t="str">
        <f t="shared" si="11"/>
        <v>公共部分装修</v>
      </c>
      <c r="R35" s="774" t="s">
        <v>17</v>
      </c>
      <c r="S35" s="775">
        <f t="shared" si="12"/>
        <v>100</v>
      </c>
      <c r="T35" s="774" t="s">
        <v>17</v>
      </c>
      <c r="U35" s="775">
        <f t="shared" si="13"/>
        <v>100</v>
      </c>
      <c r="V35" s="774" t="s">
        <v>17</v>
      </c>
      <c r="W35" s="775">
        <f t="shared" si="14"/>
        <v>100</v>
      </c>
      <c r="X35" s="1809"/>
      <c r="Y35" s="3229"/>
      <c r="Z35" s="1810" t="str">
        <f t="shared" si="15"/>
        <v>公共部分装修</v>
      </c>
      <c r="AA35" s="1807">
        <f t="shared" si="3"/>
        <v>1</v>
      </c>
      <c r="AB35" s="1807">
        <f t="shared" si="4"/>
        <v>1</v>
      </c>
      <c r="AC35" s="1807">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27"/>
      <c r="Q36" s="1806" t="str">
        <f t="shared" si="11"/>
        <v>成新度</v>
      </c>
      <c r="R36" s="774" t="s">
        <v>17</v>
      </c>
      <c r="S36" s="775" t="e">
        <f t="shared" si="12"/>
        <v>#N/A</v>
      </c>
      <c r="T36" s="774" t="s">
        <v>17</v>
      </c>
      <c r="U36" s="775" t="e">
        <f t="shared" si="13"/>
        <v>#N/A</v>
      </c>
      <c r="V36" s="774" t="s">
        <v>17</v>
      </c>
      <c r="W36" s="775" t="e">
        <f t="shared" si="14"/>
        <v>#N/A</v>
      </c>
      <c r="X36" s="1809"/>
      <c r="Y36" s="3229"/>
      <c r="Z36" s="1810" t="str">
        <f t="shared" si="15"/>
        <v>成新度</v>
      </c>
      <c r="AA36" s="1807" t="e">
        <f t="shared" si="3"/>
        <v>#N/A</v>
      </c>
      <c r="AB36" s="1807" t="e">
        <f t="shared" si="4"/>
        <v>#N/A</v>
      </c>
      <c r="AC36" s="1807"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8"/>
      <c r="M37" s="1129"/>
      <c r="N37" s="1129"/>
      <c r="O37" s="1129"/>
      <c r="P37" s="3227"/>
      <c r="Q37" s="1791"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6"/>
      <c r="M38" s="1127"/>
      <c r="N38" s="1127"/>
      <c r="O38" s="1127"/>
      <c r="P38" s="3227" t="s">
        <v>2564</v>
      </c>
      <c r="Q38" s="1806" t="str">
        <f t="shared" si="11"/>
        <v>业态</v>
      </c>
      <c r="R38" s="774" t="s">
        <v>17</v>
      </c>
      <c r="S38" s="775">
        <f t="shared" si="12"/>
        <v>100</v>
      </c>
      <c r="T38" s="774" t="s">
        <v>17</v>
      </c>
      <c r="U38" s="775">
        <f t="shared" si="13"/>
        <v>100</v>
      </c>
      <c r="V38" s="774" t="s">
        <v>17</v>
      </c>
      <c r="W38" s="775">
        <f t="shared" si="14"/>
        <v>100</v>
      </c>
      <c r="X38" s="1809"/>
      <c r="Y38" s="3229" t="s">
        <v>2564</v>
      </c>
      <c r="Z38" s="1810" t="str">
        <f t="shared" si="15"/>
        <v>业态</v>
      </c>
      <c r="AA38" s="1807">
        <f t="shared" si="3"/>
        <v>1</v>
      </c>
      <c r="AB38" s="1807">
        <f t="shared" si="4"/>
        <v>1</v>
      </c>
      <c r="AC38" s="1807">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6"/>
      <c r="M39" s="1127"/>
      <c r="N39" s="1127"/>
      <c r="O39" s="1127"/>
      <c r="P39" s="3227"/>
      <c r="Q39" s="1806" t="str">
        <f t="shared" si="11"/>
        <v>层高</v>
      </c>
      <c r="R39" s="774" t="s">
        <v>17</v>
      </c>
      <c r="S39" s="775">
        <f t="shared" si="12"/>
        <v>100</v>
      </c>
      <c r="T39" s="774" t="s">
        <v>17</v>
      </c>
      <c r="U39" s="775">
        <f t="shared" si="13"/>
        <v>100</v>
      </c>
      <c r="V39" s="774" t="s">
        <v>17</v>
      </c>
      <c r="W39" s="775">
        <f t="shared" si="14"/>
        <v>100</v>
      </c>
      <c r="X39" s="1809"/>
      <c r="Y39" s="3229"/>
      <c r="Z39" s="1810" t="str">
        <f t="shared" si="15"/>
        <v>层高</v>
      </c>
      <c r="AA39" s="1807">
        <f t="shared" si="3"/>
        <v>1</v>
      </c>
      <c r="AB39" s="1807">
        <f t="shared" si="4"/>
        <v>1</v>
      </c>
      <c r="AC39" s="1807">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27"/>
      <c r="Q40" s="1806" t="str">
        <f t="shared" si="11"/>
        <v>单套建筑面积</v>
      </c>
      <c r="R40" s="774" t="s">
        <v>17</v>
      </c>
      <c r="S40" s="775">
        <f t="shared" si="12"/>
        <v>100</v>
      </c>
      <c r="T40" s="774" t="s">
        <v>17</v>
      </c>
      <c r="U40" s="775">
        <f t="shared" si="13"/>
        <v>100</v>
      </c>
      <c r="V40" s="774" t="s">
        <v>17</v>
      </c>
      <c r="W40" s="775">
        <f t="shared" si="14"/>
        <v>100</v>
      </c>
      <c r="X40" s="1809"/>
      <c r="Y40" s="3229"/>
      <c r="Z40" s="1810" t="str">
        <f t="shared" si="15"/>
        <v>单套建筑面积</v>
      </c>
      <c r="AA40" s="1807">
        <f t="shared" si="3"/>
        <v>1</v>
      </c>
      <c r="AB40" s="1807">
        <f t="shared" si="4"/>
        <v>1</v>
      </c>
      <c r="AC40" s="1807">
        <f t="shared" si="5"/>
        <v>1</v>
      </c>
    </row>
    <row r="41" spans="1:29" s="471" customFormat="1" ht="15">
      <c r="A41" s="468"/>
      <c r="B41" s="1808"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07">
        <f t="shared" si="3"/>
        <v>1</v>
      </c>
      <c r="AB41" s="1807">
        <f t="shared" si="4"/>
        <v>1</v>
      </c>
      <c r="AC41" s="1807">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6"/>
      <c r="M42" s="1127"/>
      <c r="N42" s="1127"/>
      <c r="O42" s="1127"/>
      <c r="P42" s="3227"/>
      <c r="Q42" s="1806" t="str">
        <f t="shared" si="11"/>
        <v>内部装修</v>
      </c>
      <c r="R42" s="774" t="s">
        <v>17</v>
      </c>
      <c r="S42" s="775">
        <f t="shared" si="12"/>
        <v>100</v>
      </c>
      <c r="T42" s="774" t="s">
        <v>17</v>
      </c>
      <c r="U42" s="775">
        <f t="shared" si="13"/>
        <v>100</v>
      </c>
      <c r="V42" s="774" t="s">
        <v>17</v>
      </c>
      <c r="W42" s="775">
        <f t="shared" si="14"/>
        <v>100</v>
      </c>
      <c r="X42" s="1809"/>
      <c r="Y42" s="3229"/>
      <c r="Z42" s="1810" t="str">
        <f t="shared" si="15"/>
        <v>内部装修</v>
      </c>
      <c r="AA42" s="1807">
        <f t="shared" si="3"/>
        <v>1</v>
      </c>
      <c r="AB42" s="1807">
        <f t="shared" si="4"/>
        <v>1</v>
      </c>
      <c r="AC42" s="1807">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6"/>
      <c r="M43" s="1127"/>
      <c r="N43" s="1127"/>
      <c r="O43" s="1127"/>
      <c r="P43" s="3227"/>
      <c r="Q43" s="1806" t="str">
        <f t="shared" si="11"/>
        <v>内部装修维护情况</v>
      </c>
      <c r="R43" s="774" t="s">
        <v>17</v>
      </c>
      <c r="S43" s="775">
        <f t="shared" si="12"/>
        <v>100</v>
      </c>
      <c r="T43" s="774" t="s">
        <v>17</v>
      </c>
      <c r="U43" s="775">
        <f t="shared" si="13"/>
        <v>100</v>
      </c>
      <c r="V43" s="774" t="s">
        <v>17</v>
      </c>
      <c r="W43" s="775">
        <f t="shared" si="14"/>
        <v>100</v>
      </c>
      <c r="X43" s="1809"/>
      <c r="Y43" s="3229"/>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7"/>
      <c r="Q44" s="1791">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7"/>
      <c r="Q45" s="1806">
        <f t="shared" si="11"/>
        <v>111</v>
      </c>
      <c r="R45" s="774" t="s">
        <v>17</v>
      </c>
      <c r="S45" s="775">
        <f t="shared" si="12"/>
        <v>100</v>
      </c>
      <c r="T45" s="774" t="s">
        <v>17</v>
      </c>
      <c r="U45" s="775">
        <f t="shared" si="13"/>
        <v>100</v>
      </c>
      <c r="V45" s="774" t="s">
        <v>17</v>
      </c>
      <c r="W45" s="775">
        <f t="shared" si="14"/>
        <v>100</v>
      </c>
      <c r="X45" s="1809"/>
      <c r="Y45" s="3229"/>
      <c r="Z45" s="1810">
        <f t="shared" si="15"/>
        <v>111</v>
      </c>
      <c r="AA45" s="1807">
        <f t="shared" si="3"/>
        <v>1</v>
      </c>
      <c r="AB45" s="1807">
        <f t="shared" si="4"/>
        <v>1</v>
      </c>
      <c r="AC45" s="1807">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8"/>
      <c r="Q46" s="1806">
        <f t="shared" si="11"/>
        <v>111</v>
      </c>
      <c r="R46" s="774" t="s">
        <v>17</v>
      </c>
      <c r="S46" s="775">
        <f t="shared" si="12"/>
        <v>100</v>
      </c>
      <c r="T46" s="774" t="s">
        <v>17</v>
      </c>
      <c r="U46" s="775">
        <f t="shared" si="13"/>
        <v>100</v>
      </c>
      <c r="V46" s="774" t="s">
        <v>17</v>
      </c>
      <c r="W46" s="775">
        <f t="shared" si="14"/>
        <v>100</v>
      </c>
      <c r="X46" s="1809"/>
      <c r="Y46" s="3230"/>
      <c r="Z46" s="1810">
        <f t="shared" si="15"/>
        <v>111</v>
      </c>
      <c r="AA46" s="1807">
        <f t="shared" si="3"/>
        <v>1</v>
      </c>
      <c r="AB46" s="1807">
        <f t="shared" si="4"/>
        <v>1</v>
      </c>
      <c r="AC46" s="1807">
        <f t="shared" si="5"/>
        <v>1</v>
      </c>
    </row>
    <row r="47" spans="1:29" ht="15">
      <c r="A47" s="479" t="s">
        <v>2576</v>
      </c>
      <c r="B47" s="480"/>
      <c r="C47" s="1403" t="s">
        <v>1</v>
      </c>
      <c r="D47" s="1404"/>
      <c r="E47" s="1405"/>
      <c r="F47" s="1406"/>
      <c r="G47" s="1407"/>
      <c r="H47" s="1408"/>
      <c r="I47" s="1405"/>
      <c r="J47" s="1408"/>
      <c r="K47" s="783"/>
      <c r="L47" s="1139"/>
      <c r="M47" s="1140"/>
      <c r="N47" s="1127"/>
      <c r="O47" s="1140"/>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2668</v>
      </c>
      <c r="B48" s="487"/>
      <c r="C48" s="1409" t="e">
        <f>R49</f>
        <v>#DIV/0!</v>
      </c>
      <c r="D48" s="1410"/>
      <c r="E48" s="1411" t="e">
        <f>R48</f>
        <v>#DIV/0!</v>
      </c>
      <c r="F48" s="1411"/>
      <c r="G48" s="1409" t="e">
        <f>T48</f>
        <v>#DIV/0!</v>
      </c>
      <c r="H48" s="1410"/>
      <c r="I48" s="1411" t="e">
        <f>V48</f>
        <v>#DIV/0!</v>
      </c>
      <c r="J48" s="1410"/>
      <c r="K48" s="784"/>
      <c r="L48" s="1139"/>
      <c r="M48" s="1140"/>
      <c r="N48" s="1127"/>
      <c r="O48" s="1140"/>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2669</v>
      </c>
      <c r="B49" s="493"/>
      <c r="C49" s="1413" t="e">
        <f>R49</f>
        <v>#DIV/0!</v>
      </c>
      <c r="D49" s="1413"/>
      <c r="E49" s="1413"/>
      <c r="F49" s="1413"/>
      <c r="G49" s="1413"/>
      <c r="H49" s="1413"/>
      <c r="I49" s="1413"/>
      <c r="J49" s="1413"/>
      <c r="K49" s="785"/>
      <c r="L49" s="1139"/>
      <c r="M49" s="1140"/>
      <c r="N49" s="1127"/>
      <c r="O49" s="1140"/>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4"/>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4"/>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7"/>
      <c r="M57" s="1155"/>
      <c r="N57" s="1155"/>
      <c r="O57" s="1155"/>
      <c r="P57" s="2665"/>
      <c r="Q57" s="2666"/>
      <c r="R57" s="759"/>
      <c r="S57" s="759"/>
      <c r="T57" s="759"/>
      <c r="U57" s="759"/>
      <c r="V57" s="759"/>
      <c r="W57" s="759"/>
      <c r="X57" s="759"/>
      <c r="Y57" s="759"/>
      <c r="Z57" s="759"/>
      <c r="AA57" s="759"/>
      <c r="AB57" s="759"/>
      <c r="AC57" s="759"/>
    </row>
    <row r="58" spans="1:29" s="508" customFormat="1" ht="15">
      <c r="A58" s="505" t="s">
        <v>2547</v>
      </c>
      <c r="B58" s="506"/>
      <c r="C58" s="1570" t="str">
        <f>YEAR(C7)&amp;"-"&amp;MONTH(C7)</f>
        <v>2019-10</v>
      </c>
      <c r="D58" s="1571">
        <f>EDATE(C58,-1)</f>
        <v>43709</v>
      </c>
      <c r="E58" s="1571">
        <f t="shared" ref="E58:N58" si="16">EDATE(D58,-1)</f>
        <v>43678</v>
      </c>
      <c r="F58" s="1571">
        <f t="shared" si="16"/>
        <v>43647</v>
      </c>
      <c r="G58" s="1571">
        <f t="shared" si="16"/>
        <v>43617</v>
      </c>
      <c r="H58" s="1571">
        <f t="shared" si="16"/>
        <v>43586</v>
      </c>
      <c r="I58" s="1571">
        <f t="shared" si="16"/>
        <v>43556</v>
      </c>
      <c r="J58" s="1571">
        <f t="shared" si="16"/>
        <v>43525</v>
      </c>
      <c r="K58" s="1571">
        <f t="shared" si="16"/>
        <v>43497</v>
      </c>
      <c r="L58" s="1571">
        <f t="shared" si="16"/>
        <v>43466</v>
      </c>
      <c r="M58" s="1571">
        <f t="shared" si="16"/>
        <v>43435</v>
      </c>
      <c r="N58" s="1571">
        <f t="shared" si="16"/>
        <v>43405</v>
      </c>
      <c r="O58" s="1571">
        <f>EDATE(N58,-1)</f>
        <v>43374</v>
      </c>
      <c r="P58" s="1566"/>
    </row>
    <row r="59" spans="1:29" s="117" customFormat="1" ht="15">
      <c r="A59" s="509"/>
      <c r="B59" s="510"/>
      <c r="C59" s="1569">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47"/>
      <c r="O61" s="1147"/>
      <c r="P61" s="2627"/>
      <c r="Q61" s="504"/>
    </row>
    <row r="62" spans="1:29" s="117" customFormat="1" ht="15.75" thickBot="1">
      <c r="A62" s="521"/>
      <c r="B62" s="510"/>
      <c r="C62" s="511">
        <v>100</v>
      </c>
      <c r="D62" s="512"/>
      <c r="E62" s="512"/>
      <c r="F62" s="512"/>
      <c r="G62" s="512"/>
      <c r="H62" s="512"/>
      <c r="I62" s="512"/>
      <c r="J62" s="512"/>
      <c r="K62" s="512"/>
      <c r="L62" s="512"/>
      <c r="M62" s="514"/>
      <c r="N62" s="1147"/>
      <c r="O62" s="1147"/>
      <c r="P62" s="2626"/>
      <c r="Q62" s="504"/>
    </row>
    <row r="63" spans="1:29">
      <c r="A63" s="527" t="s">
        <v>2587</v>
      </c>
      <c r="B63" s="528" t="s">
        <v>2553</v>
      </c>
      <c r="C63" s="529">
        <f>C9</f>
        <v>0</v>
      </c>
      <c r="D63" s="530"/>
      <c r="E63" s="530"/>
      <c r="F63" s="530"/>
      <c r="G63" s="530"/>
      <c r="H63" s="530"/>
      <c r="I63" s="530"/>
      <c r="J63" s="530"/>
      <c r="K63" s="531"/>
      <c r="L63" s="532"/>
      <c r="M63" s="533"/>
      <c r="N63" s="1148"/>
      <c r="O63" s="1148"/>
      <c r="P63" s="2628"/>
      <c r="Q63" s="504"/>
    </row>
    <row r="64" spans="1:29" ht="15.75" thickBot="1">
      <c r="A64" s="534"/>
      <c r="B64" s="535"/>
      <c r="C64" s="536">
        <v>100</v>
      </c>
      <c r="D64" s="536"/>
      <c r="E64" s="536"/>
      <c r="F64" s="536"/>
      <c r="G64" s="536"/>
      <c r="H64" s="536"/>
      <c r="I64" s="536"/>
      <c r="J64" s="536"/>
      <c r="K64" s="536"/>
      <c r="L64" s="536"/>
      <c r="M64" s="537"/>
      <c r="N64" s="1149"/>
      <c r="O64" s="1149"/>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8"/>
      <c r="O65" s="1148"/>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8"/>
      <c r="Q67" s="504"/>
    </row>
    <row r="68" spans="1:17" ht="15">
      <c r="A68" s="534"/>
      <c r="B68" s="548"/>
      <c r="C68" s="549"/>
      <c r="D68" s="549"/>
      <c r="E68" s="549"/>
      <c r="F68" s="549"/>
      <c r="G68" s="549"/>
      <c r="H68" s="549"/>
      <c r="I68" s="549"/>
      <c r="J68" s="549"/>
      <c r="K68" s="550"/>
      <c r="L68" s="551"/>
      <c r="M68" s="552"/>
      <c r="N68" s="1148"/>
      <c r="O68" s="1148"/>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8"/>
      <c r="Q69" s="504"/>
    </row>
    <row r="70" spans="1:17" s="471" customFormat="1" ht="15.75" thickTop="1">
      <c r="A70" s="553"/>
      <c r="B70" s="538">
        <f>B12</f>
        <v>111</v>
      </c>
      <c r="C70" s="554"/>
      <c r="D70" s="554"/>
      <c r="E70" s="554"/>
      <c r="F70" s="554"/>
      <c r="G70" s="554"/>
      <c r="H70" s="555"/>
      <c r="I70" s="555"/>
      <c r="J70" s="555"/>
      <c r="K70" s="555"/>
      <c r="L70" s="556"/>
      <c r="M70" s="557"/>
      <c r="N70" s="1150"/>
      <c r="O70" s="1150"/>
      <c r="P70" s="2629"/>
      <c r="Q70" s="559"/>
    </row>
    <row r="71" spans="1:17" s="471" customFormat="1" ht="15.75" thickBot="1">
      <c r="A71" s="553"/>
      <c r="B71" s="543"/>
      <c r="C71" s="560"/>
      <c r="D71" s="536"/>
      <c r="E71" s="536"/>
      <c r="F71" s="536"/>
      <c r="G71" s="536"/>
      <c r="H71" s="536"/>
      <c r="I71" s="536"/>
      <c r="J71" s="536"/>
      <c r="K71" s="536"/>
      <c r="L71" s="536"/>
      <c r="M71" s="537"/>
      <c r="N71" s="1149"/>
      <c r="O71" s="1149"/>
      <c r="P71" s="2629"/>
      <c r="Q71" s="559"/>
    </row>
    <row r="72" spans="1:17" s="471" customFormat="1" ht="15.75" thickTop="1">
      <c r="A72" s="553"/>
      <c r="B72" s="538">
        <f>B13</f>
        <v>111</v>
      </c>
      <c r="C72" s="554"/>
      <c r="D72" s="554"/>
      <c r="E72" s="554"/>
      <c r="F72" s="554"/>
      <c r="G72" s="554"/>
      <c r="H72" s="555"/>
      <c r="I72" s="555"/>
      <c r="J72" s="555"/>
      <c r="K72" s="555"/>
      <c r="L72" s="556"/>
      <c r="M72" s="557"/>
      <c r="N72" s="1150"/>
      <c r="O72" s="1150"/>
      <c r="P72" s="2630"/>
      <c r="Q72" s="561"/>
    </row>
    <row r="73" spans="1:17" s="471" customFormat="1" ht="15.75" thickBot="1">
      <c r="A73" s="553"/>
      <c r="B73" s="543"/>
      <c r="C73" s="560"/>
      <c r="D73" s="536"/>
      <c r="E73" s="536"/>
      <c r="F73" s="536"/>
      <c r="G73" s="560"/>
      <c r="H73" s="562"/>
      <c r="I73" s="562"/>
      <c r="J73" s="562"/>
      <c r="K73" s="562"/>
      <c r="L73" s="562"/>
      <c r="M73" s="563"/>
      <c r="N73" s="1150"/>
      <c r="O73" s="1150"/>
      <c r="P73" s="2629"/>
      <c r="Q73" s="559"/>
    </row>
    <row r="74" spans="1:17" s="471" customFormat="1" ht="15.75" thickTop="1">
      <c r="A74" s="553"/>
      <c r="B74" s="546">
        <f>B14</f>
        <v>111</v>
      </c>
      <c r="C74" s="554"/>
      <c r="D74" s="554"/>
      <c r="E74" s="554"/>
      <c r="F74" s="554"/>
      <c r="G74" s="523"/>
      <c r="H74" s="564"/>
      <c r="I74" s="564"/>
      <c r="J74" s="564"/>
      <c r="K74" s="564"/>
      <c r="L74" s="565"/>
      <c r="M74" s="566"/>
      <c r="N74" s="1150"/>
      <c r="O74" s="1150"/>
      <c r="P74" s="2631"/>
      <c r="Q74" s="559"/>
    </row>
    <row r="75" spans="1:17" s="471" customFormat="1" ht="15.75" thickBot="1">
      <c r="A75" s="568"/>
      <c r="B75" s="569"/>
      <c r="C75" s="570"/>
      <c r="D75" s="570"/>
      <c r="E75" s="570"/>
      <c r="F75" s="570"/>
      <c r="G75" s="570"/>
      <c r="H75" s="571"/>
      <c r="I75" s="571"/>
      <c r="J75" s="571"/>
      <c r="K75" s="571"/>
      <c r="L75" s="571"/>
      <c r="M75" s="572"/>
      <c r="N75" s="1150"/>
      <c r="O75" s="1150"/>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8"/>
      <c r="O76" s="1148"/>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8"/>
      <c r="O78" s="1148"/>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8"/>
      <c r="O80" s="1148"/>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78"/>
      <c r="N82" s="1149"/>
      <c r="O82" s="1149"/>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8"/>
      <c r="O84" s="1148"/>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8"/>
      <c r="Q85" s="504"/>
    </row>
    <row r="86" spans="1:17" s="117" customFormat="1" ht="15.75" thickTop="1">
      <c r="A86" s="579"/>
      <c r="B86" s="538" t="s">
        <v>2679</v>
      </c>
      <c r="C86" s="554"/>
      <c r="D86" s="554"/>
      <c r="E86" s="554"/>
      <c r="F86" s="554"/>
      <c r="G86" s="554"/>
      <c r="H86" s="554"/>
      <c r="I86" s="554"/>
      <c r="J86" s="554"/>
      <c r="K86" s="554"/>
      <c r="L86" s="580"/>
      <c r="M86" s="581"/>
      <c r="N86" s="1147"/>
      <c r="O86" s="1147"/>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7"/>
      <c r="O88" s="1147"/>
      <c r="P88" s="2628"/>
      <c r="Q88" s="504"/>
    </row>
    <row r="89" spans="1:17" s="117" customFormat="1" ht="15.75" thickBot="1">
      <c r="A89" s="579"/>
      <c r="B89" s="543"/>
      <c r="C89" s="560"/>
      <c r="D89" s="536"/>
      <c r="E89" s="536"/>
      <c r="F89" s="536"/>
      <c r="G89" s="536"/>
      <c r="H89" s="536"/>
      <c r="I89" s="536"/>
      <c r="J89" s="536"/>
      <c r="K89" s="536"/>
      <c r="L89" s="536"/>
      <c r="M89" s="536"/>
      <c r="N89" s="1149"/>
      <c r="O89" s="1149"/>
      <c r="P89" s="2628"/>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9"/>
      <c r="Q91" s="559"/>
    </row>
    <row r="92" spans="1:17" ht="15.75" thickTop="1">
      <c r="A92" s="534"/>
      <c r="B92" s="538" t="str">
        <f>B28</f>
        <v>楼层</v>
      </c>
      <c r="C92" s="554"/>
      <c r="D92" s="554"/>
      <c r="E92" s="554"/>
      <c r="F92" s="554"/>
      <c r="G92" s="554"/>
      <c r="H92" s="554"/>
      <c r="I92" s="554"/>
      <c r="J92" s="554"/>
      <c r="K92" s="554"/>
      <c r="L92" s="580"/>
      <c r="M92" s="581"/>
      <c r="N92" s="1148"/>
      <c r="O92" s="1148"/>
      <c r="P92" s="2628"/>
      <c r="Q92" s="504"/>
    </row>
    <row r="93" spans="1:17" ht="15.75" thickBot="1">
      <c r="A93" s="534"/>
      <c r="B93" s="543"/>
      <c r="C93" s="536"/>
      <c r="D93" s="536"/>
      <c r="E93" s="536"/>
      <c r="F93" s="536"/>
      <c r="G93" s="536"/>
      <c r="H93" s="536"/>
      <c r="I93" s="536"/>
      <c r="J93" s="536"/>
      <c r="K93" s="536"/>
      <c r="L93" s="536"/>
      <c r="M93" s="537"/>
      <c r="N93" s="1149"/>
      <c r="O93" s="1149"/>
      <c r="P93" s="2628"/>
      <c r="Q93" s="504"/>
    </row>
    <row r="94" spans="1:17" ht="15.75" thickTop="1">
      <c r="A94" s="534"/>
      <c r="B94" s="538">
        <f>B29</f>
        <v>111</v>
      </c>
      <c r="C94" s="554"/>
      <c r="D94" s="554"/>
      <c r="E94" s="554"/>
      <c r="F94" s="554"/>
      <c r="G94" s="583"/>
      <c r="H94" s="583"/>
      <c r="I94" s="583"/>
      <c r="J94" s="583"/>
      <c r="K94" s="584"/>
      <c r="L94" s="585"/>
      <c r="M94" s="586"/>
      <c r="N94" s="1148"/>
      <c r="O94" s="1148"/>
      <c r="P94" s="2628"/>
      <c r="Q94" s="504"/>
    </row>
    <row r="95" spans="1:17" ht="15.75" thickBot="1">
      <c r="A95" s="534"/>
      <c r="B95" s="543"/>
      <c r="C95" s="560"/>
      <c r="D95" s="536"/>
      <c r="E95" s="536"/>
      <c r="F95" s="536"/>
      <c r="G95" s="536"/>
      <c r="H95" s="536"/>
      <c r="I95" s="536"/>
      <c r="J95" s="536"/>
      <c r="K95" s="536"/>
      <c r="L95" s="536"/>
      <c r="M95" s="537"/>
      <c r="N95" s="1149"/>
      <c r="O95" s="1149"/>
      <c r="P95" s="2628"/>
      <c r="Q95" s="504"/>
    </row>
    <row r="96" spans="1:17" ht="15.75" thickTop="1">
      <c r="A96" s="534"/>
      <c r="B96" s="538">
        <f>B30</f>
        <v>111</v>
      </c>
      <c r="C96" s="554"/>
      <c r="D96" s="554"/>
      <c r="E96" s="554"/>
      <c r="F96" s="554"/>
      <c r="G96" s="583"/>
      <c r="H96" s="583"/>
      <c r="I96" s="583"/>
      <c r="J96" s="583"/>
      <c r="K96" s="584"/>
      <c r="L96" s="585"/>
      <c r="M96" s="586"/>
      <c r="N96" s="1148"/>
      <c r="O96" s="1148"/>
      <c r="P96" s="2628"/>
      <c r="Q96" s="504"/>
    </row>
    <row r="97" spans="1:17" ht="15.75" thickBot="1">
      <c r="A97" s="534"/>
      <c r="B97" s="543"/>
      <c r="C97" s="560"/>
      <c r="D97" s="536"/>
      <c r="E97" s="536"/>
      <c r="F97" s="536"/>
      <c r="G97" s="536"/>
      <c r="H97" s="536"/>
      <c r="I97" s="536"/>
      <c r="J97" s="536"/>
      <c r="K97" s="536"/>
      <c r="L97" s="536"/>
      <c r="M97" s="537"/>
      <c r="N97" s="1149"/>
      <c r="O97" s="1149"/>
      <c r="P97" s="2628"/>
      <c r="Q97" s="504"/>
    </row>
    <row r="98" spans="1:17" ht="15.75" thickTop="1">
      <c r="A98" s="534"/>
      <c r="B98" s="546">
        <f>B31</f>
        <v>111</v>
      </c>
      <c r="C98" s="554"/>
      <c r="D98" s="554"/>
      <c r="E98" s="554"/>
      <c r="F98" s="554"/>
      <c r="G98" s="587"/>
      <c r="H98" s="587"/>
      <c r="I98" s="587"/>
      <c r="J98" s="587"/>
      <c r="K98" s="588"/>
      <c r="L98" s="589"/>
      <c r="M98" s="590"/>
      <c r="N98" s="1148"/>
      <c r="O98" s="1148"/>
      <c r="P98" s="2628"/>
      <c r="Q98" s="504"/>
    </row>
    <row r="99" spans="1:17" ht="15.75" thickBot="1">
      <c r="A99" s="2634"/>
      <c r="B99" s="569"/>
      <c r="C99" s="570"/>
      <c r="D99" s="570"/>
      <c r="E99" s="570"/>
      <c r="F99" s="570"/>
      <c r="G99" s="591"/>
      <c r="H99" s="591"/>
      <c r="I99" s="591"/>
      <c r="J99" s="591"/>
      <c r="K99" s="591"/>
      <c r="L99" s="591"/>
      <c r="M99" s="592"/>
      <c r="N99" s="1149"/>
      <c r="O99" s="1149"/>
      <c r="P99" s="2628"/>
      <c r="Q99" s="504"/>
    </row>
    <row r="100" spans="1:17">
      <c r="A100" s="527" t="s">
        <v>2562</v>
      </c>
      <c r="B100" s="528" t="s">
        <v>2680</v>
      </c>
      <c r="C100" s="530"/>
      <c r="D100" s="530"/>
      <c r="E100" s="530"/>
      <c r="F100" s="530"/>
      <c r="G100" s="530"/>
      <c r="H100" s="530"/>
      <c r="I100" s="530"/>
      <c r="J100" s="530"/>
      <c r="K100" s="531"/>
      <c r="L100" s="532"/>
      <c r="M100" s="533"/>
      <c r="N100" s="1148"/>
      <c r="O100" s="1148"/>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8"/>
      <c r="Q102" s="504"/>
    </row>
    <row r="103" spans="1:17" s="471" customFormat="1">
      <c r="A103" s="593"/>
      <c r="B103" s="594"/>
      <c r="C103" s="595"/>
      <c r="D103" s="595"/>
      <c r="E103" s="595"/>
      <c r="F103" s="595"/>
      <c r="G103" s="595"/>
      <c r="H103" s="595"/>
      <c r="I103" s="595"/>
      <c r="J103" s="596"/>
      <c r="K103" s="596"/>
      <c r="L103" s="597"/>
      <c r="M103" s="598"/>
      <c r="N103" s="1150"/>
      <c r="O103" s="1150"/>
      <c r="P103" s="2629"/>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9"/>
      <c r="Q104" s="559"/>
    </row>
    <row r="105" spans="1:17" ht="15" thickTop="1">
      <c r="A105" s="599"/>
      <c r="B105" s="538" t="s">
        <v>2613</v>
      </c>
      <c r="C105" s="554"/>
      <c r="D105" s="554"/>
      <c r="E105" s="583"/>
      <c r="F105" s="583"/>
      <c r="G105" s="583"/>
      <c r="H105" s="583"/>
      <c r="I105" s="583"/>
      <c r="J105" s="583"/>
      <c r="K105" s="584"/>
      <c r="L105" s="585"/>
      <c r="M105" s="586"/>
      <c r="N105" s="1148"/>
      <c r="O105" s="1148"/>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8"/>
      <c r="Q106" s="504"/>
    </row>
    <row r="107" spans="1:17" ht="15" thickTop="1">
      <c r="A107" s="599"/>
      <c r="B107" s="538" t="s">
        <v>2615</v>
      </c>
      <c r="C107" s="554"/>
      <c r="D107" s="554"/>
      <c r="E107" s="554"/>
      <c r="F107" s="583"/>
      <c r="G107" s="583"/>
      <c r="H107" s="583"/>
      <c r="I107" s="583"/>
      <c r="J107" s="583"/>
      <c r="K107" s="584"/>
      <c r="L107" s="585"/>
      <c r="M107" s="586"/>
      <c r="N107" s="1148"/>
      <c r="O107" s="1148"/>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8"/>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8"/>
      <c r="Q111" s="504"/>
    </row>
    <row r="112" spans="1:17" s="471" customFormat="1" ht="15" thickTop="1">
      <c r="A112" s="593"/>
      <c r="B112" s="538" t="s">
        <v>2617</v>
      </c>
      <c r="C112" s="554"/>
      <c r="D112" s="554"/>
      <c r="E112" s="554"/>
      <c r="F112" s="554"/>
      <c r="G112" s="554"/>
      <c r="H112" s="583"/>
      <c r="I112" s="583"/>
      <c r="J112" s="583"/>
      <c r="K112" s="584"/>
      <c r="L112" s="585"/>
      <c r="M112" s="586"/>
      <c r="N112" s="1150"/>
      <c r="O112" s="1150"/>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9"/>
      <c r="Q113" s="559"/>
    </row>
    <row r="114" spans="1:17" ht="15" thickTop="1">
      <c r="A114" s="599"/>
      <c r="B114" s="538" t="s">
        <v>2681</v>
      </c>
      <c r="C114" s="554"/>
      <c r="D114" s="554"/>
      <c r="E114" s="583"/>
      <c r="F114" s="583"/>
      <c r="G114" s="583"/>
      <c r="H114" s="583"/>
      <c r="I114" s="583"/>
      <c r="J114" s="583"/>
      <c r="K114" s="584"/>
      <c r="L114" s="585"/>
      <c r="M114" s="586"/>
      <c r="N114" s="1148"/>
      <c r="O114" s="1148"/>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8"/>
      <c r="Q115" s="504"/>
    </row>
    <row r="116" spans="1:17" ht="15" thickTop="1">
      <c r="A116" s="599"/>
      <c r="B116" s="538" t="s">
        <v>2682</v>
      </c>
      <c r="C116" s="554"/>
      <c r="D116" s="554"/>
      <c r="E116" s="554"/>
      <c r="F116" s="554"/>
      <c r="G116" s="554"/>
      <c r="H116" s="583"/>
      <c r="I116" s="583"/>
      <c r="J116" s="583"/>
      <c r="K116" s="584"/>
      <c r="L116" s="585"/>
      <c r="M116" s="586"/>
      <c r="N116" s="1148"/>
      <c r="O116" s="1148"/>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8"/>
      <c r="Q117" s="504"/>
    </row>
    <row r="118" spans="1:17" ht="15" thickTop="1">
      <c r="A118" s="599"/>
      <c r="B118" s="538" t="s">
        <v>2683</v>
      </c>
      <c r="C118" s="627"/>
      <c r="D118" s="627"/>
      <c r="E118" s="627"/>
      <c r="F118" s="627"/>
      <c r="G118" s="627"/>
      <c r="H118" s="555"/>
      <c r="I118" s="555"/>
      <c r="J118" s="555"/>
      <c r="K118" s="555"/>
      <c r="L118" s="556"/>
      <c r="M118" s="557"/>
      <c r="N118" s="1148"/>
      <c r="O118" s="1148"/>
      <c r="P118" s="2628"/>
      <c r="Q118" s="504"/>
    </row>
    <row r="119" spans="1:17" ht="15.75" thickBot="1">
      <c r="A119" s="534"/>
      <c r="B119" s="543"/>
      <c r="C119" s="560"/>
      <c r="D119" s="536"/>
      <c r="E119" s="536"/>
      <c r="F119" s="536"/>
      <c r="G119" s="536"/>
      <c r="H119" s="536"/>
      <c r="I119" s="536"/>
      <c r="J119" s="536"/>
      <c r="K119" s="536"/>
      <c r="L119" s="536"/>
      <c r="M119" s="537"/>
      <c r="N119" s="1149"/>
      <c r="O119" s="1149"/>
      <c r="P119" s="2628"/>
      <c r="Q119" s="504"/>
    </row>
    <row r="120" spans="1:17" s="471" customFormat="1" ht="15" thickTop="1">
      <c r="A120" s="593"/>
      <c r="B120" s="538" t="s">
        <v>2684</v>
      </c>
      <c r="C120" s="583"/>
      <c r="D120" s="583"/>
      <c r="E120" s="583"/>
      <c r="F120" s="583"/>
      <c r="G120" s="555"/>
      <c r="H120" s="555"/>
      <c r="I120" s="555"/>
      <c r="J120" s="555"/>
      <c r="K120" s="555"/>
      <c r="L120" s="556"/>
      <c r="M120" s="557"/>
      <c r="N120" s="1150"/>
      <c r="O120" s="1150"/>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9"/>
      <c r="Q121" s="559"/>
    </row>
    <row r="122" spans="1:17" ht="15" thickTop="1">
      <c r="A122" s="599"/>
      <c r="B122" s="538" t="s">
        <v>2619</v>
      </c>
      <c r="C122" s="554"/>
      <c r="D122" s="554"/>
      <c r="E122" s="554"/>
      <c r="F122" s="583"/>
      <c r="G122" s="583"/>
      <c r="H122" s="583"/>
      <c r="I122" s="583"/>
      <c r="J122" s="583"/>
      <c r="K122" s="584"/>
      <c r="L122" s="585"/>
      <c r="M122" s="586"/>
      <c r="N122" s="1148"/>
      <c r="O122" s="1148"/>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8"/>
      <c r="O124" s="1148"/>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8"/>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9"/>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9"/>
      <c r="Q127" s="559"/>
    </row>
    <row r="128" spans="1:17" ht="15" thickTop="1">
      <c r="A128" s="599"/>
      <c r="B128" s="538">
        <f>B45</f>
        <v>111</v>
      </c>
      <c r="C128" s="554"/>
      <c r="D128" s="554"/>
      <c r="E128" s="554"/>
      <c r="F128" s="554"/>
      <c r="G128" s="583"/>
      <c r="H128" s="583"/>
      <c r="I128" s="583"/>
      <c r="J128" s="583"/>
      <c r="K128" s="584"/>
      <c r="L128" s="585"/>
      <c r="M128" s="586"/>
      <c r="N128" s="1148"/>
      <c r="O128" s="1148"/>
      <c r="P128" s="2628"/>
      <c r="Q128" s="504"/>
    </row>
    <row r="129" spans="1:17" ht="15.75" thickBot="1">
      <c r="A129" s="534"/>
      <c r="B129" s="543"/>
      <c r="C129" s="560"/>
      <c r="D129" s="536"/>
      <c r="E129" s="536"/>
      <c r="F129" s="536"/>
      <c r="G129" s="536"/>
      <c r="H129" s="536"/>
      <c r="I129" s="536"/>
      <c r="J129" s="536"/>
      <c r="K129" s="536"/>
      <c r="L129" s="536"/>
      <c r="M129" s="537"/>
      <c r="N129" s="1149"/>
      <c r="O129" s="1149"/>
      <c r="P129" s="2628"/>
      <c r="Q129" s="504"/>
    </row>
    <row r="130" spans="1:17" ht="15" thickTop="1">
      <c r="A130" s="599"/>
      <c r="B130" s="546">
        <f>B46</f>
        <v>111</v>
      </c>
      <c r="C130" s="554"/>
      <c r="D130" s="554"/>
      <c r="E130" s="554"/>
      <c r="F130" s="554"/>
      <c r="G130" s="587"/>
      <c r="H130" s="587"/>
      <c r="I130" s="587"/>
      <c r="J130" s="587"/>
      <c r="K130" s="523"/>
      <c r="L130" s="524"/>
      <c r="M130" s="590"/>
      <c r="N130" s="1148"/>
      <c r="O130" s="1148"/>
      <c r="P130" s="2628"/>
      <c r="Q130" s="504"/>
    </row>
    <row r="131" spans="1:17" ht="15.75" thickBot="1">
      <c r="A131" s="2634"/>
      <c r="B131" s="569"/>
      <c r="C131" s="570"/>
      <c r="D131" s="570"/>
      <c r="E131" s="570"/>
      <c r="F131" s="570"/>
      <c r="G131" s="591"/>
      <c r="H131" s="591"/>
      <c r="I131" s="591"/>
      <c r="J131" s="591"/>
      <c r="K131" s="591"/>
      <c r="L131" s="591"/>
      <c r="M131" s="592"/>
      <c r="N131" s="1149"/>
      <c r="O131" s="1149"/>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0" priority="17" stopIfTrue="1" operator="containsText" text="超过">
      <formula>NOT(ISERROR(SEARCH("超过",F52)))</formula>
    </cfRule>
  </conditionalFormatting>
  <conditionalFormatting sqref="H54">
    <cfRule type="containsText" dxfId="129" priority="15" stopIfTrue="1" operator="containsText" text="超过">
      <formula>NOT(ISERROR(SEARCH("超过",H54)))</formula>
    </cfRule>
  </conditionalFormatting>
  <conditionalFormatting sqref="F54">
    <cfRule type="containsText" dxfId="128" priority="14" stopIfTrue="1" operator="containsText" text="超过">
      <formula>NOT(ISERROR(SEARCH("超过",F54)))</formula>
    </cfRule>
  </conditionalFormatting>
  <conditionalFormatting sqref="F53 H53">
    <cfRule type="containsText" dxfId="127" priority="13" stopIfTrue="1" operator="containsText" text="超过">
      <formula>NOT(ISERROR(SEARCH("超过",F53)))</formula>
    </cfRule>
  </conditionalFormatting>
  <conditionalFormatting sqref="E52">
    <cfRule type="expression" dxfId="126" priority="12"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4">
    <cfRule type="expression" dxfId="123" priority="9" stopIfTrue="1">
      <formula>$H$54="超过30%"</formula>
    </cfRule>
  </conditionalFormatting>
  <conditionalFormatting sqref="G52">
    <cfRule type="expression" dxfId="122" priority="8" stopIfTrue="1">
      <formula>$H$52="超过30%"</formula>
    </cfRule>
  </conditionalFormatting>
  <conditionalFormatting sqref="G53">
    <cfRule type="expression" dxfId="121" priority="7" stopIfTrue="1">
      <formula>$H$53="超过20%"</formula>
    </cfRule>
  </conditionalFormatting>
  <conditionalFormatting sqref="J52">
    <cfRule type="containsText" dxfId="120" priority="6" stopIfTrue="1" operator="containsText" text="超过">
      <formula>NOT(ISERROR(SEARCH("超过",J52)))</formula>
    </cfRule>
  </conditionalFormatting>
  <conditionalFormatting sqref="J54">
    <cfRule type="containsText" dxfId="119" priority="5" stopIfTrue="1" operator="containsText" text="超过">
      <formula>NOT(ISERROR(SEARCH("超过",J54)))</formula>
    </cfRule>
  </conditionalFormatting>
  <conditionalFormatting sqref="J53">
    <cfRule type="containsText" dxfId="118" priority="4" stopIfTrue="1" operator="containsText" text="超过">
      <formula>NOT(ISERROR(SEARCH("超过",J53)))</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667" t="s">
        <v>2685</v>
      </c>
      <c r="C1" s="1616" t="s">
        <v>2529</v>
      </c>
      <c r="D1" s="1617"/>
      <c r="E1" s="1626"/>
      <c r="F1" s="258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2329</v>
      </c>
      <c r="B2" s="1414" t="e">
        <f ca="1">IF(C2="——",ROUND(C50*D3/10000,0),ROUND(C50*D3/10000,0)-D2)</f>
        <v>#DIV/0!</v>
      </c>
      <c r="C2" s="2584"/>
      <c r="D2" s="1361" t="e">
        <f ca="1">SUMIF(INDIRECT("'"&amp;F2&amp;"'"&amp;"!A:A"),"承租人权益价值",INDIRECT("'"&amp;F2&amp;"'"&amp;"!c:c"))</f>
        <v>#REF!</v>
      </c>
      <c r="E2" s="2585" t="s">
        <v>2330</v>
      </c>
      <c r="F2" s="2586"/>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27698</v>
      </c>
      <c r="E3" s="2661"/>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39" t="s">
        <v>2650</v>
      </c>
      <c r="Q4" s="3240"/>
      <c r="R4" s="3234" t="s">
        <v>2646</v>
      </c>
      <c r="S4" s="3235"/>
      <c r="T4" s="3234" t="s">
        <v>2647</v>
      </c>
      <c r="U4" s="3235"/>
      <c r="V4" s="3243" t="s">
        <v>2648</v>
      </c>
      <c r="W4" s="3243"/>
      <c r="X4" s="2668"/>
      <c r="Y4" s="3234" t="s">
        <v>2650</v>
      </c>
      <c r="Z4" s="3235"/>
      <c r="AA4" s="3233" t="s">
        <v>2646</v>
      </c>
      <c r="AB4" s="3233" t="s">
        <v>2647</v>
      </c>
      <c r="AC4" s="3236" t="s">
        <v>2648</v>
      </c>
    </row>
    <row r="5" spans="1:29" ht="15">
      <c r="A5" s="404"/>
      <c r="B5" s="405"/>
      <c r="C5" s="3198" t="s">
        <v>2541</v>
      </c>
      <c r="D5" s="3199"/>
      <c r="E5" s="3196" t="s">
        <v>2542</v>
      </c>
      <c r="F5" s="3197"/>
      <c r="G5" s="3198" t="s">
        <v>2543</v>
      </c>
      <c r="H5" s="3199"/>
      <c r="I5" s="3198" t="s">
        <v>2544</v>
      </c>
      <c r="J5" s="3199"/>
      <c r="K5" s="610"/>
      <c r="L5" s="1126"/>
      <c r="M5" s="1127"/>
      <c r="N5" s="1127"/>
      <c r="O5" s="1127"/>
      <c r="P5" s="3241"/>
      <c r="Q5" s="3212"/>
      <c r="R5" s="3194"/>
      <c r="S5" s="3195"/>
      <c r="T5" s="3194"/>
      <c r="U5" s="3195"/>
      <c r="V5" s="3217"/>
      <c r="W5" s="3217"/>
      <c r="X5" s="1809"/>
      <c r="Y5" s="3194"/>
      <c r="Z5" s="3195"/>
      <c r="AA5" s="3188"/>
      <c r="AB5" s="3188"/>
      <c r="AC5" s="3237"/>
    </row>
    <row r="6" spans="1:29" ht="15.75" thickBot="1">
      <c r="A6" s="406"/>
      <c r="B6" s="407"/>
      <c r="C6" s="3200" t="s">
        <v>2545</v>
      </c>
      <c r="D6" s="3201"/>
      <c r="E6" s="3202" t="s">
        <v>2545</v>
      </c>
      <c r="F6" s="3203"/>
      <c r="G6" s="3200" t="s">
        <v>2545</v>
      </c>
      <c r="H6" s="3201"/>
      <c r="I6" s="3200" t="s">
        <v>2545</v>
      </c>
      <c r="J6" s="3201"/>
      <c r="K6" s="610" t="s">
        <v>2546</v>
      </c>
      <c r="L6" s="1126"/>
      <c r="M6" s="1127"/>
      <c r="N6" s="1127"/>
      <c r="O6" s="1127"/>
      <c r="P6" s="3242"/>
      <c r="Q6" s="3214"/>
      <c r="R6" s="3194"/>
      <c r="S6" s="3195"/>
      <c r="T6" s="3215"/>
      <c r="U6" s="3216"/>
      <c r="V6" s="3217"/>
      <c r="W6" s="3217"/>
      <c r="X6" s="1809"/>
      <c r="Y6" s="3215"/>
      <c r="Z6" s="3216"/>
      <c r="AA6" s="3189"/>
      <c r="AB6" s="3189"/>
      <c r="AC6" s="3238"/>
    </row>
    <row r="7" spans="1:29" s="117" customFormat="1" ht="15.75" thickBot="1">
      <c r="A7" s="408" t="s">
        <v>2547</v>
      </c>
      <c r="B7" s="409"/>
      <c r="C7" s="410">
        <f>'数据-取费表'!B2</f>
        <v>43754</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44" t="s">
        <v>2548</v>
      </c>
      <c r="Q7" s="3218"/>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44" t="s">
        <v>2551</v>
      </c>
      <c r="Q8" s="3191"/>
      <c r="R8" s="770" t="s">
        <v>17</v>
      </c>
      <c r="S8" s="771">
        <f t="shared" si="0"/>
        <v>0</v>
      </c>
      <c r="T8" s="770" t="s">
        <v>17</v>
      </c>
      <c r="U8" s="771">
        <f t="shared" si="1"/>
        <v>0</v>
      </c>
      <c r="V8" s="770" t="s">
        <v>17</v>
      </c>
      <c r="W8" s="771">
        <f t="shared" si="2"/>
        <v>0</v>
      </c>
      <c r="X8" s="772"/>
      <c r="Y8" s="3190" t="s">
        <v>2551</v>
      </c>
      <c r="Z8" s="3191"/>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4"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4"/>
      <c r="Q11" s="1791"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8"/>
      <c r="M12" s="1129"/>
      <c r="N12" s="1129"/>
      <c r="O12" s="1129"/>
      <c r="P12" s="3204"/>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6"/>
      <c r="M13" s="1127"/>
      <c r="N13" s="1127"/>
      <c r="O13" s="1127"/>
      <c r="P13" s="3204"/>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6"/>
      <c r="M14" s="1127"/>
      <c r="N14" s="1127"/>
      <c r="O14" s="1127"/>
      <c r="P14" s="3204"/>
      <c r="Q14" s="1791">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31" t="s">
        <v>2559</v>
      </c>
      <c r="Q15" s="1806" t="str">
        <f t="shared" si="6"/>
        <v>办公集聚程度</v>
      </c>
      <c r="R15" s="774" t="s">
        <v>17</v>
      </c>
      <c r="S15" s="775">
        <f t="shared" si="0"/>
        <v>100</v>
      </c>
      <c r="T15" s="774" t="s">
        <v>17</v>
      </c>
      <c r="U15" s="775">
        <f t="shared" si="1"/>
        <v>100</v>
      </c>
      <c r="V15" s="774" t="s">
        <v>17</v>
      </c>
      <c r="W15" s="775">
        <f t="shared" si="2"/>
        <v>100</v>
      </c>
      <c r="X15" s="1809"/>
      <c r="Y15" s="3224" t="s">
        <v>2559</v>
      </c>
      <c r="Z15" s="1810" t="str">
        <f t="shared" si="7"/>
        <v>办公集聚程度</v>
      </c>
      <c r="AA15" s="1807">
        <f t="shared" si="3"/>
        <v>1</v>
      </c>
      <c r="AB15" s="1807">
        <f t="shared" si="4"/>
        <v>1</v>
      </c>
      <c r="AC15" s="2672">
        <f t="shared" si="5"/>
        <v>1</v>
      </c>
    </row>
    <row r="16" spans="1:29" ht="15">
      <c r="A16" s="428"/>
      <c r="B16" s="630"/>
      <c r="C16" s="2609"/>
      <c r="D16" s="448"/>
      <c r="E16" s="447"/>
      <c r="F16" s="448"/>
      <c r="G16" s="2609"/>
      <c r="H16" s="450"/>
      <c r="I16" s="447"/>
      <c r="J16" s="448"/>
      <c r="K16" s="615"/>
      <c r="L16" s="1136"/>
      <c r="M16" s="1127"/>
      <c r="N16" s="1127"/>
      <c r="O16" s="1127"/>
      <c r="P16" s="3232"/>
      <c r="Q16" s="1806"/>
      <c r="R16" s="774"/>
      <c r="S16" s="775"/>
      <c r="T16" s="774"/>
      <c r="U16" s="775"/>
      <c r="V16" s="774"/>
      <c r="W16" s="775"/>
      <c r="X16" s="1809"/>
      <c r="Y16" s="3225"/>
      <c r="Z16" s="1810"/>
      <c r="AA16" s="1807">
        <v>1</v>
      </c>
      <c r="AB16" s="1807">
        <v>1</v>
      </c>
      <c r="AC16" s="2672">
        <v>1</v>
      </c>
    </row>
    <row r="17" spans="1:29" ht="71.25">
      <c r="A17" s="428"/>
      <c r="B17" s="631" t="s">
        <v>2097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32"/>
      <c r="Q17" s="1806" t="str">
        <f>B17</f>
        <v>交通便捷度</v>
      </c>
      <c r="R17" s="774" t="s">
        <v>17</v>
      </c>
      <c r="S17" s="775">
        <f>F17</f>
        <v>100</v>
      </c>
      <c r="T17" s="774" t="s">
        <v>17</v>
      </c>
      <c r="U17" s="775">
        <f>H17</f>
        <v>100</v>
      </c>
      <c r="V17" s="774" t="s">
        <v>17</v>
      </c>
      <c r="W17" s="775">
        <f>J17</f>
        <v>100</v>
      </c>
      <c r="X17" s="1809"/>
      <c r="Y17" s="3225"/>
      <c r="Z17" s="1810" t="str">
        <f>Q17</f>
        <v>交通便捷度</v>
      </c>
      <c r="AA17" s="1807">
        <f t="shared" si="3"/>
        <v>1</v>
      </c>
      <c r="AB17" s="1807">
        <f t="shared" si="4"/>
        <v>1</v>
      </c>
      <c r="AC17" s="2672">
        <f t="shared" si="5"/>
        <v>1</v>
      </c>
    </row>
    <row r="18" spans="1:29" ht="15">
      <c r="A18" s="428"/>
      <c r="B18" s="632"/>
      <c r="C18" s="2674"/>
      <c r="D18" s="450"/>
      <c r="E18" s="2607"/>
      <c r="F18" s="450"/>
      <c r="G18" s="2608"/>
      <c r="H18" s="448"/>
      <c r="I18" s="2608"/>
      <c r="J18" s="448"/>
      <c r="K18" s="615"/>
      <c r="L18" s="1136"/>
      <c r="M18" s="1127"/>
      <c r="N18" s="1127"/>
      <c r="O18" s="1127"/>
      <c r="P18" s="3232"/>
      <c r="Q18" s="1806"/>
      <c r="R18" s="774"/>
      <c r="S18" s="775"/>
      <c r="T18" s="774"/>
      <c r="U18" s="775"/>
      <c r="V18" s="774"/>
      <c r="W18" s="775"/>
      <c r="X18" s="1809"/>
      <c r="Y18" s="3225"/>
      <c r="Z18" s="1810"/>
      <c r="AA18" s="1807">
        <v>1</v>
      </c>
      <c r="AB18" s="1807">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32"/>
      <c r="Q19" s="1806" t="str">
        <f>B19</f>
        <v>公共配套设施</v>
      </c>
      <c r="R19" s="774" t="s">
        <v>17</v>
      </c>
      <c r="S19" s="775">
        <f>F19</f>
        <v>100</v>
      </c>
      <c r="T19" s="774" t="s">
        <v>17</v>
      </c>
      <c r="U19" s="775">
        <f>H19</f>
        <v>100</v>
      </c>
      <c r="V19" s="774" t="s">
        <v>17</v>
      </c>
      <c r="W19" s="775">
        <f>J19</f>
        <v>100</v>
      </c>
      <c r="X19" s="1809"/>
      <c r="Y19" s="3225"/>
      <c r="Z19" s="1810" t="str">
        <f>Q19</f>
        <v>公共配套设施</v>
      </c>
      <c r="AA19" s="1807">
        <f t="shared" si="3"/>
        <v>1</v>
      </c>
      <c r="AB19" s="1807">
        <f t="shared" si="4"/>
        <v>1</v>
      </c>
      <c r="AC19" s="2672">
        <f t="shared" si="5"/>
        <v>1</v>
      </c>
    </row>
    <row r="20" spans="1:29" ht="15">
      <c r="A20" s="428"/>
      <c r="B20" s="632"/>
      <c r="C20" s="2609"/>
      <c r="D20" s="448"/>
      <c r="E20" s="2602"/>
      <c r="F20" s="448"/>
      <c r="G20" s="2603"/>
      <c r="H20" s="448"/>
      <c r="I20" s="2603"/>
      <c r="J20" s="448"/>
      <c r="K20" s="615"/>
      <c r="L20" s="1136"/>
      <c r="M20" s="1127"/>
      <c r="N20" s="1127"/>
      <c r="O20" s="1127"/>
      <c r="P20" s="3232"/>
      <c r="Q20" s="1806"/>
      <c r="R20" s="774"/>
      <c r="S20" s="775"/>
      <c r="T20" s="774"/>
      <c r="U20" s="775"/>
      <c r="V20" s="774"/>
      <c r="W20" s="775"/>
      <c r="X20" s="1809"/>
      <c r="Y20" s="3225"/>
      <c r="Z20" s="1810"/>
      <c r="AA20" s="1807">
        <v>1</v>
      </c>
      <c r="AB20" s="1807">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32"/>
      <c r="Q21" s="1806" t="str">
        <f>B21</f>
        <v>基础设施水平</v>
      </c>
      <c r="R21" s="774" t="s">
        <v>17</v>
      </c>
      <c r="S21" s="775">
        <f>F21</f>
        <v>100</v>
      </c>
      <c r="T21" s="774" t="s">
        <v>17</v>
      </c>
      <c r="U21" s="775">
        <f>H21</f>
        <v>100</v>
      </c>
      <c r="V21" s="774" t="s">
        <v>17</v>
      </c>
      <c r="W21" s="775">
        <f>J21</f>
        <v>100</v>
      </c>
      <c r="X21" s="1809"/>
      <c r="Y21" s="3225"/>
      <c r="Z21" s="1810" t="str">
        <f>Q21</f>
        <v>基础设施水平</v>
      </c>
      <c r="AA21" s="1807">
        <f t="shared" ref="AA21" si="8">D21/F21</f>
        <v>1</v>
      </c>
      <c r="AB21" s="1807">
        <f t="shared" ref="AB21" si="9">D21/H21</f>
        <v>1</v>
      </c>
      <c r="AC21" s="2672">
        <f t="shared" ref="AC21" si="10">D21/J21</f>
        <v>1</v>
      </c>
    </row>
    <row r="22" spans="1:29" ht="15">
      <c r="A22" s="428"/>
      <c r="B22" s="633"/>
      <c r="C22" s="2674"/>
      <c r="D22" s="448"/>
      <c r="E22" s="447"/>
      <c r="F22" s="448"/>
      <c r="G22" s="2609"/>
      <c r="H22" s="448"/>
      <c r="I22" s="2609"/>
      <c r="J22" s="448"/>
      <c r="K22" s="1379"/>
      <c r="L22" s="1136"/>
      <c r="M22" s="1127"/>
      <c r="N22" s="1127"/>
      <c r="O22" s="1127"/>
      <c r="P22" s="3232"/>
      <c r="Q22" s="1806"/>
      <c r="R22" s="774"/>
      <c r="S22" s="775"/>
      <c r="T22" s="774"/>
      <c r="U22" s="775"/>
      <c r="V22" s="774"/>
      <c r="W22" s="775"/>
      <c r="X22" s="1809"/>
      <c r="Y22" s="3225"/>
      <c r="Z22" s="1810"/>
      <c r="AA22" s="1807">
        <v>1</v>
      </c>
      <c r="AB22" s="1807">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32"/>
      <c r="Q23" s="1806" t="str">
        <f>B23</f>
        <v>环境质量</v>
      </c>
      <c r="R23" s="774" t="s">
        <v>17</v>
      </c>
      <c r="S23" s="775">
        <f>F23</f>
        <v>100</v>
      </c>
      <c r="T23" s="774" t="s">
        <v>17</v>
      </c>
      <c r="U23" s="775">
        <f>H23</f>
        <v>100</v>
      </c>
      <c r="V23" s="774" t="s">
        <v>17</v>
      </c>
      <c r="W23" s="775">
        <f>J23</f>
        <v>100</v>
      </c>
      <c r="X23" s="1809"/>
      <c r="Y23" s="3225"/>
      <c r="Z23" s="1810" t="str">
        <f>Q23</f>
        <v>环境质量</v>
      </c>
      <c r="AA23" s="1807">
        <f t="shared" si="3"/>
        <v>1</v>
      </c>
      <c r="AB23" s="1807">
        <f t="shared" si="4"/>
        <v>1</v>
      </c>
      <c r="AC23" s="2672">
        <f t="shared" si="5"/>
        <v>1</v>
      </c>
    </row>
    <row r="24" spans="1:29" ht="15">
      <c r="A24" s="428"/>
      <c r="B24" s="633"/>
      <c r="C24" s="2609"/>
      <c r="D24" s="448"/>
      <c r="E24" s="2602"/>
      <c r="F24" s="448"/>
      <c r="G24" s="2603"/>
      <c r="H24" s="448"/>
      <c r="I24" s="2603"/>
      <c r="J24" s="448"/>
      <c r="K24" s="615"/>
      <c r="L24" s="1136"/>
      <c r="M24" s="1127"/>
      <c r="N24" s="1127"/>
      <c r="O24" s="1127"/>
      <c r="P24" s="3232"/>
      <c r="Q24" s="1806"/>
      <c r="R24" s="774"/>
      <c r="S24" s="775"/>
      <c r="T24" s="774"/>
      <c r="U24" s="775"/>
      <c r="V24" s="774"/>
      <c r="W24" s="775"/>
      <c r="X24" s="1809"/>
      <c r="Y24" s="3225"/>
      <c r="Z24" s="1810"/>
      <c r="AA24" s="1807">
        <v>1</v>
      </c>
      <c r="AB24" s="1807">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36"/>
      <c r="M25" s="1127"/>
      <c r="N25" s="1127"/>
      <c r="O25" s="1127"/>
      <c r="P25" s="3232"/>
      <c r="Q25" s="1806" t="str">
        <f>B25</f>
        <v>毗邻道路的类型与等级</v>
      </c>
      <c r="R25" s="774" t="s">
        <v>17</v>
      </c>
      <c r="S25" s="775">
        <f>F25</f>
        <v>100</v>
      </c>
      <c r="T25" s="774" t="s">
        <v>17</v>
      </c>
      <c r="U25" s="775">
        <f>H25</f>
        <v>100</v>
      </c>
      <c r="V25" s="774" t="s">
        <v>17</v>
      </c>
      <c r="W25" s="775">
        <f>J25</f>
        <v>100</v>
      </c>
      <c r="X25" s="1809"/>
      <c r="Y25" s="3225"/>
      <c r="Z25" s="1810" t="str">
        <f>Q25</f>
        <v>毗邻道路的类型与等级</v>
      </c>
      <c r="AA25" s="1807">
        <f t="shared" si="3"/>
        <v>1</v>
      </c>
      <c r="AB25" s="1807">
        <f t="shared" si="4"/>
        <v>1</v>
      </c>
      <c r="AC25" s="2672">
        <f t="shared" si="5"/>
        <v>1</v>
      </c>
    </row>
    <row r="26" spans="1:29" ht="15">
      <c r="A26" s="404"/>
      <c r="B26" s="632"/>
      <c r="C26" s="634"/>
      <c r="D26" s="435"/>
      <c r="E26" s="616"/>
      <c r="F26" s="435"/>
      <c r="G26" s="634"/>
      <c r="H26" s="435"/>
      <c r="I26" s="616"/>
      <c r="J26" s="435"/>
      <c r="K26" s="615"/>
      <c r="L26" s="1136"/>
      <c r="M26" s="1127"/>
      <c r="N26" s="1127"/>
      <c r="O26" s="1127"/>
      <c r="P26" s="3232"/>
      <c r="Q26" s="1806"/>
      <c r="R26" s="774"/>
      <c r="S26" s="775"/>
      <c r="T26" s="774"/>
      <c r="U26" s="775"/>
      <c r="V26" s="774"/>
      <c r="W26" s="775"/>
      <c r="X26" s="1809"/>
      <c r="Y26" s="3225"/>
      <c r="Z26" s="1810"/>
      <c r="AA26" s="1807">
        <v>1</v>
      </c>
      <c r="AB26" s="1807">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32"/>
      <c r="Q27" s="1806" t="str">
        <f t="shared" ref="Q27:Q47" si="11">B27</f>
        <v>楼层</v>
      </c>
      <c r="R27" s="774" t="s">
        <v>17</v>
      </c>
      <c r="S27" s="775">
        <f>F27</f>
        <v>100</v>
      </c>
      <c r="T27" s="774" t="s">
        <v>17</v>
      </c>
      <c r="U27" s="775">
        <f>H27</f>
        <v>100</v>
      </c>
      <c r="V27" s="774" t="s">
        <v>17</v>
      </c>
      <c r="W27" s="775">
        <f>J27</f>
        <v>100</v>
      </c>
      <c r="X27" s="1809"/>
      <c r="Y27" s="3225"/>
      <c r="Z27" s="1810" t="str">
        <f>Q27</f>
        <v>楼层</v>
      </c>
      <c r="AA27" s="1807">
        <f t="shared" si="3"/>
        <v>1</v>
      </c>
      <c r="AB27" s="1807">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28"/>
      <c r="M28" s="1129"/>
      <c r="N28" s="1129"/>
      <c r="O28" s="1129"/>
      <c r="P28" s="3232"/>
      <c r="Q28" s="1791" t="str">
        <f t="shared" si="11"/>
        <v>朝向</v>
      </c>
      <c r="R28" s="770" t="s">
        <v>17</v>
      </c>
      <c r="S28" s="771">
        <f>F28</f>
        <v>100</v>
      </c>
      <c r="T28" s="770" t="s">
        <v>17</v>
      </c>
      <c r="U28" s="771">
        <f>H28</f>
        <v>100</v>
      </c>
      <c r="V28" s="770" t="s">
        <v>17</v>
      </c>
      <c r="W28" s="771">
        <f>J28</f>
        <v>100</v>
      </c>
      <c r="X28" s="772"/>
      <c r="Y28" s="3225"/>
      <c r="Z28" s="55" t="str">
        <f>Q28</f>
        <v>朝向</v>
      </c>
      <c r="AA28" s="1807">
        <f>D28/F28</f>
        <v>1</v>
      </c>
      <c r="AB28" s="1807">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6"/>
      <c r="M29" s="1127"/>
      <c r="N29" s="1127"/>
      <c r="O29" s="1127"/>
      <c r="P29" s="3232"/>
      <c r="Q29" s="1806">
        <f t="shared" si="11"/>
        <v>111</v>
      </c>
      <c r="R29" s="774" t="s">
        <v>17</v>
      </c>
      <c r="S29" s="775">
        <f t="shared" ref="S29:S47" si="12">F29</f>
        <v>100</v>
      </c>
      <c r="T29" s="774" t="s">
        <v>17</v>
      </c>
      <c r="U29" s="775">
        <f t="shared" ref="U29:U47" si="13">H29</f>
        <v>100</v>
      </c>
      <c r="V29" s="774" t="s">
        <v>17</v>
      </c>
      <c r="W29" s="775">
        <f t="shared" ref="W29:W47" si="14">J29</f>
        <v>100</v>
      </c>
      <c r="X29" s="1809"/>
      <c r="Y29" s="3225"/>
      <c r="Z29" s="1810">
        <f t="shared" ref="Z29:Z47" si="15">Q29</f>
        <v>111</v>
      </c>
      <c r="AA29" s="1807">
        <f t="shared" si="3"/>
        <v>1</v>
      </c>
      <c r="AB29" s="1807">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6"/>
      <c r="M30" s="1127"/>
      <c r="N30" s="1127"/>
      <c r="O30" s="1127"/>
      <c r="P30" s="3232"/>
      <c r="Q30" s="1806">
        <f t="shared" si="11"/>
        <v>111</v>
      </c>
      <c r="R30" s="774" t="s">
        <v>17</v>
      </c>
      <c r="S30" s="775">
        <f t="shared" si="12"/>
        <v>100</v>
      </c>
      <c r="T30" s="774" t="s">
        <v>17</v>
      </c>
      <c r="U30" s="775">
        <f t="shared" si="13"/>
        <v>100</v>
      </c>
      <c r="V30" s="774" t="s">
        <v>17</v>
      </c>
      <c r="W30" s="775">
        <f t="shared" si="14"/>
        <v>100</v>
      </c>
      <c r="X30" s="1809"/>
      <c r="Y30" s="3225"/>
      <c r="Z30" s="1810">
        <f t="shared" si="15"/>
        <v>111</v>
      </c>
      <c r="AA30" s="1807">
        <f t="shared" si="3"/>
        <v>1</v>
      </c>
      <c r="AB30" s="1807">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6"/>
      <c r="M31" s="1127"/>
      <c r="N31" s="1127"/>
      <c r="O31" s="1127"/>
      <c r="P31" s="3232"/>
      <c r="Q31" s="1806">
        <f t="shared" si="11"/>
        <v>111</v>
      </c>
      <c r="R31" s="774" t="s">
        <v>17</v>
      </c>
      <c r="S31" s="775">
        <f t="shared" si="12"/>
        <v>100</v>
      </c>
      <c r="T31" s="774" t="s">
        <v>17</v>
      </c>
      <c r="U31" s="775">
        <f t="shared" si="13"/>
        <v>100</v>
      </c>
      <c r="V31" s="774" t="s">
        <v>17</v>
      </c>
      <c r="W31" s="775">
        <f t="shared" si="14"/>
        <v>100</v>
      </c>
      <c r="X31" s="1809"/>
      <c r="Y31" s="3225"/>
      <c r="Z31" s="1810">
        <f t="shared" si="15"/>
        <v>111</v>
      </c>
      <c r="AA31" s="1807">
        <f t="shared" si="3"/>
        <v>1</v>
      </c>
      <c r="AB31" s="1807">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6"/>
      <c r="M32" s="1127"/>
      <c r="N32" s="1127"/>
      <c r="O32" s="1127"/>
      <c r="P32" s="3232"/>
      <c r="Q32" s="1806">
        <f t="shared" si="11"/>
        <v>111</v>
      </c>
      <c r="R32" s="774" t="s">
        <v>17</v>
      </c>
      <c r="S32" s="775">
        <f t="shared" si="12"/>
        <v>100</v>
      </c>
      <c r="T32" s="774" t="s">
        <v>17</v>
      </c>
      <c r="U32" s="775">
        <f t="shared" si="13"/>
        <v>100</v>
      </c>
      <c r="V32" s="774" t="s">
        <v>17</v>
      </c>
      <c r="W32" s="775">
        <f t="shared" si="14"/>
        <v>100</v>
      </c>
      <c r="X32" s="1809"/>
      <c r="Y32" s="3225"/>
      <c r="Z32" s="1810">
        <f t="shared" si="15"/>
        <v>111</v>
      </c>
      <c r="AA32" s="1807">
        <f t="shared" si="3"/>
        <v>1</v>
      </c>
      <c r="AB32" s="1807">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6"/>
      <c r="M33" s="1127"/>
      <c r="N33" s="1127"/>
      <c r="O33" s="1127"/>
      <c r="P33" s="3226" t="s">
        <v>2564</v>
      </c>
      <c r="Q33" s="1806" t="str">
        <f t="shared" si="11"/>
        <v>建筑类型</v>
      </c>
      <c r="R33" s="774" t="s">
        <v>17</v>
      </c>
      <c r="S33" s="775">
        <f t="shared" si="12"/>
        <v>100</v>
      </c>
      <c r="T33" s="774" t="s">
        <v>17</v>
      </c>
      <c r="U33" s="775">
        <f t="shared" si="13"/>
        <v>100</v>
      </c>
      <c r="V33" s="774" t="s">
        <v>17</v>
      </c>
      <c r="W33" s="775">
        <f t="shared" si="14"/>
        <v>100</v>
      </c>
      <c r="X33" s="1809"/>
      <c r="Y33" s="3229" t="s">
        <v>2564</v>
      </c>
      <c r="Z33" s="1810" t="str">
        <f t="shared" si="15"/>
        <v>建筑类型</v>
      </c>
      <c r="AA33" s="1807">
        <f t="shared" si="3"/>
        <v>1</v>
      </c>
      <c r="AB33" s="1807">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7"/>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07" t="e">
        <f t="shared" si="3"/>
        <v>#N/A</v>
      </c>
      <c r="AB34" s="1807"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7"/>
      <c r="Q35" s="1806" t="str">
        <f t="shared" si="11"/>
        <v>建筑结构</v>
      </c>
      <c r="R35" s="774" t="s">
        <v>17</v>
      </c>
      <c r="S35" s="775">
        <f t="shared" si="12"/>
        <v>100</v>
      </c>
      <c r="T35" s="774" t="s">
        <v>17</v>
      </c>
      <c r="U35" s="775">
        <f t="shared" si="13"/>
        <v>100</v>
      </c>
      <c r="V35" s="774" t="s">
        <v>17</v>
      </c>
      <c r="W35" s="775">
        <f t="shared" si="14"/>
        <v>100</v>
      </c>
      <c r="X35" s="1809"/>
      <c r="Y35" s="3229"/>
      <c r="Z35" s="1810" t="str">
        <f t="shared" si="15"/>
        <v>建筑结构</v>
      </c>
      <c r="AA35" s="1807">
        <f t="shared" si="3"/>
        <v>1</v>
      </c>
      <c r="AB35" s="1807">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7"/>
      <c r="Q36" s="1806" t="str">
        <f t="shared" si="11"/>
        <v>公共部分装修</v>
      </c>
      <c r="R36" s="774" t="s">
        <v>17</v>
      </c>
      <c r="S36" s="775">
        <f t="shared" si="12"/>
        <v>100</v>
      </c>
      <c r="T36" s="774" t="s">
        <v>17</v>
      </c>
      <c r="U36" s="775">
        <f t="shared" si="13"/>
        <v>100</v>
      </c>
      <c r="V36" s="774" t="s">
        <v>17</v>
      </c>
      <c r="W36" s="775">
        <f t="shared" si="14"/>
        <v>100</v>
      </c>
      <c r="X36" s="1809"/>
      <c r="Y36" s="3229"/>
      <c r="Z36" s="1810" t="str">
        <f t="shared" si="15"/>
        <v>公共部分装修</v>
      </c>
      <c r="AA36" s="1807">
        <f t="shared" si="3"/>
        <v>1</v>
      </c>
      <c r="AB36" s="1807">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7"/>
      <c r="Q37" s="1806" t="str">
        <f t="shared" si="11"/>
        <v>成新度</v>
      </c>
      <c r="R37" s="774" t="s">
        <v>17</v>
      </c>
      <c r="S37" s="775" t="e">
        <f t="shared" si="12"/>
        <v>#N/A</v>
      </c>
      <c r="T37" s="774" t="s">
        <v>17</v>
      </c>
      <c r="U37" s="775" t="e">
        <f t="shared" si="13"/>
        <v>#N/A</v>
      </c>
      <c r="V37" s="774" t="s">
        <v>17</v>
      </c>
      <c r="W37" s="775" t="e">
        <f t="shared" si="14"/>
        <v>#N/A</v>
      </c>
      <c r="X37" s="1809"/>
      <c r="Y37" s="3229"/>
      <c r="Z37" s="1810" t="str">
        <f t="shared" si="15"/>
        <v>成新度</v>
      </c>
      <c r="AA37" s="1807" t="e">
        <f t="shared" si="3"/>
        <v>#N/A</v>
      </c>
      <c r="AB37" s="1807"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7"/>
      <c r="Q38" s="1791"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7" t="s">
        <v>2564</v>
      </c>
      <c r="Q39" s="1806" t="str">
        <f t="shared" si="11"/>
        <v>物业管理</v>
      </c>
      <c r="R39" s="774" t="s">
        <v>17</v>
      </c>
      <c r="S39" s="775">
        <f t="shared" si="12"/>
        <v>100</v>
      </c>
      <c r="T39" s="774" t="s">
        <v>17</v>
      </c>
      <c r="U39" s="775">
        <f t="shared" si="13"/>
        <v>100</v>
      </c>
      <c r="V39" s="774" t="s">
        <v>17</v>
      </c>
      <c r="W39" s="775">
        <f t="shared" si="14"/>
        <v>100</v>
      </c>
      <c r="X39" s="1809"/>
      <c r="Y39" s="3229" t="s">
        <v>2564</v>
      </c>
      <c r="Z39" s="1810" t="str">
        <f t="shared" si="15"/>
        <v>物业管理</v>
      </c>
      <c r="AA39" s="1807">
        <f t="shared" si="3"/>
        <v>1</v>
      </c>
      <c r="AB39" s="1807">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7"/>
      <c r="Q40" s="1806" t="str">
        <f t="shared" si="11"/>
        <v>市政基础设施</v>
      </c>
      <c r="R40" s="774" t="s">
        <v>17</v>
      </c>
      <c r="S40" s="775">
        <f t="shared" si="12"/>
        <v>100</v>
      </c>
      <c r="T40" s="774" t="s">
        <v>17</v>
      </c>
      <c r="U40" s="775">
        <f t="shared" si="13"/>
        <v>100</v>
      </c>
      <c r="V40" s="774" t="s">
        <v>17</v>
      </c>
      <c r="W40" s="775">
        <f t="shared" si="14"/>
        <v>100</v>
      </c>
      <c r="X40" s="1809"/>
      <c r="Y40" s="3229"/>
      <c r="Z40" s="1810" t="str">
        <f t="shared" si="15"/>
        <v>市政基础设施</v>
      </c>
      <c r="AA40" s="1807">
        <f t="shared" si="3"/>
        <v>1</v>
      </c>
      <c r="AB40" s="1807">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7"/>
      <c r="Q41" s="1806" t="str">
        <f t="shared" si="11"/>
        <v>层高</v>
      </c>
      <c r="R41" s="774" t="s">
        <v>17</v>
      </c>
      <c r="S41" s="775">
        <f t="shared" si="12"/>
        <v>100</v>
      </c>
      <c r="T41" s="774" t="s">
        <v>17</v>
      </c>
      <c r="U41" s="775">
        <f t="shared" si="13"/>
        <v>100</v>
      </c>
      <c r="V41" s="774" t="s">
        <v>17</v>
      </c>
      <c r="W41" s="775">
        <f t="shared" si="14"/>
        <v>100</v>
      </c>
      <c r="X41" s="1809"/>
      <c r="Y41" s="3229"/>
      <c r="Z41" s="1810" t="str">
        <f t="shared" si="15"/>
        <v>层高</v>
      </c>
      <c r="AA41" s="1807">
        <f t="shared" si="3"/>
        <v>1</v>
      </c>
      <c r="AB41" s="1807">
        <f t="shared" si="4"/>
        <v>1</v>
      </c>
      <c r="AC41" s="2672">
        <f t="shared" si="5"/>
        <v>1</v>
      </c>
    </row>
    <row r="42" spans="1:29" s="471" customFormat="1" ht="15">
      <c r="A42" s="468"/>
      <c r="B42" s="1808"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07">
        <f t="shared" si="3"/>
        <v>1</v>
      </c>
      <c r="AB42" s="1807">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7"/>
      <c r="Q43" s="1806" t="str">
        <f t="shared" si="11"/>
        <v>内部装修</v>
      </c>
      <c r="R43" s="774" t="s">
        <v>17</v>
      </c>
      <c r="S43" s="775">
        <f t="shared" si="12"/>
        <v>100</v>
      </c>
      <c r="T43" s="774" t="s">
        <v>17</v>
      </c>
      <c r="U43" s="775">
        <f t="shared" si="13"/>
        <v>100</v>
      </c>
      <c r="V43" s="774" t="s">
        <v>17</v>
      </c>
      <c r="W43" s="775">
        <f t="shared" si="14"/>
        <v>100</v>
      </c>
      <c r="X43" s="1809"/>
      <c r="Y43" s="3229"/>
      <c r="Z43" s="1810" t="str">
        <f t="shared" si="15"/>
        <v>内部装修</v>
      </c>
      <c r="AA43" s="1807">
        <f t="shared" si="3"/>
        <v>1</v>
      </c>
      <c r="AB43" s="1807">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6"/>
      <c r="M44" s="1127"/>
      <c r="N44" s="1127"/>
      <c r="O44" s="1127"/>
      <c r="P44" s="3227"/>
      <c r="Q44" s="1806" t="str">
        <f t="shared" si="11"/>
        <v>内部装修维护情况</v>
      </c>
      <c r="R44" s="774" t="s">
        <v>17</v>
      </c>
      <c r="S44" s="775">
        <f t="shared" si="12"/>
        <v>100</v>
      </c>
      <c r="T44" s="774" t="s">
        <v>17</v>
      </c>
      <c r="U44" s="775">
        <f t="shared" si="13"/>
        <v>100</v>
      </c>
      <c r="V44" s="774" t="s">
        <v>17</v>
      </c>
      <c r="W44" s="775">
        <f t="shared" si="14"/>
        <v>100</v>
      </c>
      <c r="X44" s="1809"/>
      <c r="Y44" s="3229"/>
      <c r="Z44" s="1810" t="str">
        <f t="shared" si="15"/>
        <v>内部装修维护情况</v>
      </c>
      <c r="AA44" s="1807">
        <f t="shared" si="3"/>
        <v>1</v>
      </c>
      <c r="AB44" s="1807">
        <f t="shared" si="4"/>
        <v>1</v>
      </c>
      <c r="AC44" s="2672">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7"/>
      <c r="Q45" s="1791">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69">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7"/>
      <c r="Q46" s="1806">
        <f t="shared" si="11"/>
        <v>111</v>
      </c>
      <c r="R46" s="774" t="s">
        <v>17</v>
      </c>
      <c r="S46" s="775">
        <f t="shared" si="12"/>
        <v>100</v>
      </c>
      <c r="T46" s="774" t="s">
        <v>17</v>
      </c>
      <c r="U46" s="775">
        <f t="shared" si="13"/>
        <v>100</v>
      </c>
      <c r="V46" s="774" t="s">
        <v>17</v>
      </c>
      <c r="W46" s="775">
        <f t="shared" si="14"/>
        <v>100</v>
      </c>
      <c r="X46" s="1809"/>
      <c r="Y46" s="3229"/>
      <c r="Z46" s="1810">
        <f t="shared" si="15"/>
        <v>111</v>
      </c>
      <c r="AA46" s="1807">
        <f t="shared" si="3"/>
        <v>1</v>
      </c>
      <c r="AB46" s="1807">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8"/>
      <c r="Q47" s="1806">
        <f t="shared" si="11"/>
        <v>111</v>
      </c>
      <c r="R47" s="774" t="s">
        <v>17</v>
      </c>
      <c r="S47" s="775">
        <f t="shared" si="12"/>
        <v>100</v>
      </c>
      <c r="T47" s="774" t="s">
        <v>17</v>
      </c>
      <c r="U47" s="775">
        <f t="shared" si="13"/>
        <v>100</v>
      </c>
      <c r="V47" s="774" t="s">
        <v>17</v>
      </c>
      <c r="W47" s="775">
        <f t="shared" si="14"/>
        <v>100</v>
      </c>
      <c r="X47" s="1809"/>
      <c r="Y47" s="3230"/>
      <c r="Z47" s="1810">
        <f t="shared" si="15"/>
        <v>111</v>
      </c>
      <c r="AA47" s="1807">
        <f t="shared" si="3"/>
        <v>1</v>
      </c>
      <c r="AB47" s="1807">
        <f t="shared" si="4"/>
        <v>1</v>
      </c>
      <c r="AC47" s="2672">
        <f t="shared" si="5"/>
        <v>1</v>
      </c>
    </row>
    <row r="48" spans="1:29" ht="15">
      <c r="A48" s="479" t="s">
        <v>2576</v>
      </c>
      <c r="B48" s="480"/>
      <c r="C48" s="1403" t="s">
        <v>1</v>
      </c>
      <c r="D48" s="1404"/>
      <c r="E48" s="1405"/>
      <c r="F48" s="1406"/>
      <c r="G48" s="1407"/>
      <c r="H48" s="1408"/>
      <c r="I48" s="1405"/>
      <c r="J48" s="485"/>
      <c r="K48" s="783"/>
      <c r="L48" s="1139"/>
      <c r="M48" s="1127"/>
      <c r="N48" s="1127"/>
      <c r="O48" s="1127"/>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2668</v>
      </c>
      <c r="B49" s="487"/>
      <c r="C49" s="1409" t="e">
        <f>R50</f>
        <v>#DIV/0!</v>
      </c>
      <c r="D49" s="1410"/>
      <c r="E49" s="1411" t="e">
        <f>R49</f>
        <v>#DIV/0!</v>
      </c>
      <c r="F49" s="1411"/>
      <c r="G49" s="1409" t="e">
        <f>T49</f>
        <v>#DIV/0!</v>
      </c>
      <c r="H49" s="1410"/>
      <c r="I49" s="1411" t="e">
        <f>V49</f>
        <v>#DIV/0!</v>
      </c>
      <c r="J49" s="489"/>
      <c r="K49" s="784"/>
      <c r="L49" s="1139"/>
      <c r="M49" s="1127"/>
      <c r="N49" s="1127"/>
      <c r="O49" s="1127"/>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2669</v>
      </c>
      <c r="B50" s="493"/>
      <c r="C50" s="1413" t="e">
        <f>R50</f>
        <v>#DIV/0!</v>
      </c>
      <c r="D50" s="1413"/>
      <c r="E50" s="1413"/>
      <c r="F50" s="1413"/>
      <c r="G50" s="1413"/>
      <c r="H50" s="1413"/>
      <c r="I50" s="1413"/>
      <c r="J50" s="494"/>
      <c r="K50" s="785"/>
      <c r="L50" s="1139"/>
      <c r="M50" s="1127"/>
      <c r="N50" s="1127"/>
      <c r="O50" s="1127"/>
      <c r="P50" s="3245" t="str">
        <f>A50</f>
        <v>估价对象XX用房的比较价值（楼面单价，元/平方米）</v>
      </c>
      <c r="Q50" s="3246"/>
      <c r="R50" s="3247" t="e">
        <f>IF(F1="售价",ROUND(AVERAGE(R49:V49),0),ROUND(AVERAGE(R49:V49),1))</f>
        <v>#DIV/0!</v>
      </c>
      <c r="S50" s="3247"/>
      <c r="T50" s="3247"/>
      <c r="U50" s="3247"/>
      <c r="V50" s="3247"/>
      <c r="W50" s="3247"/>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8"/>
    </row>
    <row r="56" spans="1:29" s="502"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63" t="s">
        <v>2673</v>
      </c>
      <c r="B58" s="759"/>
      <c r="C58" s="764"/>
      <c r="D58" s="764"/>
      <c r="E58" s="764"/>
      <c r="F58" s="765"/>
      <c r="G58" s="765"/>
      <c r="H58" s="764"/>
      <c r="I58" s="764"/>
      <c r="J58" s="764"/>
      <c r="K58" s="766"/>
      <c r="L58" s="1157"/>
      <c r="M58" s="1155"/>
      <c r="N58" s="1155"/>
      <c r="O58" s="1155"/>
      <c r="P58" s="2679"/>
      <c r="Q58" s="504"/>
    </row>
    <row r="59" spans="1:29" s="508" customFormat="1" ht="15">
      <c r="A59" s="505" t="s">
        <v>2547</v>
      </c>
      <c r="B59" s="506"/>
      <c r="C59" s="1570" t="str">
        <f>YEAR(C7)&amp;"-"&amp;MONTH(C7)</f>
        <v>2019-10</v>
      </c>
      <c r="D59" s="1571">
        <f>EDATE(C59,-1)</f>
        <v>43709</v>
      </c>
      <c r="E59" s="1571">
        <f>EDATE(D59,-1)</f>
        <v>43678</v>
      </c>
      <c r="F59" s="1571">
        <f t="shared" ref="F59:O59" si="16">EDATE(E59,-1)</f>
        <v>43647</v>
      </c>
      <c r="G59" s="1571">
        <f t="shared" si="16"/>
        <v>43617</v>
      </c>
      <c r="H59" s="1571">
        <f t="shared" si="16"/>
        <v>43586</v>
      </c>
      <c r="I59" s="1571">
        <f t="shared" si="16"/>
        <v>43556</v>
      </c>
      <c r="J59" s="1571">
        <f t="shared" si="16"/>
        <v>43525</v>
      </c>
      <c r="K59" s="1571">
        <f t="shared" si="16"/>
        <v>43497</v>
      </c>
      <c r="L59" s="1571">
        <f t="shared" si="16"/>
        <v>43466</v>
      </c>
      <c r="M59" s="1571">
        <f t="shared" si="16"/>
        <v>43435</v>
      </c>
      <c r="N59" s="1571">
        <f t="shared" si="16"/>
        <v>43405</v>
      </c>
      <c r="O59" s="1571">
        <f t="shared" si="16"/>
        <v>43374</v>
      </c>
      <c r="P59" s="1567"/>
    </row>
    <row r="60" spans="1:29" s="117" customFormat="1" ht="15">
      <c r="A60" s="509"/>
      <c r="B60" s="510"/>
      <c r="C60" s="1569">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47"/>
      <c r="O62" s="1147"/>
      <c r="P62" s="2681"/>
      <c r="Q62" s="504"/>
    </row>
    <row r="63" spans="1:29" s="117" customFormat="1" ht="15.75" thickBot="1">
      <c r="A63" s="521"/>
      <c r="B63" s="510"/>
      <c r="C63" s="511">
        <v>100</v>
      </c>
      <c r="D63" s="512"/>
      <c r="E63" s="512"/>
      <c r="F63" s="512"/>
      <c r="G63" s="512"/>
      <c r="H63" s="512"/>
      <c r="I63" s="512"/>
      <c r="J63" s="512"/>
      <c r="K63" s="512"/>
      <c r="L63" s="512"/>
      <c r="M63" s="514"/>
      <c r="N63" s="1147"/>
      <c r="O63" s="1147"/>
      <c r="P63" s="2680"/>
      <c r="Q63" s="504"/>
    </row>
    <row r="64" spans="1:29">
      <c r="A64" s="527" t="s">
        <v>2587</v>
      </c>
      <c r="B64" s="528" t="s">
        <v>2553</v>
      </c>
      <c r="C64" s="529">
        <f>C9</f>
        <v>0</v>
      </c>
      <c r="D64" s="530"/>
      <c r="E64" s="530"/>
      <c r="F64" s="530"/>
      <c r="G64" s="530"/>
      <c r="H64" s="530"/>
      <c r="I64" s="530"/>
      <c r="J64" s="530"/>
      <c r="K64" s="531"/>
      <c r="L64" s="532"/>
      <c r="M64" s="533"/>
      <c r="N64" s="1148"/>
      <c r="O64" s="1148"/>
      <c r="P64" s="2682"/>
      <c r="Q64" s="504"/>
    </row>
    <row r="65" spans="1:17" ht="15.75" thickBot="1">
      <c r="A65" s="534"/>
      <c r="B65" s="535"/>
      <c r="C65" s="536">
        <v>100</v>
      </c>
      <c r="D65" s="536"/>
      <c r="E65" s="536"/>
      <c r="F65" s="536"/>
      <c r="G65" s="536"/>
      <c r="H65" s="536"/>
      <c r="I65" s="536"/>
      <c r="J65" s="536"/>
      <c r="K65" s="536"/>
      <c r="L65" s="536"/>
      <c r="M65" s="537"/>
      <c r="N65" s="1149"/>
      <c r="O65" s="1149"/>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8"/>
      <c r="O66" s="1148"/>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2"/>
      <c r="Q68" s="504"/>
    </row>
    <row r="69" spans="1:17" ht="15">
      <c r="A69" s="534"/>
      <c r="B69" s="548"/>
      <c r="C69" s="549"/>
      <c r="D69" s="549"/>
      <c r="E69" s="549"/>
      <c r="F69" s="549"/>
      <c r="G69" s="549"/>
      <c r="H69" s="549"/>
      <c r="I69" s="549"/>
      <c r="J69" s="549"/>
      <c r="K69" s="550"/>
      <c r="L69" s="551"/>
      <c r="M69" s="552"/>
      <c r="N69" s="1148"/>
      <c r="O69" s="1148"/>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2"/>
      <c r="Q70" s="504"/>
    </row>
    <row r="71" spans="1:17" s="471" customFormat="1" ht="15.75" thickTop="1">
      <c r="A71" s="553"/>
      <c r="B71" s="538">
        <f>B12</f>
        <v>111</v>
      </c>
      <c r="C71" s="554"/>
      <c r="D71" s="554"/>
      <c r="E71" s="554"/>
      <c r="F71" s="554"/>
      <c r="G71" s="554"/>
      <c r="H71" s="555"/>
      <c r="I71" s="555"/>
      <c r="J71" s="555"/>
      <c r="K71" s="555"/>
      <c r="L71" s="556"/>
      <c r="M71" s="557"/>
      <c r="N71" s="1150"/>
      <c r="O71" s="1150"/>
      <c r="P71" s="2683"/>
      <c r="Q71" s="559"/>
    </row>
    <row r="72" spans="1:17" s="471" customFormat="1" ht="15.75" thickBot="1">
      <c r="A72" s="553"/>
      <c r="B72" s="543"/>
      <c r="C72" s="560"/>
      <c r="D72" s="536"/>
      <c r="E72" s="536"/>
      <c r="F72" s="536"/>
      <c r="G72" s="536"/>
      <c r="H72" s="536"/>
      <c r="I72" s="536"/>
      <c r="J72" s="536"/>
      <c r="K72" s="536"/>
      <c r="L72" s="536"/>
      <c r="M72" s="537"/>
      <c r="N72" s="1149"/>
      <c r="O72" s="1149"/>
      <c r="P72" s="2683"/>
      <c r="Q72" s="559"/>
    </row>
    <row r="73" spans="1:17" s="471" customFormat="1" ht="15.75" thickTop="1">
      <c r="A73" s="553"/>
      <c r="B73" s="538">
        <f>B13</f>
        <v>111</v>
      </c>
      <c r="C73" s="554"/>
      <c r="D73" s="554"/>
      <c r="E73" s="554"/>
      <c r="F73" s="554"/>
      <c r="G73" s="554"/>
      <c r="H73" s="555"/>
      <c r="I73" s="555"/>
      <c r="J73" s="555"/>
      <c r="K73" s="555"/>
      <c r="L73" s="556"/>
      <c r="M73" s="557"/>
      <c r="N73" s="1150"/>
      <c r="O73" s="1150"/>
      <c r="P73" s="2684"/>
      <c r="Q73" s="561"/>
    </row>
    <row r="74" spans="1:17" s="471" customFormat="1" ht="15.75" thickBot="1">
      <c r="A74" s="553"/>
      <c r="B74" s="543"/>
      <c r="C74" s="560"/>
      <c r="D74" s="560"/>
      <c r="E74" s="560"/>
      <c r="F74" s="560"/>
      <c r="G74" s="560"/>
      <c r="H74" s="562"/>
      <c r="I74" s="562"/>
      <c r="J74" s="562"/>
      <c r="K74" s="562"/>
      <c r="L74" s="562"/>
      <c r="M74" s="563"/>
      <c r="N74" s="1150"/>
      <c r="O74" s="1150"/>
      <c r="P74" s="2683"/>
      <c r="Q74" s="559"/>
    </row>
    <row r="75" spans="1:17" s="471" customFormat="1" ht="15.75" thickTop="1">
      <c r="A75" s="553"/>
      <c r="B75" s="546">
        <f>B14</f>
        <v>111</v>
      </c>
      <c r="C75" s="523"/>
      <c r="D75" s="523"/>
      <c r="E75" s="523"/>
      <c r="F75" s="523"/>
      <c r="G75" s="523"/>
      <c r="H75" s="564"/>
      <c r="I75" s="564"/>
      <c r="J75" s="564"/>
      <c r="K75" s="564"/>
      <c r="L75" s="565"/>
      <c r="M75" s="566"/>
      <c r="N75" s="1150"/>
      <c r="O75" s="1150"/>
      <c r="P75" s="2685"/>
      <c r="Q75" s="559"/>
    </row>
    <row r="76" spans="1:17" s="471" customFormat="1" ht="15.75" thickBot="1">
      <c r="A76" s="568"/>
      <c r="B76" s="569"/>
      <c r="C76" s="570"/>
      <c r="D76" s="570"/>
      <c r="E76" s="570"/>
      <c r="F76" s="570"/>
      <c r="G76" s="570"/>
      <c r="H76" s="571"/>
      <c r="I76" s="571"/>
      <c r="J76" s="571"/>
      <c r="K76" s="571"/>
      <c r="L76" s="571"/>
      <c r="M76" s="572"/>
      <c r="N76" s="1150"/>
      <c r="O76" s="1150"/>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8"/>
      <c r="O77" s="1148"/>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8"/>
      <c r="O79" s="1148"/>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8"/>
      <c r="O81" s="1148"/>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78"/>
      <c r="N83" s="1149"/>
      <c r="O83" s="1149"/>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8"/>
      <c r="O85" s="1148"/>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2"/>
      <c r="Q86" s="504"/>
    </row>
    <row r="87" spans="1:17" s="117" customFormat="1" ht="27.75" thickTop="1">
      <c r="A87" s="579"/>
      <c r="B87" s="538" t="s">
        <v>2698</v>
      </c>
      <c r="C87" s="554"/>
      <c r="D87" s="554"/>
      <c r="E87" s="554"/>
      <c r="F87" s="554"/>
      <c r="G87" s="554"/>
      <c r="H87" s="554"/>
      <c r="I87" s="554"/>
      <c r="J87" s="554"/>
      <c r="K87" s="554"/>
      <c r="L87" s="580"/>
      <c r="M87" s="581"/>
      <c r="N87" s="1147"/>
      <c r="O87" s="1147"/>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2"/>
      <c r="Q88" s="504"/>
    </row>
    <row r="89" spans="1:17" s="117" customFormat="1" ht="15.75" thickTop="1">
      <c r="A89" s="579"/>
      <c r="B89" s="538" t="str">
        <f>B27</f>
        <v>楼层</v>
      </c>
      <c r="C89" s="554"/>
      <c r="D89" s="554"/>
      <c r="E89" s="554"/>
      <c r="F89" s="2633"/>
      <c r="G89" s="554"/>
      <c r="H89" s="554"/>
      <c r="I89" s="554"/>
      <c r="J89" s="554"/>
      <c r="K89" s="554"/>
      <c r="L89" s="554"/>
      <c r="M89" s="581"/>
      <c r="N89" s="1147"/>
      <c r="O89" s="1147"/>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2"/>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3"/>
      <c r="Q92" s="559"/>
    </row>
    <row r="93" spans="1:17" ht="15.75" thickTop="1">
      <c r="A93" s="534"/>
      <c r="B93" s="538">
        <f>B29</f>
        <v>111</v>
      </c>
      <c r="C93" s="554"/>
      <c r="D93" s="554"/>
      <c r="E93" s="554"/>
      <c r="F93" s="554"/>
      <c r="G93" s="554"/>
      <c r="H93" s="554"/>
      <c r="I93" s="554"/>
      <c r="J93" s="554"/>
      <c r="K93" s="554"/>
      <c r="L93" s="580"/>
      <c r="M93" s="581"/>
      <c r="N93" s="1148"/>
      <c r="O93" s="1148"/>
      <c r="P93" s="2682"/>
      <c r="Q93" s="504"/>
    </row>
    <row r="94" spans="1:17" ht="15.75" thickBot="1">
      <c r="A94" s="534"/>
      <c r="B94" s="543"/>
      <c r="C94" s="560"/>
      <c r="D94" s="536"/>
      <c r="E94" s="536"/>
      <c r="F94" s="536"/>
      <c r="G94" s="536"/>
      <c r="H94" s="536"/>
      <c r="I94" s="536"/>
      <c r="J94" s="536"/>
      <c r="K94" s="536"/>
      <c r="L94" s="536"/>
      <c r="M94" s="537"/>
      <c r="N94" s="1149"/>
      <c r="O94" s="1149"/>
      <c r="P94" s="2682"/>
      <c r="Q94" s="504"/>
    </row>
    <row r="95" spans="1:17" ht="15.75" thickTop="1">
      <c r="A95" s="534"/>
      <c r="B95" s="538">
        <f>B30</f>
        <v>111</v>
      </c>
      <c r="C95" s="554"/>
      <c r="D95" s="554"/>
      <c r="E95" s="554"/>
      <c r="F95" s="554"/>
      <c r="G95" s="583"/>
      <c r="H95" s="583"/>
      <c r="I95" s="583"/>
      <c r="J95" s="583"/>
      <c r="K95" s="584"/>
      <c r="L95" s="585"/>
      <c r="M95" s="586"/>
      <c r="N95" s="1148"/>
      <c r="O95" s="1148"/>
      <c r="P95" s="2682"/>
      <c r="Q95" s="504"/>
    </row>
    <row r="96" spans="1:17" ht="15.75" thickBot="1">
      <c r="A96" s="534"/>
      <c r="B96" s="543"/>
      <c r="C96" s="560"/>
      <c r="D96" s="560"/>
      <c r="E96" s="560"/>
      <c r="F96" s="560"/>
      <c r="G96" s="536"/>
      <c r="H96" s="536"/>
      <c r="I96" s="536"/>
      <c r="J96" s="536"/>
      <c r="K96" s="536"/>
      <c r="L96" s="536"/>
      <c r="M96" s="537"/>
      <c r="N96" s="1149"/>
      <c r="O96" s="1149"/>
      <c r="P96" s="2682"/>
      <c r="Q96" s="504"/>
    </row>
    <row r="97" spans="1:17" ht="15.75" thickTop="1">
      <c r="A97" s="534"/>
      <c r="B97" s="538">
        <f>B31</f>
        <v>111</v>
      </c>
      <c r="C97" s="554"/>
      <c r="D97" s="554"/>
      <c r="E97" s="554"/>
      <c r="F97" s="554"/>
      <c r="G97" s="583"/>
      <c r="H97" s="583"/>
      <c r="I97" s="583"/>
      <c r="J97" s="583"/>
      <c r="K97" s="584"/>
      <c r="L97" s="585"/>
      <c r="M97" s="586"/>
      <c r="N97" s="1148"/>
      <c r="O97" s="1148"/>
      <c r="P97" s="2682"/>
      <c r="Q97" s="504"/>
    </row>
    <row r="98" spans="1:17" ht="15.75" thickBot="1">
      <c r="A98" s="534"/>
      <c r="B98" s="543"/>
      <c r="C98" s="560"/>
      <c r="D98" s="536"/>
      <c r="E98" s="536"/>
      <c r="F98" s="536"/>
      <c r="G98" s="536"/>
      <c r="H98" s="536"/>
      <c r="I98" s="536"/>
      <c r="J98" s="536"/>
      <c r="K98" s="536"/>
      <c r="L98" s="536"/>
      <c r="M98" s="537"/>
      <c r="N98" s="1149"/>
      <c r="O98" s="1149"/>
      <c r="P98" s="2682"/>
      <c r="Q98" s="504"/>
    </row>
    <row r="99" spans="1:17" ht="15.75" thickTop="1">
      <c r="A99" s="534"/>
      <c r="B99" s="546">
        <f>B32</f>
        <v>111</v>
      </c>
      <c r="C99" s="523"/>
      <c r="D99" s="523"/>
      <c r="E99" s="523"/>
      <c r="F99" s="523"/>
      <c r="G99" s="587"/>
      <c r="H99" s="587"/>
      <c r="I99" s="587"/>
      <c r="J99" s="587"/>
      <c r="K99" s="588"/>
      <c r="L99" s="589"/>
      <c r="M99" s="590"/>
      <c r="N99" s="1148"/>
      <c r="O99" s="1148"/>
      <c r="P99" s="2682"/>
      <c r="Q99" s="504"/>
    </row>
    <row r="100" spans="1:17" ht="15.75" thickBot="1">
      <c r="A100" s="2634"/>
      <c r="B100" s="569"/>
      <c r="C100" s="570"/>
      <c r="D100" s="570"/>
      <c r="E100" s="570"/>
      <c r="F100" s="570"/>
      <c r="G100" s="591"/>
      <c r="H100" s="591"/>
      <c r="I100" s="591"/>
      <c r="J100" s="591"/>
      <c r="K100" s="591"/>
      <c r="L100" s="591"/>
      <c r="M100" s="592"/>
      <c r="N100" s="1149"/>
      <c r="O100" s="1149"/>
      <c r="P100" s="2682"/>
      <c r="Q100" s="504"/>
    </row>
    <row r="101" spans="1:17">
      <c r="A101" s="527" t="s">
        <v>2562</v>
      </c>
      <c r="B101" s="528" t="s">
        <v>2611</v>
      </c>
      <c r="C101" s="530"/>
      <c r="D101" s="530"/>
      <c r="E101" s="530"/>
      <c r="F101" s="530"/>
      <c r="G101" s="530"/>
      <c r="H101" s="530"/>
      <c r="I101" s="530"/>
      <c r="J101" s="530"/>
      <c r="K101" s="531"/>
      <c r="L101" s="532"/>
      <c r="M101" s="533"/>
      <c r="N101" s="1148"/>
      <c r="O101" s="1148"/>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2"/>
      <c r="Q103" s="504"/>
    </row>
    <row r="104" spans="1:17" s="471" customFormat="1">
      <c r="A104" s="593"/>
      <c r="B104" s="594"/>
      <c r="C104" s="595"/>
      <c r="D104" s="595"/>
      <c r="E104" s="595"/>
      <c r="F104" s="595"/>
      <c r="G104" s="595"/>
      <c r="H104" s="595"/>
      <c r="I104" s="595"/>
      <c r="J104" s="596"/>
      <c r="K104" s="596"/>
      <c r="L104" s="597"/>
      <c r="M104" s="598"/>
      <c r="N104" s="1150"/>
      <c r="O104" s="1150"/>
      <c r="P104" s="2683"/>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3"/>
      <c r="Q105" s="559"/>
    </row>
    <row r="106" spans="1:17" ht="15" thickTop="1">
      <c r="A106" s="599"/>
      <c r="B106" s="538" t="s">
        <v>2613</v>
      </c>
      <c r="C106" s="554"/>
      <c r="D106" s="554"/>
      <c r="E106" s="583"/>
      <c r="F106" s="583"/>
      <c r="G106" s="583"/>
      <c r="H106" s="583"/>
      <c r="I106" s="583"/>
      <c r="J106" s="583"/>
      <c r="K106" s="584"/>
      <c r="L106" s="585"/>
      <c r="M106" s="586"/>
      <c r="N106" s="1148"/>
      <c r="O106" s="1148"/>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2"/>
      <c r="Q107" s="504"/>
    </row>
    <row r="108" spans="1:17" ht="15" thickTop="1">
      <c r="A108" s="599"/>
      <c r="B108" s="538" t="s">
        <v>2615</v>
      </c>
      <c r="C108" s="554"/>
      <c r="D108" s="554"/>
      <c r="E108" s="554"/>
      <c r="F108" s="583"/>
      <c r="G108" s="583"/>
      <c r="H108" s="583"/>
      <c r="I108" s="583"/>
      <c r="J108" s="583"/>
      <c r="K108" s="584"/>
      <c r="L108" s="585"/>
      <c r="M108" s="586"/>
      <c r="N108" s="1148"/>
      <c r="O108" s="1148"/>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2"/>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2"/>
      <c r="Q112" s="504"/>
    </row>
    <row r="113" spans="1:17" s="471" customFormat="1" ht="15" thickTop="1">
      <c r="A113" s="593"/>
      <c r="B113" s="538" t="s">
        <v>2699</v>
      </c>
      <c r="C113" s="554"/>
      <c r="D113" s="554"/>
      <c r="E113" s="554"/>
      <c r="F113" s="554"/>
      <c r="G113" s="554"/>
      <c r="H113" s="583"/>
      <c r="I113" s="583"/>
      <c r="J113" s="583"/>
      <c r="K113" s="584"/>
      <c r="L113" s="585"/>
      <c r="M113" s="586"/>
      <c r="N113" s="1150"/>
      <c r="O113" s="1150"/>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3"/>
      <c r="Q114" s="559"/>
    </row>
    <row r="115" spans="1:17" ht="15" thickTop="1">
      <c r="A115" s="599"/>
      <c r="B115" s="538" t="s">
        <v>2616</v>
      </c>
      <c r="C115" s="554"/>
      <c r="D115" s="554"/>
      <c r="E115" s="583"/>
      <c r="F115" s="583"/>
      <c r="G115" s="583"/>
      <c r="H115" s="583"/>
      <c r="I115" s="583"/>
      <c r="J115" s="583"/>
      <c r="K115" s="584"/>
      <c r="L115" s="585"/>
      <c r="M115" s="586"/>
      <c r="N115" s="1148"/>
      <c r="O115" s="1148"/>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2"/>
      <c r="Q116" s="504"/>
    </row>
    <row r="117" spans="1:17" ht="15" thickTop="1">
      <c r="A117" s="599"/>
      <c r="B117" s="538" t="s">
        <v>2617</v>
      </c>
      <c r="C117" s="554"/>
      <c r="D117" s="554"/>
      <c r="E117" s="554"/>
      <c r="F117" s="554"/>
      <c r="G117" s="554"/>
      <c r="H117" s="583"/>
      <c r="I117" s="583"/>
      <c r="J117" s="583"/>
      <c r="K117" s="584"/>
      <c r="L117" s="585"/>
      <c r="M117" s="586"/>
      <c r="N117" s="1148"/>
      <c r="O117" s="1148"/>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2"/>
      <c r="Q118" s="504"/>
    </row>
    <row r="119" spans="1:17" ht="15" thickTop="1">
      <c r="A119" s="599"/>
      <c r="B119" s="636" t="s">
        <v>2700</v>
      </c>
      <c r="C119" s="583"/>
      <c r="D119" s="583"/>
      <c r="E119" s="583"/>
      <c r="F119" s="583"/>
      <c r="G119" s="583"/>
      <c r="H119" s="583"/>
      <c r="I119" s="583"/>
      <c r="J119" s="583"/>
      <c r="K119" s="583"/>
      <c r="L119" s="2687"/>
      <c r="M119" s="2688"/>
      <c r="N119" s="1149"/>
      <c r="O119" s="1149"/>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2"/>
      <c r="Q120" s="504"/>
    </row>
    <row r="121" spans="1:17" s="471" customFormat="1" ht="15" thickTop="1">
      <c r="A121" s="593"/>
      <c r="B121" s="538" t="s">
        <v>2683</v>
      </c>
      <c r="C121" s="554"/>
      <c r="D121" s="554"/>
      <c r="E121" s="554"/>
      <c r="F121" s="583"/>
      <c r="G121" s="555"/>
      <c r="H121" s="555"/>
      <c r="I121" s="555"/>
      <c r="J121" s="555"/>
      <c r="K121" s="555"/>
      <c r="L121" s="556"/>
      <c r="M121" s="557"/>
      <c r="N121" s="1150"/>
      <c r="O121" s="1150"/>
      <c r="P121" s="2683"/>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3"/>
      <c r="Q122" s="559"/>
    </row>
    <row r="123" spans="1:17" ht="15" thickTop="1">
      <c r="A123" s="599"/>
      <c r="B123" s="538" t="s">
        <v>2619</v>
      </c>
      <c r="C123" s="554"/>
      <c r="D123" s="554"/>
      <c r="E123" s="554"/>
      <c r="F123" s="583"/>
      <c r="G123" s="583"/>
      <c r="H123" s="583"/>
      <c r="I123" s="583"/>
      <c r="J123" s="583"/>
      <c r="K123" s="584"/>
      <c r="L123" s="585"/>
      <c r="M123" s="586"/>
      <c r="N123" s="1148"/>
      <c r="O123" s="1148"/>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8"/>
      <c r="O125" s="1148"/>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2"/>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3"/>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3"/>
      <c r="Q128" s="559"/>
    </row>
    <row r="129" spans="1:17" ht="15" thickTop="1">
      <c r="A129" s="599"/>
      <c r="B129" s="538">
        <f>B46</f>
        <v>111</v>
      </c>
      <c r="C129" s="554"/>
      <c r="D129" s="554"/>
      <c r="E129" s="554"/>
      <c r="F129" s="554"/>
      <c r="G129" s="583"/>
      <c r="H129" s="583"/>
      <c r="I129" s="583"/>
      <c r="J129" s="583"/>
      <c r="K129" s="584"/>
      <c r="L129" s="585"/>
      <c r="M129" s="586"/>
      <c r="N129" s="1148"/>
      <c r="O129" s="1148"/>
      <c r="P129" s="2682"/>
      <c r="Q129" s="504"/>
    </row>
    <row r="130" spans="1:17" ht="15.75" thickBot="1">
      <c r="A130" s="534"/>
      <c r="B130" s="543"/>
      <c r="C130" s="560"/>
      <c r="D130" s="560"/>
      <c r="E130" s="560"/>
      <c r="F130" s="560"/>
      <c r="G130" s="536"/>
      <c r="H130" s="536"/>
      <c r="I130" s="536"/>
      <c r="J130" s="536"/>
      <c r="K130" s="536"/>
      <c r="L130" s="536"/>
      <c r="M130" s="537"/>
      <c r="N130" s="1149"/>
      <c r="O130" s="1149"/>
      <c r="P130" s="2682"/>
      <c r="Q130" s="504"/>
    </row>
    <row r="131" spans="1:17" ht="15" thickTop="1">
      <c r="A131" s="599"/>
      <c r="B131" s="546">
        <f>B47</f>
        <v>111</v>
      </c>
      <c r="C131" s="523"/>
      <c r="D131" s="523"/>
      <c r="E131" s="523"/>
      <c r="F131" s="523"/>
      <c r="G131" s="587"/>
      <c r="H131" s="587"/>
      <c r="I131" s="587"/>
      <c r="J131" s="587"/>
      <c r="K131" s="523"/>
      <c r="L131" s="524"/>
      <c r="M131" s="590"/>
      <c r="N131" s="1148"/>
      <c r="O131" s="1148"/>
      <c r="P131" s="2682"/>
      <c r="Q131" s="504"/>
    </row>
    <row r="132" spans="1:17" ht="15.75" thickBot="1">
      <c r="A132" s="2634"/>
      <c r="B132" s="569"/>
      <c r="C132" s="570"/>
      <c r="D132" s="570"/>
      <c r="E132" s="570"/>
      <c r="F132" s="570"/>
      <c r="G132" s="591"/>
      <c r="H132" s="591"/>
      <c r="I132" s="591"/>
      <c r="J132" s="591"/>
      <c r="K132" s="591"/>
      <c r="L132" s="591"/>
      <c r="M132" s="592"/>
      <c r="N132" s="1149"/>
      <c r="O132" s="1149"/>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16" stopIfTrue="1" operator="containsText" text="超过">
      <formula>NOT(ISERROR(SEARCH("超过",F53)))</formula>
    </cfRule>
  </conditionalFormatting>
  <conditionalFormatting sqref="H55">
    <cfRule type="containsText" dxfId="113" priority="15" stopIfTrue="1" operator="containsText" text="超过">
      <formula>NOT(ISERROR(SEARCH("超过",H55)))</formula>
    </cfRule>
  </conditionalFormatting>
  <conditionalFormatting sqref="F55">
    <cfRule type="containsText" dxfId="112" priority="14" stopIfTrue="1" operator="containsText" text="超过">
      <formula>NOT(ISERROR(SEARCH("超过",F55)))</formula>
    </cfRule>
  </conditionalFormatting>
  <conditionalFormatting sqref="F54 H54">
    <cfRule type="containsText" dxfId="111" priority="13" stopIfTrue="1" operator="containsText" text="超过">
      <formula>NOT(ISERROR(SEARCH("超过",F54)))</formula>
    </cfRule>
  </conditionalFormatting>
  <conditionalFormatting sqref="E53">
    <cfRule type="expression" dxfId="110" priority="12" stopIfTrue="1">
      <formula>$F$53="超过30%"</formula>
    </cfRule>
  </conditionalFormatting>
  <conditionalFormatting sqref="E54">
    <cfRule type="expression" dxfId="109" priority="11" stopIfTrue="1">
      <formula>$F$54="超过20%"</formula>
    </cfRule>
  </conditionalFormatting>
  <conditionalFormatting sqref="E55">
    <cfRule type="expression" dxfId="108" priority="10" stopIfTrue="1">
      <formula>$F$55="超过30%"</formula>
    </cfRule>
  </conditionalFormatting>
  <conditionalFormatting sqref="G55">
    <cfRule type="expression" dxfId="107" priority="9" stopIfTrue="1">
      <formula>$H$55="超过30%"</formula>
    </cfRule>
  </conditionalFormatting>
  <conditionalFormatting sqref="G53">
    <cfRule type="expression" dxfId="106" priority="8" stopIfTrue="1">
      <formula>$H$53="超过30%"</formula>
    </cfRule>
  </conditionalFormatting>
  <conditionalFormatting sqref="G54">
    <cfRule type="expression" dxfId="105" priority="7" stopIfTrue="1">
      <formula>$H$54="超过20%"</formula>
    </cfRule>
  </conditionalFormatting>
  <conditionalFormatting sqref="J53">
    <cfRule type="containsText" dxfId="104" priority="6" stopIfTrue="1" operator="containsText" text="超过">
      <formula>NOT(ISERROR(SEARCH("超过",J53)))</formula>
    </cfRule>
  </conditionalFormatting>
  <conditionalFormatting sqref="J55">
    <cfRule type="containsText" dxfId="103" priority="5" stopIfTrue="1" operator="containsText" text="超过">
      <formula>NOT(ISERROR(SEARCH("超过",J55)))</formula>
    </cfRule>
  </conditionalFormatting>
  <conditionalFormatting sqref="J54">
    <cfRule type="containsText" dxfId="102" priority="4" stopIfTrue="1" operator="containsText" text="超过">
      <formula>NOT(ISERROR(SEARCH("超过",J54)))</formula>
    </cfRule>
  </conditionalFormatting>
  <conditionalFormatting sqref="I53">
    <cfRule type="expression" dxfId="101" priority="3" stopIfTrue="1">
      <formula>$J$53="超过30%"</formula>
    </cfRule>
  </conditionalFormatting>
  <conditionalFormatting sqref="I54">
    <cfRule type="expression" dxfId="100" priority="2" stopIfTrue="1">
      <formula>$J$53+$J$54="超过20%"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667" t="s">
        <v>2701</v>
      </c>
      <c r="C1" s="1616" t="s">
        <v>2529</v>
      </c>
      <c r="D1" s="1617"/>
      <c r="E1" s="1626"/>
      <c r="F1" s="258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2329</v>
      </c>
      <c r="B2" s="1414" t="e">
        <f ca="1">IF(C2="——",ROUND(C43*D3/10000,0),ROUND(C43*D3/10000,0)-D2)</f>
        <v>#DIV/0!</v>
      </c>
      <c r="C2" s="2584"/>
      <c r="D2" s="1120" t="e">
        <f ca="1">SUMIF(INDIRECT("'"&amp;F2&amp;"'"&amp;"!A:A"),"承租人权益价值",INDIRECT("'"&amp;F2&amp;"'"&amp;"!c:c"))</f>
        <v>#REF!</v>
      </c>
      <c r="E2" s="2585" t="s">
        <v>2330</v>
      </c>
      <c r="F2" s="2586"/>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27698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188" t="s">
        <v>2647</v>
      </c>
      <c r="AC4" s="3187" t="s">
        <v>2648</v>
      </c>
    </row>
    <row r="5" spans="1:29"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188"/>
      <c r="AC5" s="3188"/>
    </row>
    <row r="6" spans="1:29" ht="15.75" thickBot="1">
      <c r="A6" s="406"/>
      <c r="B6" s="407"/>
      <c r="C6" s="3200" t="s">
        <v>2545</v>
      </c>
      <c r="D6" s="3201"/>
      <c r="E6" s="3202" t="s">
        <v>2545</v>
      </c>
      <c r="F6" s="3203"/>
      <c r="G6" s="3200" t="s">
        <v>2545</v>
      </c>
      <c r="H6" s="3201"/>
      <c r="I6" s="3200" t="s">
        <v>2545</v>
      </c>
      <c r="J6" s="3201"/>
      <c r="K6" s="610" t="s">
        <v>2546</v>
      </c>
      <c r="L6" s="1126"/>
      <c r="M6" s="1127"/>
      <c r="N6" s="1127"/>
      <c r="O6" s="1127"/>
      <c r="P6" s="3213"/>
      <c r="Q6" s="3214"/>
      <c r="R6" s="3194"/>
      <c r="S6" s="3195"/>
      <c r="T6" s="3215"/>
      <c r="U6" s="3216"/>
      <c r="V6" s="3217"/>
      <c r="W6" s="3217"/>
      <c r="X6" s="1809"/>
      <c r="Y6" s="3215"/>
      <c r="Z6" s="3216"/>
      <c r="AA6" s="3189"/>
      <c r="AB6" s="3189"/>
      <c r="AC6" s="3189"/>
    </row>
    <row r="7" spans="1:29" s="117" customFormat="1" ht="15.75" thickBot="1">
      <c r="A7" s="408" t="s">
        <v>2547</v>
      </c>
      <c r="B7" s="409"/>
      <c r="C7" s="410">
        <f>'数据-取费表'!B2</f>
        <v>43754</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90" t="s">
        <v>2548</v>
      </c>
      <c r="Q7" s="3218"/>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22"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22"/>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22"/>
      <c r="Q11" s="1791"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8"/>
      <c r="M12" s="1129"/>
      <c r="N12" s="1129"/>
      <c r="O12" s="1130"/>
      <c r="P12" s="3222"/>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6"/>
      <c r="M13" s="1127"/>
      <c r="N13" s="1127"/>
      <c r="O13" s="1135"/>
      <c r="P13" s="3222"/>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6"/>
      <c r="M14" s="1127"/>
      <c r="N14" s="1127"/>
      <c r="O14" s="1135"/>
      <c r="P14" s="3222"/>
      <c r="Q14" s="1791">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24" t="s">
        <v>2559</v>
      </c>
      <c r="Q15" s="1806" t="str">
        <f t="shared" si="6"/>
        <v>产业集聚程度</v>
      </c>
      <c r="R15" s="774" t="s">
        <v>17</v>
      </c>
      <c r="S15" s="775">
        <f t="shared" si="0"/>
        <v>100</v>
      </c>
      <c r="T15" s="774" t="s">
        <v>17</v>
      </c>
      <c r="U15" s="775">
        <f t="shared" si="1"/>
        <v>100</v>
      </c>
      <c r="V15" s="774" t="s">
        <v>17</v>
      </c>
      <c r="W15" s="775">
        <f t="shared" si="2"/>
        <v>100</v>
      </c>
      <c r="X15" s="1809"/>
      <c r="Y15" s="3224" t="s">
        <v>2559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25"/>
      <c r="Q16" s="1806"/>
      <c r="R16" s="774"/>
      <c r="S16" s="775"/>
      <c r="T16" s="774"/>
      <c r="U16" s="775"/>
      <c r="V16" s="774"/>
      <c r="W16" s="775"/>
      <c r="X16" s="1809"/>
      <c r="Y16" s="3225"/>
      <c r="Z16" s="1810"/>
      <c r="AA16" s="1807">
        <v>1</v>
      </c>
      <c r="AB16" s="1807">
        <v>1</v>
      </c>
      <c r="AC16" s="1807">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5"/>
      <c r="Q17" s="1806" t="str">
        <f>B17</f>
        <v>交通便捷度</v>
      </c>
      <c r="R17" s="774" t="s">
        <v>17</v>
      </c>
      <c r="S17" s="775">
        <f>F17</f>
        <v>100</v>
      </c>
      <c r="T17" s="774" t="s">
        <v>17</v>
      </c>
      <c r="U17" s="775">
        <f>H17</f>
        <v>100</v>
      </c>
      <c r="V17" s="774" t="s">
        <v>17</v>
      </c>
      <c r="W17" s="775">
        <f>J17</f>
        <v>100</v>
      </c>
      <c r="X17" s="1809"/>
      <c r="Y17" s="3225"/>
      <c r="Z17" s="1810" t="str">
        <f>Q17</f>
        <v>交通便捷度</v>
      </c>
      <c r="AA17" s="1807">
        <f t="shared" si="3"/>
        <v>1</v>
      </c>
      <c r="AB17" s="1807">
        <f t="shared" si="4"/>
        <v>1</v>
      </c>
      <c r="AC17" s="1807">
        <f t="shared" si="5"/>
        <v>1</v>
      </c>
    </row>
    <row r="18" spans="1:29" ht="15">
      <c r="A18" s="428"/>
      <c r="B18" s="456"/>
      <c r="C18" s="2606"/>
      <c r="D18" s="450"/>
      <c r="E18" s="2608"/>
      <c r="F18" s="453"/>
      <c r="G18" s="2607"/>
      <c r="H18" s="448"/>
      <c r="I18" s="2608"/>
      <c r="J18" s="448"/>
      <c r="K18" s="615"/>
      <c r="L18" s="1136"/>
      <c r="M18" s="1127"/>
      <c r="N18" s="1127"/>
      <c r="O18" s="1135"/>
      <c r="P18" s="3225"/>
      <c r="Q18" s="1806"/>
      <c r="R18" s="774"/>
      <c r="S18" s="775"/>
      <c r="T18" s="774"/>
      <c r="U18" s="775"/>
      <c r="V18" s="774"/>
      <c r="W18" s="775"/>
      <c r="X18" s="1809"/>
      <c r="Y18" s="3225"/>
      <c r="Z18" s="1810"/>
      <c r="AA18" s="1807">
        <v>1</v>
      </c>
      <c r="AB18" s="1807">
        <v>1</v>
      </c>
      <c r="AC18" s="1807">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5"/>
      <c r="Q19" s="1806" t="str">
        <f>B19</f>
        <v>公共配套设施</v>
      </c>
      <c r="R19" s="774" t="s">
        <v>17</v>
      </c>
      <c r="S19" s="775">
        <f>F19</f>
        <v>100</v>
      </c>
      <c r="T19" s="774" t="s">
        <v>17</v>
      </c>
      <c r="U19" s="775">
        <f>H19</f>
        <v>100</v>
      </c>
      <c r="V19" s="774" t="s">
        <v>17</v>
      </c>
      <c r="W19" s="775">
        <f>J19</f>
        <v>100</v>
      </c>
      <c r="X19" s="1809"/>
      <c r="Y19" s="3225"/>
      <c r="Z19" s="1810" t="str">
        <f>Q19</f>
        <v>公共配套设施</v>
      </c>
      <c r="AA19" s="1807">
        <f t="shared" si="3"/>
        <v>1</v>
      </c>
      <c r="AB19" s="1807">
        <f t="shared" si="4"/>
        <v>1</v>
      </c>
      <c r="AC19" s="1807">
        <f t="shared" si="5"/>
        <v>1</v>
      </c>
    </row>
    <row r="20" spans="1:29" ht="15">
      <c r="A20" s="428"/>
      <c r="B20" s="456"/>
      <c r="C20" s="447"/>
      <c r="D20" s="448"/>
      <c r="E20" s="2603"/>
      <c r="F20" s="449"/>
      <c r="G20" s="2602"/>
      <c r="H20" s="448"/>
      <c r="I20" s="2603"/>
      <c r="J20" s="448"/>
      <c r="K20" s="615"/>
      <c r="L20" s="1136"/>
      <c r="M20" s="1127"/>
      <c r="N20" s="1127"/>
      <c r="O20" s="1135"/>
      <c r="P20" s="3225"/>
      <c r="Q20" s="1806"/>
      <c r="R20" s="774"/>
      <c r="S20" s="775"/>
      <c r="T20" s="774"/>
      <c r="U20" s="775"/>
      <c r="V20" s="774"/>
      <c r="W20" s="775"/>
      <c r="X20" s="1809"/>
      <c r="Y20" s="3225"/>
      <c r="Z20" s="1810"/>
      <c r="AA20" s="1807">
        <v>1</v>
      </c>
      <c r="AB20" s="1807">
        <v>1</v>
      </c>
      <c r="AC20" s="1807">
        <v>1</v>
      </c>
    </row>
    <row r="21" spans="1:29" ht="28.5">
      <c r="A21" s="428"/>
      <c r="B21" s="1380"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5"/>
      <c r="Q21" s="1806" t="str">
        <f>B21</f>
        <v>基础设施水平</v>
      </c>
      <c r="R21" s="774" t="s">
        <v>17</v>
      </c>
      <c r="S21" s="775">
        <f>F21</f>
        <v>100</v>
      </c>
      <c r="T21" s="774" t="s">
        <v>17</v>
      </c>
      <c r="U21" s="775">
        <f>H21</f>
        <v>100</v>
      </c>
      <c r="V21" s="774" t="s">
        <v>17</v>
      </c>
      <c r="W21" s="775">
        <f>J21</f>
        <v>100</v>
      </c>
      <c r="X21" s="1809"/>
      <c r="Y21" s="3225"/>
      <c r="Z21" s="1810" t="str">
        <f>Q21</f>
        <v>基础设施水平</v>
      </c>
      <c r="AA21" s="1807">
        <f t="shared" ref="AA21" si="8">D21/F21</f>
        <v>1</v>
      </c>
      <c r="AB21" s="1807">
        <f t="shared" ref="AB21" si="9">D21/H21</f>
        <v>1</v>
      </c>
      <c r="AC21" s="1807">
        <f t="shared" ref="AC21" si="10">D21/J21</f>
        <v>1</v>
      </c>
    </row>
    <row r="22" spans="1:29" ht="15">
      <c r="A22" s="428"/>
      <c r="B22" s="1380"/>
      <c r="C22" s="2606"/>
      <c r="D22" s="448"/>
      <c r="E22" s="447"/>
      <c r="F22" s="449"/>
      <c r="G22" s="447"/>
      <c r="H22" s="448"/>
      <c r="I22" s="447"/>
      <c r="J22" s="448"/>
      <c r="K22" s="1379"/>
      <c r="L22" s="1136"/>
      <c r="M22" s="1127"/>
      <c r="N22" s="1127"/>
      <c r="O22" s="1135"/>
      <c r="P22" s="3225"/>
      <c r="Q22" s="1806"/>
      <c r="R22" s="774"/>
      <c r="S22" s="775"/>
      <c r="T22" s="774"/>
      <c r="U22" s="775"/>
      <c r="V22" s="774"/>
      <c r="W22" s="775"/>
      <c r="X22" s="1809"/>
      <c r="Y22" s="3225"/>
      <c r="Z22" s="1810"/>
      <c r="AA22" s="1807">
        <v>1</v>
      </c>
      <c r="AB22" s="1807">
        <v>1</v>
      </c>
      <c r="AC22" s="1807">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5"/>
      <c r="Q23" s="1806" t="str">
        <f>B23</f>
        <v>环境质量</v>
      </c>
      <c r="R23" s="774" t="s">
        <v>17</v>
      </c>
      <c r="S23" s="775">
        <f>F23</f>
        <v>100</v>
      </c>
      <c r="T23" s="774" t="s">
        <v>17</v>
      </c>
      <c r="U23" s="775">
        <f>H23</f>
        <v>100</v>
      </c>
      <c r="V23" s="774" t="s">
        <v>17</v>
      </c>
      <c r="W23" s="775">
        <f>J23</f>
        <v>100</v>
      </c>
      <c r="X23" s="1809"/>
      <c r="Y23" s="3225"/>
      <c r="Z23" s="1810" t="str">
        <f>Q23</f>
        <v>环境质量</v>
      </c>
      <c r="AA23" s="1807">
        <f t="shared" si="3"/>
        <v>1</v>
      </c>
      <c r="AB23" s="1807">
        <f t="shared" si="4"/>
        <v>1</v>
      </c>
      <c r="AC23" s="1807">
        <f t="shared" si="5"/>
        <v>1</v>
      </c>
    </row>
    <row r="24" spans="1:29" ht="15">
      <c r="A24" s="428"/>
      <c r="B24" s="1380"/>
      <c r="C24" s="447"/>
      <c r="D24" s="448"/>
      <c r="E24" s="2603"/>
      <c r="F24" s="449"/>
      <c r="G24" s="2602"/>
      <c r="H24" s="448"/>
      <c r="I24" s="2603"/>
      <c r="J24" s="448"/>
      <c r="K24" s="615"/>
      <c r="L24" s="1136"/>
      <c r="M24" s="1127"/>
      <c r="N24" s="1127"/>
      <c r="O24" s="1135"/>
      <c r="P24" s="3225"/>
      <c r="Q24" s="1806"/>
      <c r="R24" s="774"/>
      <c r="S24" s="775"/>
      <c r="T24" s="774"/>
      <c r="U24" s="775"/>
      <c r="V24" s="774"/>
      <c r="W24" s="775"/>
      <c r="X24" s="1809"/>
      <c r="Y24" s="3225"/>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5"/>
      <c r="Q25" s="1806">
        <f>B25</f>
        <v>111</v>
      </c>
      <c r="R25" s="774" t="s">
        <v>17</v>
      </c>
      <c r="S25" s="775">
        <f>F25</f>
        <v>100</v>
      </c>
      <c r="T25" s="774" t="s">
        <v>17</v>
      </c>
      <c r="U25" s="775">
        <f>H25</f>
        <v>100</v>
      </c>
      <c r="V25" s="774" t="s">
        <v>17</v>
      </c>
      <c r="W25" s="775">
        <f>J25</f>
        <v>100</v>
      </c>
      <c r="X25" s="1809"/>
      <c r="Y25" s="3225"/>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5"/>
      <c r="Q26" s="1806">
        <f t="shared" ref="Q26:Q40" si="11">B26</f>
        <v>111</v>
      </c>
      <c r="R26" s="774" t="s">
        <v>17</v>
      </c>
      <c r="S26" s="775">
        <f>F26</f>
        <v>100</v>
      </c>
      <c r="T26" s="774" t="s">
        <v>17</v>
      </c>
      <c r="U26" s="775">
        <f>H26</f>
        <v>100</v>
      </c>
      <c r="V26" s="774" t="s">
        <v>17</v>
      </c>
      <c r="W26" s="775">
        <f>J26</f>
        <v>100</v>
      </c>
      <c r="X26" s="1809"/>
      <c r="Y26" s="3225"/>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5"/>
      <c r="Q27" s="1791">
        <f t="shared" si="11"/>
        <v>111</v>
      </c>
      <c r="R27" s="770" t="s">
        <v>17</v>
      </c>
      <c r="S27" s="771">
        <f>F27</f>
        <v>100</v>
      </c>
      <c r="T27" s="770" t="s">
        <v>17</v>
      </c>
      <c r="U27" s="771">
        <f>H27</f>
        <v>100</v>
      </c>
      <c r="V27" s="770" t="s">
        <v>17</v>
      </c>
      <c r="W27" s="771">
        <f>J27</f>
        <v>100</v>
      </c>
      <c r="X27" s="772"/>
      <c r="Y27" s="3225"/>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5"/>
      <c r="Q28" s="1806">
        <f t="shared" si="11"/>
        <v>111</v>
      </c>
      <c r="R28" s="774" t="s">
        <v>17</v>
      </c>
      <c r="S28" s="775">
        <f t="shared" ref="S28:S40" si="12">F28</f>
        <v>100</v>
      </c>
      <c r="T28" s="774" t="s">
        <v>17</v>
      </c>
      <c r="U28" s="775">
        <f t="shared" ref="U28:U40" si="13">H28</f>
        <v>100</v>
      </c>
      <c r="V28" s="774" t="s">
        <v>17</v>
      </c>
      <c r="W28" s="775">
        <f t="shared" ref="W28:W40" si="14">J28</f>
        <v>100</v>
      </c>
      <c r="X28" s="1809"/>
      <c r="Y28" s="3225"/>
      <c r="Z28" s="1810">
        <f t="shared" ref="Z28:Z40" si="15">Q28</f>
        <v>111</v>
      </c>
      <c r="AA28" s="1807">
        <f t="shared" si="3"/>
        <v>1</v>
      </c>
      <c r="AB28" s="1807">
        <f t="shared" si="4"/>
        <v>1</v>
      </c>
      <c r="AC28" s="1807">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36"/>
      <c r="M29" s="1127"/>
      <c r="N29" s="1127"/>
      <c r="O29" s="1135"/>
      <c r="P29" s="3248" t="s">
        <v>2564</v>
      </c>
      <c r="Q29" s="1806" t="str">
        <f t="shared" si="11"/>
        <v>建筑类型</v>
      </c>
      <c r="R29" s="774" t="s">
        <v>17</v>
      </c>
      <c r="S29" s="775">
        <f t="shared" si="12"/>
        <v>100</v>
      </c>
      <c r="T29" s="774" t="s">
        <v>17</v>
      </c>
      <c r="U29" s="775">
        <f t="shared" si="13"/>
        <v>100</v>
      </c>
      <c r="V29" s="774" t="s">
        <v>17</v>
      </c>
      <c r="W29" s="775">
        <f t="shared" si="14"/>
        <v>100</v>
      </c>
      <c r="X29" s="1809"/>
      <c r="Y29" s="3229" t="s">
        <v>2564</v>
      </c>
      <c r="Z29" s="1810" t="str">
        <f t="shared" si="15"/>
        <v>建筑类型</v>
      </c>
      <c r="AA29" s="1807">
        <f t="shared" si="3"/>
        <v>1</v>
      </c>
      <c r="AB29" s="1807">
        <f t="shared" si="4"/>
        <v>1</v>
      </c>
      <c r="AC29" s="1807">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07" t="e">
        <f t="shared" si="3"/>
        <v>#N/A</v>
      </c>
      <c r="AB30" s="1807" t="e">
        <f t="shared" si="4"/>
        <v>#N/A</v>
      </c>
      <c r="AC30" s="1807"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9"/>
      <c r="Q31" s="1806" t="str">
        <f t="shared" si="11"/>
        <v>建筑结构</v>
      </c>
      <c r="R31" s="774" t="s">
        <v>17</v>
      </c>
      <c r="S31" s="775">
        <f t="shared" si="12"/>
        <v>100</v>
      </c>
      <c r="T31" s="774" t="s">
        <v>17</v>
      </c>
      <c r="U31" s="775">
        <f t="shared" si="13"/>
        <v>100</v>
      </c>
      <c r="V31" s="774" t="s">
        <v>17</v>
      </c>
      <c r="W31" s="775">
        <f t="shared" si="14"/>
        <v>100</v>
      </c>
      <c r="X31" s="1809"/>
      <c r="Y31" s="3229"/>
      <c r="Z31" s="1810" t="str">
        <f t="shared" si="15"/>
        <v>建筑结构</v>
      </c>
      <c r="AA31" s="1807">
        <f t="shared" si="3"/>
        <v>1</v>
      </c>
      <c r="AB31" s="1807">
        <f t="shared" si="4"/>
        <v>1</v>
      </c>
      <c r="AC31" s="1807">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9"/>
      <c r="Q32" s="1806" t="str">
        <f t="shared" si="11"/>
        <v>公共部分装修</v>
      </c>
      <c r="R32" s="774" t="s">
        <v>17</v>
      </c>
      <c r="S32" s="775">
        <f t="shared" si="12"/>
        <v>100</v>
      </c>
      <c r="T32" s="774" t="s">
        <v>17</v>
      </c>
      <c r="U32" s="775">
        <f t="shared" si="13"/>
        <v>100</v>
      </c>
      <c r="V32" s="774" t="s">
        <v>17</v>
      </c>
      <c r="W32" s="775">
        <f t="shared" si="14"/>
        <v>100</v>
      </c>
      <c r="X32" s="1809"/>
      <c r="Y32" s="3229"/>
      <c r="Z32" s="1810" t="str">
        <f t="shared" si="15"/>
        <v>公共部分装修</v>
      </c>
      <c r="AA32" s="1807">
        <f t="shared" si="3"/>
        <v>1</v>
      </c>
      <c r="AB32" s="1807">
        <f t="shared" si="4"/>
        <v>1</v>
      </c>
      <c r="AC32" s="1807">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9"/>
      <c r="Q33" s="1806" t="str">
        <f t="shared" si="11"/>
        <v>成新度</v>
      </c>
      <c r="R33" s="774" t="s">
        <v>17</v>
      </c>
      <c r="S33" s="775" t="e">
        <f t="shared" si="12"/>
        <v>#N/A</v>
      </c>
      <c r="T33" s="774" t="s">
        <v>17</v>
      </c>
      <c r="U33" s="775" t="e">
        <f t="shared" si="13"/>
        <v>#N/A</v>
      </c>
      <c r="V33" s="774" t="s">
        <v>17</v>
      </c>
      <c r="W33" s="775" t="e">
        <f t="shared" si="14"/>
        <v>#N/A</v>
      </c>
      <c r="X33" s="1809"/>
      <c r="Y33" s="3229"/>
      <c r="Z33" s="1810" t="str">
        <f t="shared" si="15"/>
        <v>成新度</v>
      </c>
      <c r="AA33" s="1807" t="e">
        <f t="shared" si="3"/>
        <v>#N/A</v>
      </c>
      <c r="AB33" s="1807" t="e">
        <f t="shared" si="4"/>
        <v>#N/A</v>
      </c>
      <c r="AC33" s="1807"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9"/>
      <c r="Q34" s="1791"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9" t="s">
        <v>2564</v>
      </c>
      <c r="Q35" s="1806" t="str">
        <f t="shared" si="11"/>
        <v>市政基础设施</v>
      </c>
      <c r="R35" s="774" t="s">
        <v>17</v>
      </c>
      <c r="S35" s="775">
        <f t="shared" si="12"/>
        <v>100</v>
      </c>
      <c r="T35" s="774" t="s">
        <v>17</v>
      </c>
      <c r="U35" s="775">
        <f t="shared" si="13"/>
        <v>100</v>
      </c>
      <c r="V35" s="774" t="s">
        <v>17</v>
      </c>
      <c r="W35" s="775">
        <f t="shared" si="14"/>
        <v>100</v>
      </c>
      <c r="X35" s="1809"/>
      <c r="Y35" s="3229" t="s">
        <v>2564</v>
      </c>
      <c r="Z35" s="1810" t="str">
        <f t="shared" si="15"/>
        <v>市政基础设施</v>
      </c>
      <c r="AA35" s="1807">
        <f t="shared" si="3"/>
        <v>1</v>
      </c>
      <c r="AB35" s="1807">
        <f t="shared" si="4"/>
        <v>1</v>
      </c>
      <c r="AC35" s="1807">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9"/>
      <c r="Q36" s="1806" t="str">
        <f t="shared" si="11"/>
        <v>内部装修</v>
      </c>
      <c r="R36" s="774" t="s">
        <v>17</v>
      </c>
      <c r="S36" s="775">
        <f t="shared" si="12"/>
        <v>100</v>
      </c>
      <c r="T36" s="774" t="s">
        <v>17</v>
      </c>
      <c r="U36" s="775">
        <f t="shared" si="13"/>
        <v>100</v>
      </c>
      <c r="V36" s="774" t="s">
        <v>17</v>
      </c>
      <c r="W36" s="775">
        <f t="shared" si="14"/>
        <v>100</v>
      </c>
      <c r="X36" s="1809"/>
      <c r="Y36" s="3229"/>
      <c r="Z36" s="1810" t="str">
        <f t="shared" si="15"/>
        <v>内部装修</v>
      </c>
      <c r="AA36" s="1807">
        <f t="shared" si="3"/>
        <v>1</v>
      </c>
      <c r="AB36" s="1807">
        <f t="shared" si="4"/>
        <v>1</v>
      </c>
      <c r="AC36" s="1807">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9"/>
      <c r="Q37" s="1806" t="str">
        <f t="shared" si="11"/>
        <v>内部装修状况</v>
      </c>
      <c r="R37" s="774" t="s">
        <v>17</v>
      </c>
      <c r="S37" s="775">
        <f t="shared" si="12"/>
        <v>100</v>
      </c>
      <c r="T37" s="774" t="s">
        <v>17</v>
      </c>
      <c r="U37" s="775">
        <f t="shared" si="13"/>
        <v>100</v>
      </c>
      <c r="V37" s="774" t="s">
        <v>17</v>
      </c>
      <c r="W37" s="775">
        <f t="shared" si="14"/>
        <v>100</v>
      </c>
      <c r="X37" s="1809"/>
      <c r="Y37" s="3229"/>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9"/>
      <c r="Q39" s="1806">
        <f t="shared" si="11"/>
        <v>111</v>
      </c>
      <c r="R39" s="774" t="s">
        <v>17</v>
      </c>
      <c r="S39" s="775">
        <f t="shared" si="12"/>
        <v>100</v>
      </c>
      <c r="T39" s="774" t="s">
        <v>17</v>
      </c>
      <c r="U39" s="775">
        <f t="shared" si="13"/>
        <v>100</v>
      </c>
      <c r="V39" s="774" t="s">
        <v>17</v>
      </c>
      <c r="W39" s="775">
        <f t="shared" si="14"/>
        <v>100</v>
      </c>
      <c r="X39" s="1809"/>
      <c r="Y39" s="3229"/>
      <c r="Z39" s="1810">
        <f t="shared" si="15"/>
        <v>111</v>
      </c>
      <c r="AA39" s="1807">
        <f t="shared" si="3"/>
        <v>1</v>
      </c>
      <c r="AB39" s="1807">
        <f t="shared" si="4"/>
        <v>1</v>
      </c>
      <c r="AC39" s="1807">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30"/>
      <c r="Q40" s="1806">
        <f t="shared" si="11"/>
        <v>111</v>
      </c>
      <c r="R40" s="774" t="s">
        <v>17</v>
      </c>
      <c r="S40" s="775">
        <f t="shared" si="12"/>
        <v>100</v>
      </c>
      <c r="T40" s="774" t="s">
        <v>17</v>
      </c>
      <c r="U40" s="775">
        <f t="shared" si="13"/>
        <v>100</v>
      </c>
      <c r="V40" s="774" t="s">
        <v>17</v>
      </c>
      <c r="W40" s="775">
        <f t="shared" si="14"/>
        <v>100</v>
      </c>
      <c r="X40" s="1809"/>
      <c r="Y40" s="3230"/>
      <c r="Z40" s="1810">
        <f t="shared" si="15"/>
        <v>111</v>
      </c>
      <c r="AA40" s="1807">
        <f t="shared" si="3"/>
        <v>1</v>
      </c>
      <c r="AB40" s="1807">
        <f t="shared" si="4"/>
        <v>1</v>
      </c>
      <c r="AC40" s="1807">
        <f t="shared" si="5"/>
        <v>1</v>
      </c>
    </row>
    <row r="41" spans="1:29" ht="15">
      <c r="A41" s="479" t="s">
        <v>2576</v>
      </c>
      <c r="B41" s="480"/>
      <c r="C41" s="1403" t="s">
        <v>1</v>
      </c>
      <c r="D41" s="1404"/>
      <c r="E41" s="1405"/>
      <c r="F41" s="1406"/>
      <c r="G41" s="1407"/>
      <c r="H41" s="1408"/>
      <c r="I41" s="1405"/>
      <c r="J41" s="1408"/>
      <c r="K41" s="783"/>
      <c r="L41" s="1139"/>
      <c r="M41" s="1140"/>
      <c r="N41" s="1127"/>
      <c r="O41" s="1140"/>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2668</v>
      </c>
      <c r="B42" s="487"/>
      <c r="C42" s="1409" t="e">
        <f>R43</f>
        <v>#DIV/0!</v>
      </c>
      <c r="D42" s="1410"/>
      <c r="E42" s="1411" t="e">
        <f>R42</f>
        <v>#DIV/0!</v>
      </c>
      <c r="F42" s="1411"/>
      <c r="G42" s="1409" t="e">
        <f>T42</f>
        <v>#DIV/0!</v>
      </c>
      <c r="H42" s="1410"/>
      <c r="I42" s="1411" t="e">
        <f>V42</f>
        <v>#DIV/0!</v>
      </c>
      <c r="J42" s="1410"/>
      <c r="K42" s="784"/>
      <c r="L42" s="1139"/>
      <c r="M42" s="1140"/>
      <c r="N42" s="1127"/>
      <c r="O42" s="1140"/>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2669</v>
      </c>
      <c r="B43" s="493"/>
      <c r="C43" s="1413" t="e">
        <f>R43</f>
        <v>#DIV/0!</v>
      </c>
      <c r="D43" s="1413"/>
      <c r="E43" s="1413"/>
      <c r="F43" s="1413"/>
      <c r="G43" s="1413"/>
      <c r="H43" s="1413"/>
      <c r="I43" s="1413"/>
      <c r="J43" s="1413"/>
      <c r="K43" s="785"/>
      <c r="L43" s="1139"/>
      <c r="M43" s="1140"/>
      <c r="N43" s="1140"/>
      <c r="O43" s="1140"/>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2673</v>
      </c>
      <c r="B51" s="759"/>
      <c r="C51" s="764"/>
      <c r="D51" s="764"/>
      <c r="E51" s="764"/>
      <c r="F51" s="765"/>
      <c r="G51" s="765"/>
      <c r="H51" s="764"/>
      <c r="I51" s="764"/>
      <c r="J51" s="764"/>
      <c r="K51" s="1156"/>
      <c r="L51" s="1157"/>
      <c r="M51" s="1155"/>
      <c r="N51" s="1155"/>
      <c r="O51" s="1155"/>
      <c r="P51" s="503"/>
      <c r="Q51" s="504"/>
    </row>
    <row r="52" spans="1:17" s="508" customFormat="1" ht="15">
      <c r="A52" s="505" t="s">
        <v>2547</v>
      </c>
      <c r="B52" s="506"/>
      <c r="C52" s="1570" t="str">
        <f>YEAR(C7)&amp;"-"&amp;MONTH(C7)</f>
        <v>2019-10</v>
      </c>
      <c r="D52" s="1571">
        <f>EDATE(C52,-1)</f>
        <v>43709</v>
      </c>
      <c r="E52" s="1571">
        <f t="shared" ref="E52:O52" si="16">EDATE(D52,-1)</f>
        <v>43678</v>
      </c>
      <c r="F52" s="1571">
        <f t="shared" si="16"/>
        <v>43647</v>
      </c>
      <c r="G52" s="1571">
        <f t="shared" si="16"/>
        <v>43617</v>
      </c>
      <c r="H52" s="1571">
        <f t="shared" si="16"/>
        <v>43586</v>
      </c>
      <c r="I52" s="1571">
        <f t="shared" si="16"/>
        <v>43556</v>
      </c>
      <c r="J52" s="1571">
        <f t="shared" si="16"/>
        <v>43525</v>
      </c>
      <c r="K52" s="1571">
        <f t="shared" si="16"/>
        <v>43497</v>
      </c>
      <c r="L52" s="1571">
        <f t="shared" si="16"/>
        <v>43466</v>
      </c>
      <c r="M52" s="1571">
        <f t="shared" si="16"/>
        <v>43435</v>
      </c>
      <c r="N52" s="1571">
        <f t="shared" si="16"/>
        <v>43405</v>
      </c>
      <c r="O52" s="1571">
        <f t="shared" si="16"/>
        <v>43374</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2587</v>
      </c>
      <c r="B57" s="528" t="s">
        <v>2553</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4"/>
      <c r="B87" s="569"/>
      <c r="C87" s="570"/>
      <c r="D87" s="570"/>
      <c r="E87" s="570"/>
      <c r="F87" s="570"/>
      <c r="G87" s="591"/>
      <c r="H87" s="591"/>
      <c r="I87" s="591"/>
      <c r="J87" s="591"/>
      <c r="K87" s="591"/>
      <c r="L87" s="591"/>
      <c r="M87" s="592"/>
      <c r="N87" s="1149"/>
      <c r="O87" s="1149"/>
      <c r="P87" s="45"/>
      <c r="Q87" s="504"/>
    </row>
    <row r="88" spans="1:17">
      <c r="A88" s="527" t="s">
        <v>2562</v>
      </c>
      <c r="B88" s="528" t="s">
        <v>2611</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2613</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2615</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2616</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2617</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2619</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4"/>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16" stopIfTrue="1" operator="containsText" text="超过">
      <formula>NOT(ISERROR(SEARCH("超过",F46)))</formula>
    </cfRule>
  </conditionalFormatting>
  <conditionalFormatting sqref="H48">
    <cfRule type="containsText" dxfId="97" priority="15" stopIfTrue="1" operator="containsText" text="超过">
      <formula>NOT(ISERROR(SEARCH("超过",H48)))</formula>
    </cfRule>
  </conditionalFormatting>
  <conditionalFormatting sqref="F48">
    <cfRule type="containsText" dxfId="96" priority="14" stopIfTrue="1" operator="containsText" text="超过">
      <formula>NOT(ISERROR(SEARCH("超过",F48)))</formula>
    </cfRule>
  </conditionalFormatting>
  <conditionalFormatting sqref="F47 H47">
    <cfRule type="containsText" dxfId="95" priority="13" stopIfTrue="1" operator="containsText" text="超过">
      <formula>NOT(ISERROR(SEARCH("超过",F47)))</formula>
    </cfRule>
  </conditionalFormatting>
  <conditionalFormatting sqref="E46">
    <cfRule type="expression" dxfId="94" priority="12" stopIfTrue="1">
      <formula>$F$46="超过30%"</formula>
    </cfRule>
  </conditionalFormatting>
  <conditionalFormatting sqref="E47">
    <cfRule type="expression" dxfId="93" priority="11" stopIfTrue="1">
      <formula>$F$47="超过20%"</formula>
    </cfRule>
  </conditionalFormatting>
  <conditionalFormatting sqref="E48">
    <cfRule type="expression" dxfId="92" priority="10" stopIfTrue="1">
      <formula>$F$48="超过30%"</formula>
    </cfRule>
  </conditionalFormatting>
  <conditionalFormatting sqref="G48">
    <cfRule type="expression" dxfId="91" priority="9" stopIfTrue="1">
      <formula>$H$48="超过30%"</formula>
    </cfRule>
  </conditionalFormatting>
  <conditionalFormatting sqref="G46">
    <cfRule type="expression" dxfId="90" priority="8" stopIfTrue="1">
      <formula>$H$46="超过30%"</formula>
    </cfRule>
  </conditionalFormatting>
  <conditionalFormatting sqref="G47">
    <cfRule type="expression" dxfId="89" priority="7" stopIfTrue="1">
      <formula>$H$47="超过20%"</formula>
    </cfRule>
  </conditionalFormatting>
  <conditionalFormatting sqref="J46">
    <cfRule type="containsText" dxfId="88" priority="6" stopIfTrue="1" operator="containsText" text="超过">
      <formula>NOT(ISERROR(SEARCH("超过",J46)))</formula>
    </cfRule>
  </conditionalFormatting>
  <conditionalFormatting sqref="J48">
    <cfRule type="containsText" dxfId="87" priority="5" stopIfTrue="1" operator="containsText" text="超过">
      <formula>NOT(ISERROR(SEARCH("超过",J48)))</formula>
    </cfRule>
  </conditionalFormatting>
  <conditionalFormatting sqref="J47">
    <cfRule type="containsText" dxfId="86" priority="4" stopIfTrue="1" operator="containsText" text="超过">
      <formula>NOT(ISERROR(SEARCH("超过",J47)))</formula>
    </cfRule>
  </conditionalFormatting>
  <conditionalFormatting sqref="I46">
    <cfRule type="expression" dxfId="85" priority="3" stopIfTrue="1">
      <formula>$J$46="超过30%"</formula>
    </cfRule>
  </conditionalFormatting>
  <conditionalFormatting sqref="I47">
    <cfRule type="expression" dxfId="84" priority="2" stopIfTrue="1">
      <formula>$J$47="超过20%"</formula>
    </cfRule>
  </conditionalFormatting>
  <conditionalFormatting sqref="I48">
    <cfRule type="expression" dxfId="8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2706</v>
      </c>
      <c r="B1" s="1615"/>
      <c r="C1" s="1616" t="s">
        <v>2529</v>
      </c>
      <c r="D1" s="1617"/>
      <c r="E1" s="1618"/>
      <c r="F1" s="2582"/>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2329</v>
      </c>
      <c r="B2" s="1414" t="e">
        <f ca="1">IF(C2="——",IF(B37="元/平方米",ROUND(C39*D3/10000,0),ROUND(F3*C39/10000,0)),IF(B37="元/平方米",ROUND(C39*D3/10000,0),ROUND(F3*C39/10000,0))-D2)</f>
        <v>#DIV/0!</v>
      </c>
      <c r="C2" s="2584"/>
      <c r="D2" s="1120" t="e">
        <f ca="1">SUMIF(INDIRECT("'"&amp;F2&amp;"'"&amp;"!A:A"),"承租人权益价值",INDIRECT("'"&amp;F2&amp;"'"&amp;"!c:c"))</f>
        <v>#REF!</v>
      </c>
      <c r="E2" s="2585" t="s">
        <v>2330</v>
      </c>
      <c r="F2" s="2586"/>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188" t="s">
        <v>2647</v>
      </c>
      <c r="AC4" s="3187" t="s">
        <v>2648</v>
      </c>
    </row>
    <row r="5" spans="1:29"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188"/>
      <c r="AC5" s="3188"/>
    </row>
    <row r="6" spans="1:29" ht="15.75" thickBot="1">
      <c r="A6" s="406"/>
      <c r="B6" s="407"/>
      <c r="C6" s="3200" t="s">
        <v>2545</v>
      </c>
      <c r="D6" s="3201"/>
      <c r="E6" s="3202" t="s">
        <v>2545</v>
      </c>
      <c r="F6" s="3203"/>
      <c r="G6" s="3200" t="s">
        <v>2545</v>
      </c>
      <c r="H6" s="3201"/>
      <c r="I6" s="3200" t="s">
        <v>2545</v>
      </c>
      <c r="J6" s="3201"/>
      <c r="K6" s="610" t="s">
        <v>2546</v>
      </c>
      <c r="L6" s="1126"/>
      <c r="M6" s="1127"/>
      <c r="N6" s="1127"/>
      <c r="O6" s="1127"/>
      <c r="P6" s="3213"/>
      <c r="Q6" s="3214"/>
      <c r="R6" s="3194"/>
      <c r="S6" s="3195"/>
      <c r="T6" s="3215"/>
      <c r="U6" s="3216"/>
      <c r="V6" s="3217"/>
      <c r="W6" s="3217"/>
      <c r="X6" s="1809"/>
      <c r="Y6" s="3215"/>
      <c r="Z6" s="3216"/>
      <c r="AA6" s="3189"/>
      <c r="AB6" s="3189"/>
      <c r="AC6" s="3189"/>
    </row>
    <row r="7" spans="1:29" s="117" customFormat="1" ht="15.75" thickBot="1">
      <c r="A7" s="408" t="s">
        <v>2547</v>
      </c>
      <c r="B7" s="409"/>
      <c r="C7" s="410">
        <f>'数据-取费表'!B2</f>
        <v>43754</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90" t="s">
        <v>2548</v>
      </c>
      <c r="Q7" s="3218"/>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22" t="s">
        <v>2554</v>
      </c>
      <c r="Q9" s="1791" t="str">
        <f t="shared" ref="Q9:Q14" si="6">B9</f>
        <v>用途</v>
      </c>
      <c r="R9" s="770" t="s">
        <v>17</v>
      </c>
      <c r="S9" s="771">
        <f t="shared" si="0"/>
        <v>100</v>
      </c>
      <c r="T9" s="770" t="s">
        <v>17</v>
      </c>
      <c r="U9" s="771">
        <f t="shared" si="1"/>
        <v>100</v>
      </c>
      <c r="V9" s="770" t="s">
        <v>17</v>
      </c>
      <c r="W9" s="771">
        <f t="shared" si="2"/>
        <v>100</v>
      </c>
      <c r="X9" s="772"/>
      <c r="Y9" s="303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22"/>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22"/>
      <c r="Q11" s="1791">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22"/>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22"/>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24" t="s">
        <v>2559</v>
      </c>
      <c r="Q14" s="1806" t="str">
        <f t="shared" si="6"/>
        <v>交通便捷度</v>
      </c>
      <c r="R14" s="774" t="s">
        <v>17</v>
      </c>
      <c r="S14" s="775">
        <f t="shared" si="0"/>
        <v>100</v>
      </c>
      <c r="T14" s="774" t="s">
        <v>17</v>
      </c>
      <c r="U14" s="775">
        <f t="shared" si="1"/>
        <v>100</v>
      </c>
      <c r="V14" s="774" t="s">
        <v>17</v>
      </c>
      <c r="W14" s="775">
        <f t="shared" si="2"/>
        <v>100</v>
      </c>
      <c r="X14" s="1809"/>
      <c r="Y14" s="3224" t="s">
        <v>2559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25"/>
      <c r="Q15" s="1806"/>
      <c r="R15" s="774"/>
      <c r="S15" s="775"/>
      <c r="T15" s="774"/>
      <c r="U15" s="775"/>
      <c r="V15" s="774"/>
      <c r="W15" s="775"/>
      <c r="X15" s="1809"/>
      <c r="Y15" s="3225"/>
      <c r="Z15" s="1810"/>
      <c r="AA15" s="1807">
        <v>1</v>
      </c>
      <c r="AB15" s="1807">
        <v>1</v>
      </c>
      <c r="AC15" s="1807">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5"/>
      <c r="Q16" s="1806" t="str">
        <f>B16</f>
        <v>公共配套设施</v>
      </c>
      <c r="R16" s="774" t="s">
        <v>17</v>
      </c>
      <c r="S16" s="775">
        <f>F16</f>
        <v>100</v>
      </c>
      <c r="T16" s="774" t="s">
        <v>17</v>
      </c>
      <c r="U16" s="775">
        <f>H16</f>
        <v>100</v>
      </c>
      <c r="V16" s="774" t="s">
        <v>17</v>
      </c>
      <c r="W16" s="775">
        <f>J16</f>
        <v>100</v>
      </c>
      <c r="X16" s="1809"/>
      <c r="Y16" s="3225"/>
      <c r="Z16" s="1810" t="str">
        <f>Q16</f>
        <v>公共配套设施</v>
      </c>
      <c r="AA16" s="1807">
        <f t="shared" si="3"/>
        <v>1</v>
      </c>
      <c r="AB16" s="1807">
        <f t="shared" si="4"/>
        <v>1</v>
      </c>
      <c r="AC16" s="1807">
        <f t="shared" si="5"/>
        <v>1</v>
      </c>
    </row>
    <row r="17" spans="1:29" ht="15">
      <c r="A17" s="404"/>
      <c r="B17" s="632"/>
      <c r="C17" s="2606"/>
      <c r="D17" s="448"/>
      <c r="E17" s="447"/>
      <c r="F17" s="449"/>
      <c r="G17" s="447"/>
      <c r="H17" s="448"/>
      <c r="I17" s="447"/>
      <c r="J17" s="448"/>
      <c r="K17" s="615"/>
      <c r="L17" s="1136"/>
      <c r="M17" s="1127"/>
      <c r="N17" s="1127"/>
      <c r="O17" s="1127"/>
      <c r="P17" s="3225"/>
      <c r="Q17" s="1806"/>
      <c r="R17" s="774"/>
      <c r="S17" s="775"/>
      <c r="T17" s="774"/>
      <c r="U17" s="775"/>
      <c r="V17" s="774"/>
      <c r="W17" s="775"/>
      <c r="X17" s="1809"/>
      <c r="Y17" s="3225"/>
      <c r="Z17" s="1810"/>
      <c r="AA17" s="1807">
        <v>1</v>
      </c>
      <c r="AB17" s="1807">
        <v>1</v>
      </c>
      <c r="AC17" s="1807">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5"/>
      <c r="Q18" s="1806" t="str">
        <f>B18</f>
        <v>基础设施水平</v>
      </c>
      <c r="R18" s="774" t="s">
        <v>17</v>
      </c>
      <c r="S18" s="775">
        <f>F18</f>
        <v>100</v>
      </c>
      <c r="T18" s="774" t="s">
        <v>17</v>
      </c>
      <c r="U18" s="775">
        <f>H18</f>
        <v>100</v>
      </c>
      <c r="V18" s="774" t="s">
        <v>17</v>
      </c>
      <c r="W18" s="775">
        <f>J18</f>
        <v>100</v>
      </c>
      <c r="X18" s="1809"/>
      <c r="Y18" s="3225"/>
      <c r="Z18" s="1810" t="str">
        <f>Q18</f>
        <v>基础设施水平</v>
      </c>
      <c r="AA18" s="1807">
        <f t="shared" ref="AA18" si="8">D18/F18</f>
        <v>1</v>
      </c>
      <c r="AB18" s="1807">
        <f t="shared" ref="AB18" si="9">D18/H18</f>
        <v>1</v>
      </c>
      <c r="AC18" s="1807">
        <f t="shared" ref="AC18" si="10">D18/J18</f>
        <v>1</v>
      </c>
    </row>
    <row r="19" spans="1:29" ht="15">
      <c r="A19" s="404"/>
      <c r="B19" s="633"/>
      <c r="C19" s="2606"/>
      <c r="D19" s="450"/>
      <c r="E19" s="2606"/>
      <c r="F19" s="453"/>
      <c r="G19" s="2606"/>
      <c r="H19" s="448"/>
      <c r="I19" s="447"/>
      <c r="J19" s="448"/>
      <c r="K19" s="1379"/>
      <c r="L19" s="1136"/>
      <c r="M19" s="1127"/>
      <c r="N19" s="1127"/>
      <c r="O19" s="1127"/>
      <c r="P19" s="3225"/>
      <c r="Q19" s="1806"/>
      <c r="R19" s="774"/>
      <c r="S19" s="775"/>
      <c r="T19" s="774"/>
      <c r="U19" s="775"/>
      <c r="V19" s="774"/>
      <c r="W19" s="775"/>
      <c r="X19" s="1809"/>
      <c r="Y19" s="3225"/>
      <c r="Z19" s="1810"/>
      <c r="AA19" s="1807">
        <v>1</v>
      </c>
      <c r="AB19" s="1807">
        <v>1</v>
      </c>
      <c r="AC19" s="1807">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5"/>
      <c r="Q20" s="1806" t="str">
        <f>B20</f>
        <v>自然及人文环境</v>
      </c>
      <c r="R20" s="774" t="s">
        <v>17</v>
      </c>
      <c r="S20" s="775">
        <f>F20</f>
        <v>100</v>
      </c>
      <c r="T20" s="774" t="s">
        <v>17</v>
      </c>
      <c r="U20" s="775">
        <f>H20</f>
        <v>100</v>
      </c>
      <c r="V20" s="774" t="s">
        <v>17</v>
      </c>
      <c r="W20" s="775">
        <f>J20</f>
        <v>100</v>
      </c>
      <c r="X20" s="1809"/>
      <c r="Y20" s="3225"/>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25"/>
      <c r="Q21" s="1806"/>
      <c r="R21" s="774"/>
      <c r="S21" s="775"/>
      <c r="T21" s="774"/>
      <c r="U21" s="775"/>
      <c r="V21" s="774"/>
      <c r="W21" s="775"/>
      <c r="X21" s="1809"/>
      <c r="Y21" s="3225"/>
      <c r="Z21" s="1810"/>
      <c r="AA21" s="1807">
        <v>1</v>
      </c>
      <c r="AB21" s="1807">
        <v>1</v>
      </c>
      <c r="AC21" s="1807">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5"/>
      <c r="Q22" s="1806" t="str">
        <f>B22</f>
        <v>楼层</v>
      </c>
      <c r="R22" s="774" t="s">
        <v>17</v>
      </c>
      <c r="S22" s="775">
        <f>F22</f>
        <v>100</v>
      </c>
      <c r="T22" s="774" t="s">
        <v>17</v>
      </c>
      <c r="U22" s="775">
        <f>H22</f>
        <v>100</v>
      </c>
      <c r="V22" s="774" t="s">
        <v>17</v>
      </c>
      <c r="W22" s="775">
        <f>J22</f>
        <v>100</v>
      </c>
      <c r="X22" s="1809"/>
      <c r="Y22" s="3225"/>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5"/>
      <c r="Q23" s="1806">
        <f>B23</f>
        <v>111</v>
      </c>
      <c r="R23" s="774" t="s">
        <v>17</v>
      </c>
      <c r="S23" s="775">
        <f>F23</f>
        <v>100</v>
      </c>
      <c r="T23" s="774" t="s">
        <v>17</v>
      </c>
      <c r="U23" s="775">
        <f>H23</f>
        <v>100</v>
      </c>
      <c r="V23" s="774" t="s">
        <v>17</v>
      </c>
      <c r="W23" s="775">
        <f>J23</f>
        <v>100</v>
      </c>
      <c r="X23" s="1809"/>
      <c r="Y23" s="3225"/>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5"/>
      <c r="Q24" s="1806">
        <f t="shared" ref="Q24:Q36" si="11">B24</f>
        <v>111</v>
      </c>
      <c r="R24" s="774" t="s">
        <v>17</v>
      </c>
      <c r="S24" s="775">
        <f>F24</f>
        <v>100</v>
      </c>
      <c r="T24" s="774" t="s">
        <v>17</v>
      </c>
      <c r="U24" s="775">
        <f>H24</f>
        <v>100</v>
      </c>
      <c r="V24" s="774" t="s">
        <v>17</v>
      </c>
      <c r="W24" s="775">
        <f>J24</f>
        <v>100</v>
      </c>
      <c r="X24" s="1809"/>
      <c r="Y24" s="3225"/>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25"/>
      <c r="Q25" s="1791">
        <f t="shared" si="11"/>
        <v>111</v>
      </c>
      <c r="R25" s="770" t="s">
        <v>17</v>
      </c>
      <c r="S25" s="771">
        <f>F25</f>
        <v>100</v>
      </c>
      <c r="T25" s="770" t="s">
        <v>17</v>
      </c>
      <c r="U25" s="771">
        <f>H25</f>
        <v>100</v>
      </c>
      <c r="V25" s="770" t="s">
        <v>17</v>
      </c>
      <c r="W25" s="771">
        <f>J25</f>
        <v>100</v>
      </c>
      <c r="X25" s="772"/>
      <c r="Y25" s="3225"/>
      <c r="Z25" s="55">
        <f>Q25</f>
        <v>111</v>
      </c>
      <c r="AA25" s="1807">
        <f>D25/F25</f>
        <v>1</v>
      </c>
      <c r="AB25" s="1807">
        <f>D25/H25</f>
        <v>1</v>
      </c>
      <c r="AC25" s="1807">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48" t="s">
        <v>2564</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29" t="s">
        <v>2564</v>
      </c>
      <c r="Z26" s="1810" t="str">
        <f t="shared" ref="Z26:Z36" si="15">Q26</f>
        <v>配套类型</v>
      </c>
      <c r="AA26" s="1807">
        <f t="shared" si="3"/>
        <v>1</v>
      </c>
      <c r="AB26" s="1807">
        <f t="shared" si="4"/>
        <v>1</v>
      </c>
      <c r="AC26" s="1807">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07">
        <f t="shared" si="3"/>
        <v>1</v>
      </c>
      <c r="AB27" s="1807">
        <f t="shared" si="4"/>
        <v>1</v>
      </c>
      <c r="AC27" s="1807">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9"/>
      <c r="Q28" s="1806" t="str">
        <f t="shared" si="11"/>
        <v>公共部分装修</v>
      </c>
      <c r="R28" s="774" t="s">
        <v>17</v>
      </c>
      <c r="S28" s="775">
        <f t="shared" si="12"/>
        <v>100</v>
      </c>
      <c r="T28" s="774" t="s">
        <v>17</v>
      </c>
      <c r="U28" s="775">
        <f t="shared" si="13"/>
        <v>100</v>
      </c>
      <c r="V28" s="774" t="s">
        <v>17</v>
      </c>
      <c r="W28" s="775">
        <f t="shared" si="14"/>
        <v>100</v>
      </c>
      <c r="X28" s="1809"/>
      <c r="Y28" s="3229"/>
      <c r="Z28" s="1810" t="str">
        <f t="shared" si="15"/>
        <v>公共部分装修</v>
      </c>
      <c r="AA28" s="1807">
        <f t="shared" si="3"/>
        <v>1</v>
      </c>
      <c r="AB28" s="1807">
        <f t="shared" si="4"/>
        <v>1</v>
      </c>
      <c r="AC28" s="1807">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9"/>
      <c r="Q29" s="1806" t="str">
        <f t="shared" si="11"/>
        <v>成新率</v>
      </c>
      <c r="R29" s="774" t="s">
        <v>17</v>
      </c>
      <c r="S29" s="775" t="e">
        <f t="shared" si="12"/>
        <v>#N/A</v>
      </c>
      <c r="T29" s="774" t="s">
        <v>17</v>
      </c>
      <c r="U29" s="775" t="e">
        <f t="shared" si="13"/>
        <v>#N/A</v>
      </c>
      <c r="V29" s="774" t="s">
        <v>17</v>
      </c>
      <c r="W29" s="775" t="e">
        <f t="shared" si="14"/>
        <v>#N/A</v>
      </c>
      <c r="X29" s="1809"/>
      <c r="Y29" s="3229"/>
      <c r="Z29" s="1810" t="str">
        <f t="shared" si="15"/>
        <v>成新率</v>
      </c>
      <c r="AA29" s="1807" t="e">
        <f t="shared" si="3"/>
        <v>#N/A</v>
      </c>
      <c r="AB29" s="1807" t="e">
        <f t="shared" si="4"/>
        <v>#N/A</v>
      </c>
      <c r="AC29" s="1807"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29"/>
      <c r="Q30" s="1806" t="str">
        <f t="shared" si="11"/>
        <v>物业等级</v>
      </c>
      <c r="R30" s="774" t="s">
        <v>17</v>
      </c>
      <c r="S30" s="775">
        <f t="shared" si="12"/>
        <v>100</v>
      </c>
      <c r="T30" s="774" t="s">
        <v>17</v>
      </c>
      <c r="U30" s="775">
        <f t="shared" si="13"/>
        <v>100</v>
      </c>
      <c r="V30" s="774" t="s">
        <v>17</v>
      </c>
      <c r="W30" s="775">
        <f t="shared" si="14"/>
        <v>100</v>
      </c>
      <c r="X30" s="1809"/>
      <c r="Y30" s="3229"/>
      <c r="Z30" s="1810" t="str">
        <f t="shared" si="15"/>
        <v>物业等级</v>
      </c>
      <c r="AA30" s="1807">
        <f t="shared" si="3"/>
        <v>1</v>
      </c>
      <c r="AB30" s="1807">
        <f t="shared" si="4"/>
        <v>1</v>
      </c>
      <c r="AC30" s="1807">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9"/>
      <c r="Q31" s="1791"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9" t="s">
        <v>2564</v>
      </c>
      <c r="Q32" s="1806" t="str">
        <f t="shared" si="11"/>
        <v>车位类型</v>
      </c>
      <c r="R32" s="774" t="s">
        <v>17</v>
      </c>
      <c r="S32" s="775">
        <f t="shared" si="12"/>
        <v>100</v>
      </c>
      <c r="T32" s="774" t="s">
        <v>17</v>
      </c>
      <c r="U32" s="775">
        <f t="shared" si="13"/>
        <v>100</v>
      </c>
      <c r="V32" s="774" t="s">
        <v>17</v>
      </c>
      <c r="W32" s="775">
        <f t="shared" si="14"/>
        <v>100</v>
      </c>
      <c r="X32" s="1809"/>
      <c r="Y32" s="3229" t="s">
        <v>2564</v>
      </c>
      <c r="Z32" s="1810" t="str">
        <f t="shared" si="15"/>
        <v>车位类型</v>
      </c>
      <c r="AA32" s="1807">
        <f t="shared" si="3"/>
        <v>1</v>
      </c>
      <c r="AB32" s="1807">
        <f t="shared" si="4"/>
        <v>1</v>
      </c>
      <c r="AC32" s="1807">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9"/>
      <c r="Q33" s="1806" t="str">
        <f t="shared" si="11"/>
        <v>是否直接入户</v>
      </c>
      <c r="R33" s="774" t="s">
        <v>17</v>
      </c>
      <c r="S33" s="775">
        <f t="shared" si="12"/>
        <v>100</v>
      </c>
      <c r="T33" s="774" t="s">
        <v>17</v>
      </c>
      <c r="U33" s="775">
        <f t="shared" si="13"/>
        <v>100</v>
      </c>
      <c r="V33" s="774" t="s">
        <v>17</v>
      </c>
      <c r="W33" s="775">
        <f t="shared" si="14"/>
        <v>100</v>
      </c>
      <c r="X33" s="1809"/>
      <c r="Y33" s="3229"/>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9"/>
      <c r="Q34" s="1806">
        <f t="shared" si="11"/>
        <v>111</v>
      </c>
      <c r="R34" s="774" t="s">
        <v>17</v>
      </c>
      <c r="S34" s="775">
        <f t="shared" si="12"/>
        <v>100</v>
      </c>
      <c r="T34" s="774" t="s">
        <v>17</v>
      </c>
      <c r="U34" s="775">
        <f t="shared" si="13"/>
        <v>100</v>
      </c>
      <c r="V34" s="774" t="s">
        <v>17</v>
      </c>
      <c r="W34" s="775">
        <f t="shared" si="14"/>
        <v>100</v>
      </c>
      <c r="X34" s="1809"/>
      <c r="Y34" s="3229"/>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9"/>
      <c r="Q36" s="1806">
        <f t="shared" si="11"/>
        <v>111</v>
      </c>
      <c r="R36" s="774" t="s">
        <v>17</v>
      </c>
      <c r="S36" s="775">
        <f t="shared" si="12"/>
        <v>100</v>
      </c>
      <c r="T36" s="774" t="s">
        <v>17</v>
      </c>
      <c r="U36" s="775">
        <f t="shared" si="13"/>
        <v>100</v>
      </c>
      <c r="V36" s="774" t="s">
        <v>17</v>
      </c>
      <c r="W36" s="775">
        <f t="shared" si="14"/>
        <v>100</v>
      </c>
      <c r="X36" s="1809"/>
      <c r="Y36" s="3229"/>
      <c r="Z36" s="1810">
        <f t="shared" si="15"/>
        <v>111</v>
      </c>
      <c r="AA36" s="1807">
        <f t="shared" si="3"/>
        <v>1</v>
      </c>
      <c r="AB36" s="1807">
        <f t="shared" si="4"/>
        <v>1</v>
      </c>
      <c r="AC36" s="1807">
        <f t="shared" si="5"/>
        <v>1</v>
      </c>
    </row>
    <row r="37" spans="1:29" ht="15">
      <c r="A37" s="479" t="s">
        <v>2719</v>
      </c>
      <c r="B37" s="2693" t="s">
        <v>2720</v>
      </c>
      <c r="C37" s="1403" t="s">
        <v>1</v>
      </c>
      <c r="D37" s="1404"/>
      <c r="E37" s="1405"/>
      <c r="F37" s="1406"/>
      <c r="G37" s="1407"/>
      <c r="H37" s="1408"/>
      <c r="I37" s="1405"/>
      <c r="J37" s="1408"/>
      <c r="K37" s="619"/>
      <c r="L37" s="1139"/>
      <c r="M37" s="1140"/>
      <c r="N37" s="1127"/>
      <c r="O37" s="1140"/>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2721</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2722</v>
      </c>
      <c r="B39" s="493"/>
      <c r="C39" s="1413" t="e">
        <f>R39</f>
        <v>#DIV/0!</v>
      </c>
      <c r="D39" s="1413"/>
      <c r="E39" s="1413"/>
      <c r="F39" s="1413"/>
      <c r="G39" s="1413"/>
      <c r="H39" s="1413"/>
      <c r="I39" s="1413"/>
      <c r="J39" s="1413"/>
      <c r="K39" s="621"/>
      <c r="L39" s="1139"/>
      <c r="M39" s="1140"/>
      <c r="N39" s="1140"/>
      <c r="O39" s="1140"/>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2727</v>
      </c>
      <c r="B48" s="506"/>
      <c r="C48" s="1570" t="str">
        <f>YEAR(C7)&amp;"-"&amp;MONTH(C7)</f>
        <v>2019-10</v>
      </c>
      <c r="D48" s="1571">
        <f>EDATE(C48,-1)</f>
        <v>43709</v>
      </c>
      <c r="E48" s="1571">
        <f t="shared" ref="E48:O48" si="16">EDATE(D48,-1)</f>
        <v>43678</v>
      </c>
      <c r="F48" s="1571">
        <f t="shared" si="16"/>
        <v>43647</v>
      </c>
      <c r="G48" s="1571">
        <f t="shared" si="16"/>
        <v>43617</v>
      </c>
      <c r="H48" s="1571">
        <f t="shared" si="16"/>
        <v>43586</v>
      </c>
      <c r="I48" s="1571">
        <f t="shared" si="16"/>
        <v>43556</v>
      </c>
      <c r="J48" s="1571">
        <f t="shared" si="16"/>
        <v>43525</v>
      </c>
      <c r="K48" s="1571">
        <f t="shared" si="16"/>
        <v>43497</v>
      </c>
      <c r="L48" s="1571">
        <f t="shared" si="16"/>
        <v>43466</v>
      </c>
      <c r="M48" s="1571">
        <f t="shared" si="16"/>
        <v>43435</v>
      </c>
      <c r="N48" s="1571">
        <f t="shared" si="16"/>
        <v>43405</v>
      </c>
      <c r="O48" s="1571">
        <f t="shared" si="16"/>
        <v>43374</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2549</v>
      </c>
      <c r="B51" s="510"/>
      <c r="C51" s="522" t="s">
        <v>2651</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2587</v>
      </c>
      <c r="B53" s="528" t="s">
        <v>2553</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2602</v>
      </c>
      <c r="C65" s="578" t="s">
        <v>2596</v>
      </c>
      <c r="D65" s="578" t="s">
        <v>2597</v>
      </c>
      <c r="E65" s="578" t="s">
        <v>2598</v>
      </c>
      <c r="F65" s="578" t="s">
        <v>2599</v>
      </c>
      <c r="G65" s="578" t="s">
        <v>2600</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2688</v>
      </c>
      <c r="C67" s="660" t="s">
        <v>2674</v>
      </c>
      <c r="D67" s="660" t="s">
        <v>2675</v>
      </c>
      <c r="E67" s="660" t="s">
        <v>2676</v>
      </c>
      <c r="F67" s="660" t="s">
        <v>2677</v>
      </c>
      <c r="G67" s="660" t="s">
        <v>2678</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2608</v>
      </c>
      <c r="C69" s="578" t="s">
        <v>2596</v>
      </c>
      <c r="D69" s="578" t="s">
        <v>2597</v>
      </c>
      <c r="E69" s="578" t="s">
        <v>2598</v>
      </c>
      <c r="F69" s="578" t="s">
        <v>2599</v>
      </c>
      <c r="G69" s="578" t="s">
        <v>2600</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2728</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2562</v>
      </c>
      <c r="B79" s="528" t="s">
        <v>2729</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2615</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2734</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2706</v>
      </c>
      <c r="B1" s="1615"/>
      <c r="C1" s="1616" t="s">
        <v>2529</v>
      </c>
      <c r="D1" s="1617"/>
      <c r="E1" s="1626"/>
      <c r="F1" s="2582"/>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2329</v>
      </c>
      <c r="B2" s="1414" t="e">
        <f ca="1">IF(C2="——",ROUND(C37*D3/10000,0),ROUND(C37*D3/10000,0)-D2)</f>
        <v>#DIV/0!</v>
      </c>
      <c r="C2" s="2584"/>
      <c r="D2" s="1120" t="e">
        <f ca="1">SUMIF(INDIRECT("'"&amp;F2&amp;"'"&amp;"!A:A"),"承租人权益价值",INDIRECT("'"&amp;F2&amp;"'"&amp;"!c:c"))</f>
        <v>#REF!</v>
      </c>
      <c r="E2" s="2585" t="s">
        <v>2330</v>
      </c>
      <c r="F2" s="2586"/>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188" t="s">
        <v>2647</v>
      </c>
      <c r="AC4" s="3187" t="s">
        <v>2648</v>
      </c>
    </row>
    <row r="5" spans="1:29"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188"/>
      <c r="AC5" s="3188"/>
    </row>
    <row r="6" spans="1:29" ht="15.75" thickBot="1">
      <c r="A6" s="406"/>
      <c r="B6" s="407"/>
      <c r="C6" s="3200" t="s">
        <v>2545</v>
      </c>
      <c r="D6" s="3201"/>
      <c r="E6" s="3202" t="s">
        <v>2545</v>
      </c>
      <c r="F6" s="3203"/>
      <c r="G6" s="3200" t="s">
        <v>2545</v>
      </c>
      <c r="H6" s="3201"/>
      <c r="I6" s="3200" t="s">
        <v>2545</v>
      </c>
      <c r="J6" s="3201"/>
      <c r="K6" s="610" t="s">
        <v>2546</v>
      </c>
      <c r="L6" s="1126"/>
      <c r="M6" s="1127"/>
      <c r="N6" s="1127"/>
      <c r="O6" s="1127"/>
      <c r="P6" s="3213"/>
      <c r="Q6" s="3214"/>
      <c r="R6" s="3194"/>
      <c r="S6" s="3195"/>
      <c r="T6" s="3215"/>
      <c r="U6" s="3216"/>
      <c r="V6" s="3217"/>
      <c r="W6" s="3217"/>
      <c r="X6" s="1809"/>
      <c r="Y6" s="3215"/>
      <c r="Z6" s="3216"/>
      <c r="AA6" s="3189"/>
      <c r="AB6" s="3189"/>
      <c r="AC6" s="3189"/>
    </row>
    <row r="7" spans="1:29" s="117" customFormat="1" ht="15.75" thickBot="1">
      <c r="A7" s="408" t="s">
        <v>2547</v>
      </c>
      <c r="B7" s="409"/>
      <c r="C7" s="410">
        <f>'数据-取费表'!B2</f>
        <v>43754</v>
      </c>
      <c r="D7" s="411">
        <v>100</v>
      </c>
      <c r="E7" s="412"/>
      <c r="F7" s="413">
        <f>SUMIF(46:46,YEAR(E7)&amp;"-"&amp;MONTH(E7),47:47)</f>
        <v>0</v>
      </c>
      <c r="G7" s="2694"/>
      <c r="H7" s="411">
        <f>SUMIF(46:46,YEAR(G7)&amp;"-"&amp;MONTH(G7),47:47)</f>
        <v>0</v>
      </c>
      <c r="I7" s="412"/>
      <c r="J7" s="411">
        <f>SUMIF(46:46,YEAR(I7)&amp;"-"&amp;MONTH(I7),47:47)</f>
        <v>0</v>
      </c>
      <c r="K7" s="611"/>
      <c r="L7" s="1128"/>
      <c r="M7" s="1129"/>
      <c r="N7" s="1129"/>
      <c r="O7" s="1129"/>
      <c r="P7" s="3190" t="s">
        <v>2548</v>
      </c>
      <c r="Q7" s="3218"/>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22" t="s">
        <v>2554</v>
      </c>
      <c r="Q9" s="1791" t="str">
        <f t="shared" ref="Q9:Q14" si="6">B9</f>
        <v>用途</v>
      </c>
      <c r="R9" s="770" t="s">
        <v>17</v>
      </c>
      <c r="S9" s="771">
        <f t="shared" si="0"/>
        <v>100</v>
      </c>
      <c r="T9" s="770" t="s">
        <v>17</v>
      </c>
      <c r="U9" s="771">
        <f t="shared" si="1"/>
        <v>100</v>
      </c>
      <c r="V9" s="770" t="s">
        <v>17</v>
      </c>
      <c r="W9" s="771">
        <f t="shared" si="2"/>
        <v>100</v>
      </c>
      <c r="X9" s="772"/>
      <c r="Y9" s="303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22"/>
      <c r="Q10" s="1791"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22"/>
      <c r="Q11" s="1791">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22"/>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6"/>
      <c r="M13" s="1127"/>
      <c r="N13" s="1127"/>
      <c r="O13" s="1135"/>
      <c r="P13" s="3222"/>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24" t="s">
        <v>2559</v>
      </c>
      <c r="Q14" s="1806" t="str">
        <f t="shared" si="6"/>
        <v>交通便捷度</v>
      </c>
      <c r="R14" s="774" t="s">
        <v>17</v>
      </c>
      <c r="S14" s="775">
        <f t="shared" si="0"/>
        <v>100</v>
      </c>
      <c r="T14" s="774" t="s">
        <v>17</v>
      </c>
      <c r="U14" s="775">
        <f t="shared" si="1"/>
        <v>100</v>
      </c>
      <c r="V14" s="774" t="s">
        <v>17</v>
      </c>
      <c r="W14" s="775">
        <f t="shared" si="2"/>
        <v>100</v>
      </c>
      <c r="X14" s="1809"/>
      <c r="Y14" s="3224" t="s">
        <v>2559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25"/>
      <c r="Q15" s="1806"/>
      <c r="R15" s="774"/>
      <c r="S15" s="775"/>
      <c r="T15" s="774"/>
      <c r="U15" s="775"/>
      <c r="V15" s="774"/>
      <c r="W15" s="775"/>
      <c r="X15" s="1809"/>
      <c r="Y15" s="3225"/>
      <c r="Z15" s="1810"/>
      <c r="AA15" s="1807">
        <v>1</v>
      </c>
      <c r="AB15" s="1807">
        <v>1</v>
      </c>
      <c r="AC15" s="1807">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5"/>
      <c r="Q16" s="1806" t="str">
        <f>B16</f>
        <v>公共配套设施</v>
      </c>
      <c r="R16" s="774" t="s">
        <v>17</v>
      </c>
      <c r="S16" s="775">
        <f>F16</f>
        <v>100</v>
      </c>
      <c r="T16" s="774" t="s">
        <v>17</v>
      </c>
      <c r="U16" s="775">
        <f>H16</f>
        <v>100</v>
      </c>
      <c r="V16" s="774" t="s">
        <v>17</v>
      </c>
      <c r="W16" s="775">
        <f>J16</f>
        <v>100</v>
      </c>
      <c r="X16" s="1809"/>
      <c r="Y16" s="3225"/>
      <c r="Z16" s="1810" t="str">
        <f>Q16</f>
        <v>公共配套设施</v>
      </c>
      <c r="AA16" s="1807">
        <f t="shared" si="3"/>
        <v>1</v>
      </c>
      <c r="AB16" s="1807">
        <f t="shared" si="4"/>
        <v>1</v>
      </c>
      <c r="AC16" s="1807">
        <f t="shared" si="5"/>
        <v>1</v>
      </c>
    </row>
    <row r="17" spans="1:29" ht="15">
      <c r="A17" s="428"/>
      <c r="B17" s="456"/>
      <c r="C17" s="2606"/>
      <c r="D17" s="448"/>
      <c r="E17" s="447"/>
      <c r="F17" s="449"/>
      <c r="G17" s="447"/>
      <c r="H17" s="448"/>
      <c r="I17" s="447"/>
      <c r="J17" s="448"/>
      <c r="K17" s="615"/>
      <c r="L17" s="1136"/>
      <c r="M17" s="1127"/>
      <c r="N17" s="1127"/>
      <c r="O17" s="1135"/>
      <c r="P17" s="3225"/>
      <c r="Q17" s="1806"/>
      <c r="R17" s="774"/>
      <c r="S17" s="775"/>
      <c r="T17" s="774"/>
      <c r="U17" s="775"/>
      <c r="V17" s="774"/>
      <c r="W17" s="775"/>
      <c r="X17" s="1809"/>
      <c r="Y17" s="3225"/>
      <c r="Z17" s="1810"/>
      <c r="AA17" s="1807">
        <v>1</v>
      </c>
      <c r="AB17" s="1807">
        <v>1</v>
      </c>
      <c r="AC17" s="1807">
        <v>1</v>
      </c>
    </row>
    <row r="18" spans="1:29" ht="28.5">
      <c r="A18" s="428"/>
      <c r="B18" s="1380"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5"/>
      <c r="Q18" s="1806" t="str">
        <f>B18</f>
        <v>基础设施水平</v>
      </c>
      <c r="R18" s="774" t="s">
        <v>17</v>
      </c>
      <c r="S18" s="775">
        <f>F18</f>
        <v>100</v>
      </c>
      <c r="T18" s="774" t="s">
        <v>17</v>
      </c>
      <c r="U18" s="775">
        <f>H18</f>
        <v>100</v>
      </c>
      <c r="V18" s="774" t="s">
        <v>17</v>
      </c>
      <c r="W18" s="775">
        <f>J18</f>
        <v>100</v>
      </c>
      <c r="X18" s="1809"/>
      <c r="Y18" s="3225"/>
      <c r="Z18" s="1810" t="str">
        <f>Q18</f>
        <v>基础设施水平</v>
      </c>
      <c r="AA18" s="1807">
        <f t="shared" ref="AA18" si="8">D18/F18</f>
        <v>1</v>
      </c>
      <c r="AB18" s="1807">
        <f t="shared" ref="AB18" si="9">D18/H18</f>
        <v>1</v>
      </c>
      <c r="AC18" s="1807">
        <f t="shared" ref="AC18" si="10">D18/J18</f>
        <v>1</v>
      </c>
    </row>
    <row r="19" spans="1:29" ht="15">
      <c r="A19" s="428"/>
      <c r="B19" s="1380"/>
      <c r="C19" s="2606"/>
      <c r="D19" s="450"/>
      <c r="E19" s="2606"/>
      <c r="F19" s="453"/>
      <c r="G19" s="2606"/>
      <c r="H19" s="448"/>
      <c r="I19" s="447"/>
      <c r="J19" s="448"/>
      <c r="K19" s="1379"/>
      <c r="L19" s="1136"/>
      <c r="M19" s="1127"/>
      <c r="N19" s="1127"/>
      <c r="O19" s="1135"/>
      <c r="P19" s="3225"/>
      <c r="Q19" s="1806"/>
      <c r="R19" s="774"/>
      <c r="S19" s="775"/>
      <c r="T19" s="774"/>
      <c r="U19" s="775"/>
      <c r="V19" s="774"/>
      <c r="W19" s="775"/>
      <c r="X19" s="1809"/>
      <c r="Y19" s="3225"/>
      <c r="Z19" s="1810"/>
      <c r="AA19" s="1807">
        <v>1</v>
      </c>
      <c r="AB19" s="1807">
        <v>1</v>
      </c>
      <c r="AC19" s="1807">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5"/>
      <c r="Q20" s="1806" t="str">
        <f>B20</f>
        <v>自然及人文环境</v>
      </c>
      <c r="R20" s="774" t="s">
        <v>17</v>
      </c>
      <c r="S20" s="775">
        <f>F20</f>
        <v>100</v>
      </c>
      <c r="T20" s="774" t="s">
        <v>17</v>
      </c>
      <c r="U20" s="775">
        <f>H20</f>
        <v>100</v>
      </c>
      <c r="V20" s="774" t="s">
        <v>17</v>
      </c>
      <c r="W20" s="775">
        <f>J20</f>
        <v>100</v>
      </c>
      <c r="X20" s="1809"/>
      <c r="Y20" s="3225"/>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25"/>
      <c r="Q21" s="1806"/>
      <c r="R21" s="774"/>
      <c r="S21" s="775"/>
      <c r="T21" s="774"/>
      <c r="U21" s="775"/>
      <c r="V21" s="774"/>
      <c r="W21" s="775"/>
      <c r="X21" s="1809"/>
      <c r="Y21" s="3225"/>
      <c r="Z21" s="1810"/>
      <c r="AA21" s="1807">
        <v>1</v>
      </c>
      <c r="AB21" s="1807">
        <v>1</v>
      </c>
      <c r="AC21" s="1807">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5"/>
      <c r="Q22" s="1806" t="str">
        <f>B22</f>
        <v>楼层</v>
      </c>
      <c r="R22" s="774" t="s">
        <v>17</v>
      </c>
      <c r="S22" s="775">
        <f>F22</f>
        <v>100</v>
      </c>
      <c r="T22" s="774" t="s">
        <v>17</v>
      </c>
      <c r="U22" s="775">
        <f>H22</f>
        <v>100</v>
      </c>
      <c r="V22" s="774" t="s">
        <v>17</v>
      </c>
      <c r="W22" s="775">
        <f>J22</f>
        <v>100</v>
      </c>
      <c r="X22" s="1809"/>
      <c r="Y22" s="3225"/>
      <c r="Z22" s="1810" t="str">
        <f>Q22</f>
        <v>楼层</v>
      </c>
      <c r="AA22" s="1807">
        <f t="shared" si="3"/>
        <v>1</v>
      </c>
      <c r="AB22" s="1807">
        <f t="shared" si="4"/>
        <v>1</v>
      </c>
      <c r="AC22" s="1807">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5"/>
      <c r="Q23" s="1806">
        <f>B23</f>
        <v>111</v>
      </c>
      <c r="R23" s="774" t="s">
        <v>17</v>
      </c>
      <c r="S23" s="775">
        <f>F23</f>
        <v>100</v>
      </c>
      <c r="T23" s="774" t="s">
        <v>17</v>
      </c>
      <c r="U23" s="775">
        <f>H23</f>
        <v>100</v>
      </c>
      <c r="V23" s="774" t="s">
        <v>17</v>
      </c>
      <c r="W23" s="775">
        <f>J23</f>
        <v>100</v>
      </c>
      <c r="X23" s="1809"/>
      <c r="Y23" s="3225"/>
      <c r="Z23" s="1810">
        <f>Q23</f>
        <v>111</v>
      </c>
      <c r="AA23" s="1807">
        <f t="shared" si="3"/>
        <v>1</v>
      </c>
      <c r="AB23" s="1807">
        <f t="shared" si="4"/>
        <v>1</v>
      </c>
      <c r="AC23" s="1807">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5"/>
      <c r="Q24" s="1806">
        <f t="shared" ref="Q24:Q34" si="11">B24</f>
        <v>111</v>
      </c>
      <c r="R24" s="774" t="s">
        <v>17</v>
      </c>
      <c r="S24" s="775">
        <f>F24</f>
        <v>100</v>
      </c>
      <c r="T24" s="774" t="s">
        <v>17</v>
      </c>
      <c r="U24" s="775">
        <f>H24</f>
        <v>100</v>
      </c>
      <c r="V24" s="774" t="s">
        <v>17</v>
      </c>
      <c r="W24" s="775">
        <f>J24</f>
        <v>100</v>
      </c>
      <c r="X24" s="1809"/>
      <c r="Y24" s="3225"/>
      <c r="Z24" s="1810">
        <f>Q24</f>
        <v>111</v>
      </c>
      <c r="AA24" s="1807">
        <f t="shared" si="3"/>
        <v>1</v>
      </c>
      <c r="AB24" s="1807">
        <f t="shared" si="4"/>
        <v>1</v>
      </c>
      <c r="AC24" s="1807">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8"/>
      <c r="M25" s="1129"/>
      <c r="N25" s="1129"/>
      <c r="O25" s="1130"/>
      <c r="P25" s="3225"/>
      <c r="Q25" s="1791">
        <f t="shared" si="11"/>
        <v>111</v>
      </c>
      <c r="R25" s="770" t="s">
        <v>17</v>
      </c>
      <c r="S25" s="771">
        <f>F25</f>
        <v>100</v>
      </c>
      <c r="T25" s="770" t="s">
        <v>17</v>
      </c>
      <c r="U25" s="771">
        <f>H25</f>
        <v>100</v>
      </c>
      <c r="V25" s="770" t="s">
        <v>17</v>
      </c>
      <c r="W25" s="771">
        <f>J25</f>
        <v>100</v>
      </c>
      <c r="X25" s="772"/>
      <c r="Y25" s="3225"/>
      <c r="Z25" s="55">
        <f>Q25</f>
        <v>111</v>
      </c>
      <c r="AA25" s="1807">
        <f>D25/F25</f>
        <v>1</v>
      </c>
      <c r="AB25" s="1807">
        <f>D25/H25</f>
        <v>1</v>
      </c>
      <c r="AC25" s="1807">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36"/>
      <c r="M26" s="1127"/>
      <c r="N26" s="1127"/>
      <c r="O26" s="1135"/>
      <c r="P26" s="3248" t="s">
        <v>2564</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29" t="s">
        <v>2564</v>
      </c>
      <c r="Z26" s="1810" t="str">
        <f t="shared" ref="Z26:Z34" si="15">Q26</f>
        <v>公共部分装修</v>
      </c>
      <c r="AA26" s="1807">
        <f t="shared" si="3"/>
        <v>1</v>
      </c>
      <c r="AB26" s="1807">
        <f t="shared" si="4"/>
        <v>1</v>
      </c>
      <c r="AC26" s="1807">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07" t="e">
        <f t="shared" si="3"/>
        <v>#N/A</v>
      </c>
      <c r="AB27" s="1807" t="e">
        <f t="shared" si="4"/>
        <v>#N/A</v>
      </c>
      <c r="AC27" s="1807"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9"/>
      <c r="Q28" s="1806" t="str">
        <f t="shared" si="11"/>
        <v>物业等级</v>
      </c>
      <c r="R28" s="774" t="s">
        <v>17</v>
      </c>
      <c r="S28" s="775">
        <f t="shared" si="12"/>
        <v>100</v>
      </c>
      <c r="T28" s="774" t="s">
        <v>17</v>
      </c>
      <c r="U28" s="775">
        <f t="shared" si="13"/>
        <v>100</v>
      </c>
      <c r="V28" s="774" t="s">
        <v>17</v>
      </c>
      <c r="W28" s="775">
        <f t="shared" si="14"/>
        <v>100</v>
      </c>
      <c r="X28" s="1809"/>
      <c r="Y28" s="3229"/>
      <c r="Z28" s="1810" t="str">
        <f t="shared" si="15"/>
        <v>物业等级</v>
      </c>
      <c r="AA28" s="1807">
        <f t="shared" si="3"/>
        <v>1</v>
      </c>
      <c r="AB28" s="1807">
        <f t="shared" si="4"/>
        <v>1</v>
      </c>
      <c r="AC28" s="1807">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29"/>
      <c r="Q29" s="1806" t="str">
        <f t="shared" si="11"/>
        <v>有无电梯</v>
      </c>
      <c r="R29" s="774" t="s">
        <v>17</v>
      </c>
      <c r="S29" s="775">
        <f t="shared" si="12"/>
        <v>100</v>
      </c>
      <c r="T29" s="774" t="s">
        <v>17</v>
      </c>
      <c r="U29" s="775">
        <f t="shared" si="13"/>
        <v>100</v>
      </c>
      <c r="V29" s="774" t="s">
        <v>17</v>
      </c>
      <c r="W29" s="775">
        <f t="shared" si="14"/>
        <v>100</v>
      </c>
      <c r="X29" s="1809"/>
      <c r="Y29" s="3229"/>
      <c r="Z29" s="1810" t="str">
        <f t="shared" si="15"/>
        <v>有无电梯</v>
      </c>
      <c r="AA29" s="1807">
        <f t="shared" si="3"/>
        <v>1</v>
      </c>
      <c r="AB29" s="1807">
        <f t="shared" si="4"/>
        <v>1</v>
      </c>
      <c r="AC29" s="1807">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9"/>
      <c r="Q30" s="1806" t="str">
        <f t="shared" si="11"/>
        <v>建筑面积</v>
      </c>
      <c r="R30" s="774" t="s">
        <v>17</v>
      </c>
      <c r="S30" s="775" t="e">
        <f t="shared" si="12"/>
        <v>#N/A</v>
      </c>
      <c r="T30" s="774" t="s">
        <v>17</v>
      </c>
      <c r="U30" s="775" t="e">
        <f t="shared" si="13"/>
        <v>#N/A</v>
      </c>
      <c r="V30" s="774" t="s">
        <v>17</v>
      </c>
      <c r="W30" s="775" t="e">
        <f t="shared" si="14"/>
        <v>#N/A</v>
      </c>
      <c r="X30" s="1809"/>
      <c r="Y30" s="3229"/>
      <c r="Z30" s="1810" t="str">
        <f t="shared" si="15"/>
        <v>建筑面积</v>
      </c>
      <c r="AA30" s="1807" t="e">
        <f t="shared" si="3"/>
        <v>#N/A</v>
      </c>
      <c r="AB30" s="1807" t="e">
        <f t="shared" si="4"/>
        <v>#N/A</v>
      </c>
      <c r="AC30" s="1807"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29"/>
      <c r="Q31" s="1791"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9" t="s">
        <v>2564</v>
      </c>
      <c r="Q32" s="1806">
        <f t="shared" si="11"/>
        <v>111</v>
      </c>
      <c r="R32" s="774" t="s">
        <v>17</v>
      </c>
      <c r="S32" s="775">
        <f t="shared" si="12"/>
        <v>100</v>
      </c>
      <c r="T32" s="774" t="s">
        <v>17</v>
      </c>
      <c r="U32" s="775">
        <f t="shared" si="13"/>
        <v>100</v>
      </c>
      <c r="V32" s="774" t="s">
        <v>17</v>
      </c>
      <c r="W32" s="775">
        <f t="shared" si="14"/>
        <v>100</v>
      </c>
      <c r="X32" s="1809"/>
      <c r="Y32" s="3229" t="s">
        <v>2564</v>
      </c>
      <c r="Z32" s="1810">
        <f t="shared" si="15"/>
        <v>111</v>
      </c>
      <c r="AA32" s="1807">
        <f t="shared" si="3"/>
        <v>1</v>
      </c>
      <c r="AB32" s="1807">
        <f t="shared" si="4"/>
        <v>1</v>
      </c>
      <c r="AC32" s="1807">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9"/>
      <c r="Q33" s="1806">
        <f t="shared" si="11"/>
        <v>111</v>
      </c>
      <c r="R33" s="774" t="s">
        <v>17</v>
      </c>
      <c r="S33" s="775">
        <f t="shared" si="12"/>
        <v>100</v>
      </c>
      <c r="T33" s="774" t="s">
        <v>17</v>
      </c>
      <c r="U33" s="775">
        <f t="shared" si="13"/>
        <v>100</v>
      </c>
      <c r="V33" s="774" t="s">
        <v>17</v>
      </c>
      <c r="W33" s="775">
        <f t="shared" si="14"/>
        <v>100</v>
      </c>
      <c r="X33" s="1809"/>
      <c r="Y33" s="3229"/>
      <c r="Z33" s="1810">
        <f t="shared" si="15"/>
        <v>111</v>
      </c>
      <c r="AA33" s="1807">
        <f t="shared" si="3"/>
        <v>1</v>
      </c>
      <c r="AB33" s="1807">
        <f t="shared" si="4"/>
        <v>1</v>
      </c>
      <c r="AC33" s="1807">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6"/>
      <c r="M34" s="1127"/>
      <c r="N34" s="1127"/>
      <c r="O34" s="1135"/>
      <c r="P34" s="3229"/>
      <c r="Q34" s="1806">
        <f t="shared" si="11"/>
        <v>111</v>
      </c>
      <c r="R34" s="774" t="s">
        <v>17</v>
      </c>
      <c r="S34" s="775">
        <f t="shared" si="12"/>
        <v>100</v>
      </c>
      <c r="T34" s="774" t="s">
        <v>17</v>
      </c>
      <c r="U34" s="775">
        <f t="shared" si="13"/>
        <v>100</v>
      </c>
      <c r="V34" s="774" t="s">
        <v>17</v>
      </c>
      <c r="W34" s="775">
        <f t="shared" si="14"/>
        <v>100</v>
      </c>
      <c r="X34" s="1809"/>
      <c r="Y34" s="3229"/>
      <c r="Z34" s="1810">
        <f t="shared" si="15"/>
        <v>111</v>
      </c>
      <c r="AA34" s="1807">
        <f t="shared" si="3"/>
        <v>1</v>
      </c>
      <c r="AB34" s="1807">
        <f t="shared" si="4"/>
        <v>1</v>
      </c>
      <c r="AC34" s="1807">
        <f t="shared" si="5"/>
        <v>1</v>
      </c>
    </row>
    <row r="35" spans="1:29" ht="15">
      <c r="A35" s="479" t="s">
        <v>2576</v>
      </c>
      <c r="B35" s="480"/>
      <c r="C35" s="1403" t="s">
        <v>1</v>
      </c>
      <c r="D35" s="1404"/>
      <c r="E35" s="1405"/>
      <c r="F35" s="1406"/>
      <c r="G35" s="1407"/>
      <c r="H35" s="1408"/>
      <c r="I35" s="1405"/>
      <c r="J35" s="1408"/>
      <c r="K35" s="783"/>
      <c r="L35" s="1139"/>
      <c r="M35" s="1140"/>
      <c r="N35" s="1127"/>
      <c r="O35" s="1140"/>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2668</v>
      </c>
      <c r="B36" s="487"/>
      <c r="C36" s="1409" t="e">
        <f>R37</f>
        <v>#DIV/0!</v>
      </c>
      <c r="D36" s="1410"/>
      <c r="E36" s="1411" t="e">
        <f>R36</f>
        <v>#DIV/0!</v>
      </c>
      <c r="F36" s="1411"/>
      <c r="G36" s="1409" t="e">
        <f>T36</f>
        <v>#DIV/0!</v>
      </c>
      <c r="H36" s="1410"/>
      <c r="I36" s="1411" t="e">
        <f>V36</f>
        <v>#DIV/0!</v>
      </c>
      <c r="J36" s="1410"/>
      <c r="K36" s="784"/>
      <c r="L36" s="1139"/>
      <c r="M36" s="1140"/>
      <c r="N36" s="1127"/>
      <c r="O36" s="1140"/>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2669</v>
      </c>
      <c r="B37" s="493"/>
      <c r="C37" s="1413" t="e">
        <f>R37</f>
        <v>#DIV/0!</v>
      </c>
      <c r="D37" s="1413"/>
      <c r="E37" s="1413"/>
      <c r="F37" s="1413"/>
      <c r="G37" s="1413"/>
      <c r="H37" s="1413"/>
      <c r="I37" s="1413"/>
      <c r="J37" s="1413"/>
      <c r="K37" s="785"/>
      <c r="L37" s="1139"/>
      <c r="M37" s="1140"/>
      <c r="N37" s="1140"/>
      <c r="O37" s="1140"/>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0" t="str">
        <f>YEAR(C7)&amp;"-"&amp;MONTH(C7)</f>
        <v>2019-10</v>
      </c>
      <c r="D46" s="1571">
        <f>EDATE(C46,-1)</f>
        <v>43709</v>
      </c>
      <c r="E46" s="1571">
        <f t="shared" ref="E46:O46" si="16">EDATE(D46,-1)</f>
        <v>43678</v>
      </c>
      <c r="F46" s="1571">
        <f t="shared" si="16"/>
        <v>43647</v>
      </c>
      <c r="G46" s="1571">
        <f t="shared" si="16"/>
        <v>43617</v>
      </c>
      <c r="H46" s="1571">
        <f t="shared" si="16"/>
        <v>43586</v>
      </c>
      <c r="I46" s="1571">
        <f t="shared" si="16"/>
        <v>43556</v>
      </c>
      <c r="J46" s="1571">
        <f t="shared" si="16"/>
        <v>43525</v>
      </c>
      <c r="K46" s="1571">
        <f t="shared" si="16"/>
        <v>43497</v>
      </c>
      <c r="L46" s="1571">
        <f t="shared" si="16"/>
        <v>43466</v>
      </c>
      <c r="M46" s="1571">
        <f t="shared" si="16"/>
        <v>43435</v>
      </c>
      <c r="N46" s="1571">
        <f t="shared" si="16"/>
        <v>43405</v>
      </c>
      <c r="O46" s="1571">
        <f t="shared" si="16"/>
        <v>43374</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2587</v>
      </c>
      <c r="B51" s="528" t="s">
        <v>2553</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2562</v>
      </c>
      <c r="B77" s="528" t="s">
        <v>2615</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8" priority="14" stopIfTrue="1" operator="containsText" text="超过">
      <formula>NOT(ISERROR(SEARCH("超过",F40)))</formula>
    </cfRule>
  </conditionalFormatting>
  <conditionalFormatting sqref="J42">
    <cfRule type="containsText" dxfId="67" priority="13" stopIfTrue="1" operator="containsText" text="超过">
      <formula>NOT(ISERROR(SEARCH("超过",J42)))</formula>
    </cfRule>
  </conditionalFormatting>
  <conditionalFormatting sqref="H42">
    <cfRule type="containsText" dxfId="66" priority="12" stopIfTrue="1" operator="containsText" text="超过">
      <formula>NOT(ISERROR(SEARCH("超过",H42)))</formula>
    </cfRule>
  </conditionalFormatting>
  <conditionalFormatting sqref="F42">
    <cfRule type="containsText" dxfId="65" priority="11" stopIfTrue="1" operator="containsText" text="超过">
      <formula>NOT(ISERROR(SEARCH("超过",F42)))</formula>
    </cfRule>
  </conditionalFormatting>
  <conditionalFormatting sqref="F41 H41 J41">
    <cfRule type="containsText" dxfId="64" priority="10" stopIfTrue="1" operator="containsText" text="超过">
      <formula>NOT(ISERROR(SEARCH("超过",F41)))</formula>
    </cfRule>
  </conditionalFormatting>
  <conditionalFormatting sqref="E40">
    <cfRule type="expression" dxfId="63" priority="9" stopIfTrue="1">
      <formula>$F$40="超过30%"</formula>
    </cfRule>
  </conditionalFormatting>
  <conditionalFormatting sqref="G42">
    <cfRule type="expression" dxfId="62" priority="8" stopIfTrue="1">
      <formula>$H$54+$H$42="超过30%"</formula>
    </cfRule>
  </conditionalFormatting>
  <conditionalFormatting sqref="E41">
    <cfRule type="expression" dxfId="61" priority="7" stopIfTrue="1">
      <formula>$F$41="超过20%"</formula>
    </cfRule>
  </conditionalFormatting>
  <conditionalFormatting sqref="E42">
    <cfRule type="expression" dxfId="60" priority="6" stopIfTrue="1">
      <formula>$F$42="超过30%"</formula>
    </cfRule>
  </conditionalFormatting>
  <conditionalFormatting sqref="G40">
    <cfRule type="expression" dxfId="59" priority="5" stopIfTrue="1">
      <formula>$H$52+$H$40="超过30%"</formula>
    </cfRule>
  </conditionalFormatting>
  <conditionalFormatting sqref="G41">
    <cfRule type="expression" dxfId="58" priority="4" stopIfTrue="1">
      <formula>$H$53+$H$41="超过20%"</formula>
    </cfRule>
  </conditionalFormatting>
  <conditionalFormatting sqref="I40">
    <cfRule type="expression" dxfId="57" priority="3" stopIfTrue="1">
      <formula>$J$40="超过30%"</formula>
    </cfRule>
  </conditionalFormatting>
  <conditionalFormatting sqref="I41">
    <cfRule type="expression" dxfId="56" priority="2" stopIfTrue="1">
      <formula>$J$41="超过20%"</formula>
    </cfRule>
  </conditionalFormatting>
  <conditionalFormatting sqref="I42">
    <cfRule type="expression" dxfId="5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188" t="s">
        <v>2647</v>
      </c>
      <c r="AC4" s="3187" t="s">
        <v>2648</v>
      </c>
    </row>
    <row r="5" spans="1:30"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188"/>
      <c r="AC5" s="3188"/>
    </row>
    <row r="6" spans="1:30" ht="15.75" thickBot="1">
      <c r="A6" s="406"/>
      <c r="B6" s="407"/>
      <c r="C6" s="3200" t="s">
        <v>2545</v>
      </c>
      <c r="D6" s="3201"/>
      <c r="E6" s="3202" t="s">
        <v>2545</v>
      </c>
      <c r="F6" s="3203"/>
      <c r="G6" s="3200" t="s">
        <v>2545</v>
      </c>
      <c r="H6" s="3201"/>
      <c r="I6" s="3200" t="s">
        <v>2545</v>
      </c>
      <c r="J6" s="3201"/>
      <c r="K6" s="610" t="s">
        <v>2546</v>
      </c>
      <c r="L6" s="1126"/>
      <c r="M6" s="1127"/>
      <c r="N6" s="1127"/>
      <c r="O6" s="1127"/>
      <c r="P6" s="3213"/>
      <c r="Q6" s="3214"/>
      <c r="R6" s="3194"/>
      <c r="S6" s="3195"/>
      <c r="T6" s="3215"/>
      <c r="U6" s="3216"/>
      <c r="V6" s="3217"/>
      <c r="W6" s="3217"/>
      <c r="X6" s="1809"/>
      <c r="Y6" s="3215"/>
      <c r="Z6" s="3216"/>
      <c r="AA6" s="3189"/>
      <c r="AB6" s="3189"/>
      <c r="AC6" s="3189"/>
    </row>
    <row r="7" spans="1:30" s="117" customFormat="1" ht="15.75" thickBot="1">
      <c r="A7" s="408" t="s">
        <v>2547</v>
      </c>
      <c r="B7" s="409"/>
      <c r="C7" s="410">
        <f>'数据-取费表'!B2</f>
        <v>43754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8"/>
      <c r="M7" s="1129"/>
      <c r="N7" s="1129"/>
      <c r="O7" s="1129"/>
      <c r="P7" s="3190" t="s">
        <v>2548</v>
      </c>
      <c r="Q7" s="3218"/>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28"/>
      <c r="M9" s="1129"/>
      <c r="N9" s="1129"/>
      <c r="O9" s="1130"/>
      <c r="P9" s="3222"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112</v>
      </c>
      <c r="G10" s="463"/>
      <c r="H10" s="136">
        <f>ROUND(100/'数据-取费表'!G16,0)</f>
        <v>112</v>
      </c>
      <c r="I10" s="463"/>
      <c r="J10" s="136">
        <f>ROUND(100/'数据-取费表'!G16,0)</f>
        <v>112</v>
      </c>
      <c r="K10" s="672"/>
      <c r="L10" s="1131"/>
      <c r="M10" s="1132"/>
      <c r="N10" s="1132"/>
      <c r="O10" s="1133"/>
      <c r="P10" s="3222"/>
      <c r="Q10" s="1791"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22"/>
      <c r="Q11" s="1791"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22"/>
      <c r="Q12" s="1791"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22"/>
      <c r="Q13" s="1791">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22"/>
      <c r="Q14" s="1791">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2558</v>
      </c>
      <c r="B15" s="69" t="s">
        <v>2085</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24" t="s">
        <v>2559</v>
      </c>
      <c r="Q15" s="1806" t="str">
        <f t="shared" si="6"/>
        <v>居住社区成熟度</v>
      </c>
      <c r="R15" s="774" t="s">
        <v>17</v>
      </c>
      <c r="S15" s="775">
        <f t="shared" si="0"/>
        <v>100</v>
      </c>
      <c r="T15" s="774" t="s">
        <v>17</v>
      </c>
      <c r="U15" s="775">
        <f t="shared" si="1"/>
        <v>100</v>
      </c>
      <c r="V15" s="774" t="s">
        <v>17</v>
      </c>
      <c r="W15" s="775">
        <f t="shared" si="2"/>
        <v>100</v>
      </c>
      <c r="X15" s="1809"/>
      <c r="Y15" s="3224" t="s">
        <v>2559</v>
      </c>
      <c r="Z15" s="1810" t="str">
        <f t="shared" si="7"/>
        <v>居住社区成熟度</v>
      </c>
      <c r="AA15" s="1807">
        <f t="shared" si="3"/>
        <v>1</v>
      </c>
      <c r="AB15" s="1807">
        <f t="shared" si="4"/>
        <v>1</v>
      </c>
      <c r="AC15" s="1807">
        <f t="shared" si="5"/>
        <v>1</v>
      </c>
    </row>
    <row r="16" spans="1:30" ht="15">
      <c r="A16" s="428"/>
      <c r="B16" s="446"/>
      <c r="C16" s="447"/>
      <c r="D16" s="448"/>
      <c r="E16" s="2603"/>
      <c r="F16" s="448"/>
      <c r="G16" s="2603"/>
      <c r="H16" s="450"/>
      <c r="I16" s="2602"/>
      <c r="J16" s="448"/>
      <c r="K16" s="672"/>
      <c r="L16" s="1136"/>
      <c r="M16" s="1127"/>
      <c r="N16" s="1127"/>
      <c r="O16" s="1135"/>
      <c r="P16" s="3225"/>
      <c r="Q16" s="1806"/>
      <c r="R16" s="774"/>
      <c r="S16" s="775"/>
      <c r="T16" s="774"/>
      <c r="U16" s="775"/>
      <c r="V16" s="774"/>
      <c r="W16" s="775"/>
      <c r="X16" s="1809"/>
      <c r="Y16" s="3225"/>
      <c r="Z16" s="1810"/>
      <c r="AA16" s="1807">
        <v>1</v>
      </c>
      <c r="AB16" s="1807">
        <v>1</v>
      </c>
      <c r="AC16" s="1807">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25"/>
      <c r="Q17" s="1806" t="str">
        <f>B17</f>
        <v>商业繁华度</v>
      </c>
      <c r="R17" s="774" t="s">
        <v>17</v>
      </c>
      <c r="S17" s="775">
        <f>F17</f>
        <v>100</v>
      </c>
      <c r="T17" s="774" t="s">
        <v>17</v>
      </c>
      <c r="U17" s="775">
        <f>H17</f>
        <v>100</v>
      </c>
      <c r="V17" s="774" t="s">
        <v>17</v>
      </c>
      <c r="W17" s="775">
        <f>J17</f>
        <v>100</v>
      </c>
      <c r="X17" s="1809"/>
      <c r="Y17" s="3225"/>
      <c r="Z17" s="1810" t="str">
        <f>Q17</f>
        <v>商业繁华度</v>
      </c>
      <c r="AA17" s="1807">
        <f t="shared" si="3"/>
        <v>1</v>
      </c>
      <c r="AB17" s="1807">
        <f t="shared" si="4"/>
        <v>1</v>
      </c>
      <c r="AC17" s="1807">
        <f t="shared" si="5"/>
        <v>1</v>
      </c>
    </row>
    <row r="18" spans="1:29" ht="15">
      <c r="A18" s="428"/>
      <c r="B18" s="456"/>
      <c r="C18" s="2606"/>
      <c r="D18" s="450"/>
      <c r="E18" s="2608"/>
      <c r="F18" s="450"/>
      <c r="G18" s="2608"/>
      <c r="H18" s="448"/>
      <c r="I18" s="2607"/>
      <c r="J18" s="448"/>
      <c r="K18" s="672"/>
      <c r="L18" s="1136"/>
      <c r="M18" s="1127"/>
      <c r="N18" s="1127"/>
      <c r="O18" s="1135"/>
      <c r="P18" s="3225"/>
      <c r="Q18" s="1806"/>
      <c r="R18" s="774"/>
      <c r="S18" s="775"/>
      <c r="T18" s="774"/>
      <c r="U18" s="775"/>
      <c r="V18" s="774"/>
      <c r="W18" s="775"/>
      <c r="X18" s="1809"/>
      <c r="Y18" s="3225"/>
      <c r="Z18" s="1810"/>
      <c r="AA18" s="1807">
        <v>1</v>
      </c>
      <c r="AB18" s="1807">
        <v>1</v>
      </c>
      <c r="AC18" s="1807">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25"/>
      <c r="Q19" s="1806" t="str">
        <f>B19</f>
        <v>办公集聚程度</v>
      </c>
      <c r="R19" s="774" t="s">
        <v>17</v>
      </c>
      <c r="S19" s="775">
        <f>F19</f>
        <v>100</v>
      </c>
      <c r="T19" s="774" t="s">
        <v>17</v>
      </c>
      <c r="U19" s="775">
        <f>H19</f>
        <v>100</v>
      </c>
      <c r="V19" s="774" t="s">
        <v>17</v>
      </c>
      <c r="W19" s="775">
        <f>J19</f>
        <v>100</v>
      </c>
      <c r="X19" s="1809"/>
      <c r="Y19" s="3225"/>
      <c r="Z19" s="1810" t="str">
        <f>Q19</f>
        <v>办公集聚程度</v>
      </c>
      <c r="AA19" s="1807">
        <f t="shared" si="3"/>
        <v>1</v>
      </c>
      <c r="AB19" s="1807">
        <f t="shared" si="4"/>
        <v>1</v>
      </c>
      <c r="AC19" s="1807">
        <f t="shared" si="5"/>
        <v>1</v>
      </c>
    </row>
    <row r="20" spans="1:29" ht="15">
      <c r="A20" s="428"/>
      <c r="B20" s="456"/>
      <c r="C20" s="447"/>
      <c r="D20" s="448"/>
      <c r="E20" s="2603"/>
      <c r="F20" s="448"/>
      <c r="G20" s="2603"/>
      <c r="H20" s="448"/>
      <c r="I20" s="2602"/>
      <c r="J20" s="448"/>
      <c r="K20" s="672"/>
      <c r="L20" s="1136"/>
      <c r="M20" s="1127"/>
      <c r="N20" s="1127"/>
      <c r="O20" s="1135"/>
      <c r="P20" s="3225"/>
      <c r="Q20" s="1806"/>
      <c r="R20" s="774"/>
      <c r="S20" s="775"/>
      <c r="T20" s="774"/>
      <c r="U20" s="775"/>
      <c r="V20" s="774"/>
      <c r="W20" s="775"/>
      <c r="X20" s="1809"/>
      <c r="Y20" s="3225"/>
      <c r="Z20" s="1810"/>
      <c r="AA20" s="1807">
        <v>1</v>
      </c>
      <c r="AB20" s="1807">
        <v>1</v>
      </c>
      <c r="AC20" s="1807">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25"/>
      <c r="Q21" s="1806" t="str">
        <f>B21</f>
        <v>交通便捷度</v>
      </c>
      <c r="R21" s="774" t="s">
        <v>17</v>
      </c>
      <c r="S21" s="775">
        <f>F21</f>
        <v>100</v>
      </c>
      <c r="T21" s="774" t="s">
        <v>17</v>
      </c>
      <c r="U21" s="775">
        <f>H21</f>
        <v>100</v>
      </c>
      <c r="V21" s="774" t="s">
        <v>17</v>
      </c>
      <c r="W21" s="775">
        <f>J21</f>
        <v>100</v>
      </c>
      <c r="X21" s="1809"/>
      <c r="Y21" s="3225"/>
      <c r="Z21" s="1810" t="str">
        <f>Q21</f>
        <v>交通便捷度</v>
      </c>
      <c r="AA21" s="1807">
        <f t="shared" si="3"/>
        <v>1</v>
      </c>
      <c r="AB21" s="1807">
        <f t="shared" si="4"/>
        <v>1</v>
      </c>
      <c r="AC21" s="1807">
        <f t="shared" si="5"/>
        <v>1</v>
      </c>
    </row>
    <row r="22" spans="1:29" ht="15">
      <c r="A22" s="428"/>
      <c r="B22" s="1380"/>
      <c r="C22" s="447"/>
      <c r="D22" s="450"/>
      <c r="E22" s="2603"/>
      <c r="F22" s="448"/>
      <c r="G22" s="2603"/>
      <c r="H22" s="448"/>
      <c r="I22" s="2602"/>
      <c r="J22" s="448"/>
      <c r="K22" s="672"/>
      <c r="L22" s="1136"/>
      <c r="M22" s="1127"/>
      <c r="N22" s="1127"/>
      <c r="O22" s="1135"/>
      <c r="P22" s="3225"/>
      <c r="Q22" s="1806"/>
      <c r="R22" s="774"/>
      <c r="S22" s="775"/>
      <c r="T22" s="774"/>
      <c r="U22" s="775"/>
      <c r="V22" s="774"/>
      <c r="W22" s="775"/>
      <c r="X22" s="1809"/>
      <c r="Y22" s="3225"/>
      <c r="Z22" s="1810"/>
      <c r="AA22" s="1807">
        <v>1</v>
      </c>
      <c r="AB22" s="1807">
        <v>1</v>
      </c>
      <c r="AC22" s="1807">
        <v>1</v>
      </c>
    </row>
    <row r="23" spans="1:29" ht="15">
      <c r="A23" s="404"/>
      <c r="B23" s="451" t="s">
        <v>2747</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25"/>
      <c r="Q23" s="1806" t="str">
        <f t="shared" ref="Q23:Q37" si="8">B23</f>
        <v>区域土地利用方向</v>
      </c>
      <c r="R23" s="774" t="s">
        <v>17</v>
      </c>
      <c r="S23" s="775">
        <f>F23</f>
        <v>100</v>
      </c>
      <c r="T23" s="774" t="s">
        <v>17</v>
      </c>
      <c r="U23" s="775">
        <f>H23</f>
        <v>100</v>
      </c>
      <c r="V23" s="774" t="s">
        <v>17</v>
      </c>
      <c r="W23" s="775">
        <f>J23</f>
        <v>100</v>
      </c>
      <c r="X23" s="1809"/>
      <c r="Y23" s="3225"/>
      <c r="Z23" s="1810" t="str">
        <f>Q23</f>
        <v>区域土地利用方向</v>
      </c>
      <c r="AA23" s="1807">
        <f t="shared" si="3"/>
        <v>1</v>
      </c>
      <c r="AB23" s="1807">
        <f t="shared" si="4"/>
        <v>1</v>
      </c>
      <c r="AC23" s="1807">
        <f t="shared" si="5"/>
        <v>1</v>
      </c>
    </row>
    <row r="24" spans="1:29" ht="15">
      <c r="A24" s="404"/>
      <c r="B24" s="456"/>
      <c r="C24" s="616"/>
      <c r="D24" s="448"/>
      <c r="E24" s="2603"/>
      <c r="F24" s="448"/>
      <c r="G24" s="2602"/>
      <c r="H24" s="448"/>
      <c r="I24" s="2602"/>
      <c r="J24" s="448"/>
      <c r="K24" s="808"/>
      <c r="L24" s="1136"/>
      <c r="M24" s="1127"/>
      <c r="N24" s="1127"/>
      <c r="O24" s="1135"/>
      <c r="P24" s="3225"/>
      <c r="Q24" s="1806"/>
      <c r="R24" s="774"/>
      <c r="S24" s="775"/>
      <c r="T24" s="774"/>
      <c r="U24" s="775"/>
      <c r="V24" s="774"/>
      <c r="W24" s="775"/>
      <c r="X24" s="1809"/>
      <c r="Y24" s="3225"/>
      <c r="Z24" s="1810"/>
      <c r="AA24" s="1807"/>
      <c r="AB24" s="1807"/>
      <c r="AC24" s="1807"/>
    </row>
    <row r="25" spans="1:29" ht="57">
      <c r="A25" s="404"/>
      <c r="B25" s="1380" t="s">
        <v>2748</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25"/>
      <c r="Q25" s="1806" t="str">
        <f t="shared" si="8"/>
        <v>自然及人文环境状况</v>
      </c>
      <c r="R25" s="774" t="s">
        <v>17</v>
      </c>
      <c r="S25" s="775">
        <f>F25</f>
        <v>100</v>
      </c>
      <c r="T25" s="774" t="s">
        <v>17</v>
      </c>
      <c r="U25" s="775">
        <f>H25</f>
        <v>100</v>
      </c>
      <c r="V25" s="774" t="s">
        <v>17</v>
      </c>
      <c r="W25" s="775">
        <f>J25</f>
        <v>100</v>
      </c>
      <c r="X25" s="1809"/>
      <c r="Y25" s="3225"/>
      <c r="Z25" s="1810" t="str">
        <f>Q25</f>
        <v>自然及人文环境状况</v>
      </c>
      <c r="AA25" s="1807">
        <f t="shared" si="3"/>
        <v>1</v>
      </c>
      <c r="AB25" s="1807">
        <f t="shared" si="4"/>
        <v>1</v>
      </c>
      <c r="AC25" s="1807">
        <f t="shared" si="5"/>
        <v>1</v>
      </c>
    </row>
    <row r="26" spans="1:29" ht="15">
      <c r="A26" s="404"/>
      <c r="B26" s="456"/>
      <c r="C26" s="447"/>
      <c r="D26" s="448"/>
      <c r="E26" s="2609"/>
      <c r="F26" s="448"/>
      <c r="G26" s="2609"/>
      <c r="H26" s="448"/>
      <c r="I26" s="447"/>
      <c r="J26" s="448"/>
      <c r="K26" s="672"/>
      <c r="L26" s="1136"/>
      <c r="M26" s="1127"/>
      <c r="N26" s="1127"/>
      <c r="O26" s="1135"/>
      <c r="P26" s="3225"/>
      <c r="Q26" s="1806"/>
      <c r="R26" s="774"/>
      <c r="S26" s="775"/>
      <c r="T26" s="774"/>
      <c r="U26" s="775"/>
      <c r="V26" s="774"/>
      <c r="W26" s="775"/>
      <c r="X26" s="1809"/>
      <c r="Y26" s="3225"/>
      <c r="Z26" s="1810"/>
      <c r="AA26" s="1807">
        <v>1</v>
      </c>
      <c r="AB26" s="1807">
        <v>1</v>
      </c>
      <c r="AC26" s="1807">
        <v>1</v>
      </c>
    </row>
    <row r="27" spans="1:29" s="117" customFormat="1" ht="42.75">
      <c r="A27" s="649"/>
      <c r="B27" s="1380" t="s">
        <v>2653</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25"/>
      <c r="Q27" s="1791" t="str">
        <f t="shared" si="8"/>
        <v>公共配套设施</v>
      </c>
      <c r="R27" s="770" t="s">
        <v>17</v>
      </c>
      <c r="S27" s="771">
        <f>F27</f>
        <v>100</v>
      </c>
      <c r="T27" s="770" t="s">
        <v>17</v>
      </c>
      <c r="U27" s="771">
        <f>H27</f>
        <v>100</v>
      </c>
      <c r="V27" s="770" t="s">
        <v>17</v>
      </c>
      <c r="W27" s="771">
        <f>J27</f>
        <v>100</v>
      </c>
      <c r="X27" s="772"/>
      <c r="Y27" s="3225"/>
      <c r="Z27" s="55" t="str">
        <f>Q27</f>
        <v>公共配套设施</v>
      </c>
      <c r="AA27" s="1807">
        <f>D27/F27</f>
        <v>1</v>
      </c>
      <c r="AB27" s="1807">
        <f>D27/H27</f>
        <v>1</v>
      </c>
      <c r="AC27" s="1807">
        <f>D27/J27</f>
        <v>1</v>
      </c>
    </row>
    <row r="28" spans="1:29" s="117" customFormat="1" ht="15">
      <c r="A28" s="649"/>
      <c r="B28" s="456"/>
      <c r="C28" s="2698"/>
      <c r="D28" s="448"/>
      <c r="E28" s="2609"/>
      <c r="F28" s="448"/>
      <c r="G28" s="2609"/>
      <c r="H28" s="448"/>
      <c r="I28" s="447"/>
      <c r="J28" s="448"/>
      <c r="K28" s="672"/>
      <c r="L28" s="1128"/>
      <c r="M28" s="1129"/>
      <c r="N28" s="1129"/>
      <c r="O28" s="1130"/>
      <c r="P28" s="3225"/>
      <c r="Q28" s="1791"/>
      <c r="R28" s="770"/>
      <c r="S28" s="771"/>
      <c r="T28" s="770"/>
      <c r="U28" s="771"/>
      <c r="V28" s="770"/>
      <c r="W28" s="771"/>
      <c r="X28" s="772"/>
      <c r="Y28" s="3225"/>
      <c r="Z28" s="55"/>
      <c r="AA28" s="1807">
        <v>1</v>
      </c>
      <c r="AB28" s="1807">
        <v>1</v>
      </c>
      <c r="AC28" s="1807">
        <v>1</v>
      </c>
    </row>
    <row r="29" spans="1:29" s="117" customFormat="1" ht="28.5">
      <c r="A29" s="649"/>
      <c r="B29" s="1380"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25"/>
      <c r="Q29" s="1791" t="str">
        <f t="shared" ref="Q29" si="9">B29</f>
        <v>基础设施水平</v>
      </c>
      <c r="R29" s="770" t="s">
        <v>17</v>
      </c>
      <c r="S29" s="771">
        <f>F29</f>
        <v>100</v>
      </c>
      <c r="T29" s="770" t="s">
        <v>17</v>
      </c>
      <c r="U29" s="771">
        <f>H29</f>
        <v>100</v>
      </c>
      <c r="V29" s="770" t="s">
        <v>17</v>
      </c>
      <c r="W29" s="771">
        <f>J29</f>
        <v>100</v>
      </c>
      <c r="X29" s="772"/>
      <c r="Y29" s="3225"/>
      <c r="Z29" s="55" t="str">
        <f>Q29</f>
        <v>基础设施水平</v>
      </c>
      <c r="AA29" s="1807">
        <f>D29/F29</f>
        <v>1</v>
      </c>
      <c r="AB29" s="1807">
        <f>D29/H29</f>
        <v>1</v>
      </c>
      <c r="AC29" s="1807">
        <f>D29/J29</f>
        <v>1</v>
      </c>
    </row>
    <row r="30" spans="1:29" s="117" customFormat="1" ht="15">
      <c r="A30" s="649"/>
      <c r="B30" s="456"/>
      <c r="C30" s="2698"/>
      <c r="D30" s="448"/>
      <c r="E30" s="2699"/>
      <c r="F30" s="448"/>
      <c r="G30" s="2699"/>
      <c r="H30" s="448"/>
      <c r="I30" s="2699"/>
      <c r="J30" s="448"/>
      <c r="K30" s="672"/>
      <c r="L30" s="1128"/>
      <c r="M30" s="1129"/>
      <c r="N30" s="1129"/>
      <c r="O30" s="1130"/>
      <c r="P30" s="3225"/>
      <c r="Q30" s="1791"/>
      <c r="R30" s="770"/>
      <c r="S30" s="771"/>
      <c r="T30" s="770"/>
      <c r="U30" s="771"/>
      <c r="V30" s="770"/>
      <c r="W30" s="771"/>
      <c r="X30" s="772"/>
      <c r="Y30" s="3225"/>
      <c r="Z30" s="55"/>
      <c r="AA30" s="1807">
        <v>1</v>
      </c>
      <c r="AB30" s="1807">
        <v>1</v>
      </c>
      <c r="AC30" s="1807">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25"/>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25"/>
      <c r="Z31" s="1810" t="str">
        <f t="shared" ref="Z31:Z45" si="13">Q31</f>
        <v>临街状况</v>
      </c>
      <c r="AA31" s="1807">
        <f t="shared" si="3"/>
        <v>1</v>
      </c>
      <c r="AB31" s="1807">
        <f t="shared" si="4"/>
        <v>1</v>
      </c>
      <c r="AC31" s="1807">
        <f t="shared" si="5"/>
        <v>1</v>
      </c>
    </row>
    <row r="32" spans="1:29" ht="27">
      <c r="A32" s="428"/>
      <c r="B32" s="1380"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25"/>
      <c r="Q32" s="1806" t="str">
        <f t="shared" si="8"/>
        <v>毗邻道路的类型与等级</v>
      </c>
      <c r="R32" s="774" t="s">
        <v>17</v>
      </c>
      <c r="S32" s="775">
        <f t="shared" si="10"/>
        <v>100</v>
      </c>
      <c r="T32" s="774" t="s">
        <v>17</v>
      </c>
      <c r="U32" s="775">
        <f t="shared" si="11"/>
        <v>100</v>
      </c>
      <c r="V32" s="774" t="s">
        <v>17</v>
      </c>
      <c r="W32" s="775">
        <f t="shared" si="12"/>
        <v>100</v>
      </c>
      <c r="X32" s="1809"/>
      <c r="Y32" s="3225"/>
      <c r="Z32" s="1810" t="str">
        <f t="shared" si="13"/>
        <v>毗邻道路的类型与等级</v>
      </c>
      <c r="AA32" s="1807">
        <f t="shared" si="3"/>
        <v>1</v>
      </c>
      <c r="AB32" s="1807">
        <f t="shared" si="4"/>
        <v>1</v>
      </c>
      <c r="AC32" s="1807">
        <f t="shared" si="5"/>
        <v>1</v>
      </c>
    </row>
    <row r="33" spans="1:29" ht="15">
      <c r="A33" s="428"/>
      <c r="B33" s="456"/>
      <c r="C33" s="447"/>
      <c r="D33" s="448"/>
      <c r="E33" s="2609"/>
      <c r="F33" s="448"/>
      <c r="G33" s="2609"/>
      <c r="H33" s="448"/>
      <c r="I33" s="447"/>
      <c r="J33" s="448"/>
      <c r="K33" s="613"/>
      <c r="L33" s="1136"/>
      <c r="M33" s="1127"/>
      <c r="N33" s="1127"/>
      <c r="O33" s="1135"/>
      <c r="P33" s="3225"/>
      <c r="Q33" s="1806"/>
      <c r="R33" s="774"/>
      <c r="S33" s="775"/>
      <c r="T33" s="774"/>
      <c r="U33" s="775"/>
      <c r="V33" s="774"/>
      <c r="W33" s="775"/>
      <c r="X33" s="1809"/>
      <c r="Y33" s="3225"/>
      <c r="Z33" s="1810"/>
      <c r="AA33" s="1807">
        <v>1</v>
      </c>
      <c r="AB33" s="1807">
        <v>1</v>
      </c>
      <c r="AC33" s="1807">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25"/>
      <c r="Q34" s="1806" t="str">
        <f t="shared" si="8"/>
        <v>土地级别</v>
      </c>
      <c r="R34" s="774" t="s">
        <v>17</v>
      </c>
      <c r="S34" s="775">
        <f t="shared" si="10"/>
        <v>100</v>
      </c>
      <c r="T34" s="774" t="s">
        <v>17</v>
      </c>
      <c r="U34" s="775">
        <f t="shared" si="11"/>
        <v>100</v>
      </c>
      <c r="V34" s="774" t="s">
        <v>17</v>
      </c>
      <c r="W34" s="775">
        <f t="shared" si="12"/>
        <v>100</v>
      </c>
      <c r="X34" s="1809"/>
      <c r="Y34" s="3225"/>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25"/>
      <c r="Q35" s="1806">
        <f t="shared" si="8"/>
        <v>111</v>
      </c>
      <c r="R35" s="774" t="s">
        <v>17</v>
      </c>
      <c r="S35" s="775">
        <f t="shared" si="10"/>
        <v>100</v>
      </c>
      <c r="T35" s="774" t="s">
        <v>17</v>
      </c>
      <c r="U35" s="775">
        <f t="shared" si="11"/>
        <v>100</v>
      </c>
      <c r="V35" s="774" t="s">
        <v>17</v>
      </c>
      <c r="W35" s="775">
        <f t="shared" si="12"/>
        <v>100</v>
      </c>
      <c r="X35" s="1809"/>
      <c r="Y35" s="3225"/>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48" t="s">
        <v>2564</v>
      </c>
      <c r="Q36" s="1806">
        <f t="shared" si="8"/>
        <v>111</v>
      </c>
      <c r="R36" s="774" t="s">
        <v>17</v>
      </c>
      <c r="S36" s="775">
        <f t="shared" si="10"/>
        <v>100</v>
      </c>
      <c r="T36" s="774" t="s">
        <v>17</v>
      </c>
      <c r="U36" s="775">
        <f t="shared" si="11"/>
        <v>100</v>
      </c>
      <c r="V36" s="774" t="s">
        <v>17</v>
      </c>
      <c r="W36" s="775">
        <f t="shared" si="12"/>
        <v>100</v>
      </c>
      <c r="X36" s="1809"/>
      <c r="Y36" s="3229" t="s">
        <v>2564</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29"/>
      <c r="Q37" s="1806">
        <f t="shared" si="8"/>
        <v>111</v>
      </c>
      <c r="R37" s="777" t="s">
        <v>17</v>
      </c>
      <c r="S37" s="778">
        <f t="shared" si="10"/>
        <v>100</v>
      </c>
      <c r="T37" s="777" t="s">
        <v>17</v>
      </c>
      <c r="U37" s="778">
        <f t="shared" si="11"/>
        <v>100</v>
      </c>
      <c r="V37" s="777" t="s">
        <v>17</v>
      </c>
      <c r="W37" s="778">
        <f t="shared" si="12"/>
        <v>100</v>
      </c>
      <c r="X37" s="779"/>
      <c r="Y37" s="3229"/>
      <c r="Z37" s="780">
        <f t="shared" si="13"/>
        <v>111</v>
      </c>
      <c r="AA37" s="1807">
        <f t="shared" si="3"/>
        <v>1</v>
      </c>
      <c r="AB37" s="1807">
        <f t="shared" si="4"/>
        <v>1</v>
      </c>
      <c r="AC37" s="1807">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29"/>
      <c r="Q38" s="1806" t="str">
        <f>B38</f>
        <v>宗地面积</v>
      </c>
      <c r="R38" s="774" t="s">
        <v>17</v>
      </c>
      <c r="S38" s="775" t="e">
        <f t="shared" si="10"/>
        <v>#N/A</v>
      </c>
      <c r="T38" s="774" t="s">
        <v>17</v>
      </c>
      <c r="U38" s="775" t="e">
        <f t="shared" si="11"/>
        <v>#N/A</v>
      </c>
      <c r="V38" s="774" t="s">
        <v>17</v>
      </c>
      <c r="W38" s="775" t="e">
        <f t="shared" si="12"/>
        <v>#N/A</v>
      </c>
      <c r="X38" s="1809"/>
      <c r="Y38" s="3229"/>
      <c r="Z38" s="1810" t="str">
        <f t="shared" si="13"/>
        <v>宗地面积</v>
      </c>
      <c r="AA38" s="1807" t="e">
        <f t="shared" si="3"/>
        <v>#N/A</v>
      </c>
      <c r="AB38" s="1807" t="e">
        <f t="shared" si="4"/>
        <v>#N/A</v>
      </c>
      <c r="AC38" s="1807"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6"/>
      <c r="M39" s="1127"/>
      <c r="N39" s="1127"/>
      <c r="O39" s="1135"/>
      <c r="P39" s="3229"/>
      <c r="Q39" s="1806" t="str">
        <f t="shared" ref="Q39:Q45" si="14">B39</f>
        <v>宗地形状</v>
      </c>
      <c r="R39" s="774" t="s">
        <v>17</v>
      </c>
      <c r="S39" s="775">
        <f t="shared" si="10"/>
        <v>100</v>
      </c>
      <c r="T39" s="774" t="s">
        <v>17</v>
      </c>
      <c r="U39" s="775">
        <f t="shared" si="11"/>
        <v>100</v>
      </c>
      <c r="V39" s="774" t="s">
        <v>17</v>
      </c>
      <c r="W39" s="775">
        <f t="shared" si="12"/>
        <v>100</v>
      </c>
      <c r="X39" s="1809"/>
      <c r="Y39" s="3229"/>
      <c r="Z39" s="1810" t="str">
        <f t="shared" si="13"/>
        <v>宗地形状</v>
      </c>
      <c r="AA39" s="1807">
        <f t="shared" si="3"/>
        <v>1</v>
      </c>
      <c r="AB39" s="1807">
        <f t="shared" si="4"/>
        <v>1</v>
      </c>
      <c r="AC39" s="1807">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6"/>
      <c r="M40" s="1127"/>
      <c r="N40" s="1127"/>
      <c r="O40" s="1135"/>
      <c r="P40" s="3229"/>
      <c r="Q40" s="1806" t="str">
        <f t="shared" si="14"/>
        <v>临街宽度及深度</v>
      </c>
      <c r="R40" s="774" t="s">
        <v>17</v>
      </c>
      <c r="S40" s="775">
        <f t="shared" si="10"/>
        <v>100</v>
      </c>
      <c r="T40" s="774" t="s">
        <v>17</v>
      </c>
      <c r="U40" s="775">
        <f t="shared" si="11"/>
        <v>100</v>
      </c>
      <c r="V40" s="774" t="s">
        <v>17</v>
      </c>
      <c r="W40" s="775">
        <f t="shared" si="12"/>
        <v>100</v>
      </c>
      <c r="X40" s="1809"/>
      <c r="Y40" s="3229"/>
      <c r="Z40" s="1810" t="str">
        <f t="shared" si="13"/>
        <v>临街宽度及深度</v>
      </c>
      <c r="AA40" s="1807">
        <f t="shared" si="3"/>
        <v>1</v>
      </c>
      <c r="AB40" s="1807">
        <f t="shared" si="4"/>
        <v>1</v>
      </c>
      <c r="AC40" s="1807">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8"/>
      <c r="M41" s="1129"/>
      <c r="N41" s="1129"/>
      <c r="O41" s="1130"/>
      <c r="P41" s="3229"/>
      <c r="Q41" s="1806"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6"/>
      <c r="M42" s="1127"/>
      <c r="N42" s="1127"/>
      <c r="O42" s="1135"/>
      <c r="P42" s="3229" t="s">
        <v>2564</v>
      </c>
      <c r="Q42" s="1806" t="str">
        <f t="shared" si="14"/>
        <v>工程地质条件</v>
      </c>
      <c r="R42" s="774" t="s">
        <v>17</v>
      </c>
      <c r="S42" s="775">
        <f t="shared" si="10"/>
        <v>100</v>
      </c>
      <c r="T42" s="774" t="s">
        <v>17</v>
      </c>
      <c r="U42" s="775">
        <f t="shared" si="11"/>
        <v>100</v>
      </c>
      <c r="V42" s="774" t="s">
        <v>17</v>
      </c>
      <c r="W42" s="775">
        <f t="shared" si="12"/>
        <v>100</v>
      </c>
      <c r="X42" s="1809"/>
      <c r="Y42" s="3229" t="s">
        <v>2564</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29"/>
      <c r="Q43" s="1806">
        <f t="shared" si="14"/>
        <v>111</v>
      </c>
      <c r="R43" s="774" t="s">
        <v>17</v>
      </c>
      <c r="S43" s="775">
        <f t="shared" si="10"/>
        <v>100</v>
      </c>
      <c r="T43" s="774" t="s">
        <v>17</v>
      </c>
      <c r="U43" s="775">
        <f t="shared" si="11"/>
        <v>100</v>
      </c>
      <c r="V43" s="774" t="s">
        <v>17</v>
      </c>
      <c r="W43" s="775">
        <f t="shared" si="12"/>
        <v>100</v>
      </c>
      <c r="X43" s="1809"/>
      <c r="Y43" s="3229"/>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29"/>
      <c r="Q44" s="1806">
        <f t="shared" si="14"/>
        <v>111</v>
      </c>
      <c r="R44" s="774" t="s">
        <v>17</v>
      </c>
      <c r="S44" s="775">
        <f t="shared" si="10"/>
        <v>100</v>
      </c>
      <c r="T44" s="774" t="s">
        <v>17</v>
      </c>
      <c r="U44" s="775">
        <f t="shared" si="11"/>
        <v>100</v>
      </c>
      <c r="V44" s="774" t="s">
        <v>17</v>
      </c>
      <c r="W44" s="775">
        <f t="shared" si="12"/>
        <v>100</v>
      </c>
      <c r="X44" s="1809"/>
      <c r="Y44" s="3229"/>
      <c r="Z44" s="1810">
        <f t="shared" si="13"/>
        <v>111</v>
      </c>
      <c r="AA44" s="1807">
        <f t="shared" si="3"/>
        <v>1</v>
      </c>
      <c r="AB44" s="1807">
        <f t="shared" si="4"/>
        <v>1</v>
      </c>
      <c r="AC44" s="1807">
        <f t="shared" si="5"/>
        <v>1</v>
      </c>
    </row>
    <row r="45" spans="1:29" s="471" customFormat="1" ht="15.75" thickBot="1">
      <c r="A45" s="468"/>
      <c r="B45" s="1383">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29"/>
      <c r="Q45" s="1806">
        <f t="shared" si="14"/>
        <v>111</v>
      </c>
      <c r="R45" s="777" t="s">
        <v>17</v>
      </c>
      <c r="S45" s="778">
        <f t="shared" si="10"/>
        <v>100</v>
      </c>
      <c r="T45" s="777" t="s">
        <v>17</v>
      </c>
      <c r="U45" s="778">
        <f t="shared" si="11"/>
        <v>100</v>
      </c>
      <c r="V45" s="777" t="s">
        <v>17</v>
      </c>
      <c r="W45" s="778">
        <f t="shared" si="12"/>
        <v>100</v>
      </c>
      <c r="X45" s="779"/>
      <c r="Y45" s="3229"/>
      <c r="Z45" s="780">
        <f t="shared" si="13"/>
        <v>111</v>
      </c>
      <c r="AA45" s="1807">
        <f t="shared" si="3"/>
        <v>1</v>
      </c>
      <c r="AB45" s="1807">
        <f t="shared" si="4"/>
        <v>1</v>
      </c>
      <c r="AC45" s="1807">
        <f t="shared" si="5"/>
        <v>1</v>
      </c>
    </row>
    <row r="46" spans="1:29" ht="15">
      <c r="A46" s="479" t="s">
        <v>2719</v>
      </c>
      <c r="B46" s="2702" t="s">
        <v>2755</v>
      </c>
      <c r="C46" s="682" t="s">
        <v>1</v>
      </c>
      <c r="D46" s="481"/>
      <c r="E46" s="482"/>
      <c r="F46" s="483"/>
      <c r="G46" s="484"/>
      <c r="H46" s="485"/>
      <c r="I46" s="482"/>
      <c r="J46" s="485"/>
      <c r="K46" s="783"/>
      <c r="L46" s="1139"/>
      <c r="M46" s="1140"/>
      <c r="N46" s="1127"/>
      <c r="O46" s="1140"/>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39"/>
      <c r="M47" s="1140"/>
      <c r="N47" s="1140"/>
      <c r="O47" s="1140"/>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9"/>
      <c r="M48" s="1140"/>
      <c r="N48" s="1140"/>
      <c r="O48" s="1140"/>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3" t="s">
        <v>2759</v>
      </c>
      <c r="D55" s="2704" t="s">
        <v>2760</v>
      </c>
      <c r="E55" s="686" t="s">
        <v>2761</v>
      </c>
      <c r="F55" s="1103" t="s">
        <v>2762</v>
      </c>
      <c r="G55" s="3205" t="s">
        <v>2763</v>
      </c>
      <c r="H55" s="3251"/>
      <c r="I55" s="144" t="s">
        <v>2764</v>
      </c>
      <c r="J55" s="2705">
        <f>项目基本情况!F35</f>
        <v>0</v>
      </c>
      <c r="K55" s="2706" t="s">
        <v>2765</v>
      </c>
      <c r="L55" s="1102"/>
      <c r="M55" s="1140"/>
      <c r="N55" s="1140"/>
      <c r="O55" s="1140"/>
    </row>
    <row r="56" spans="1:15" s="692" customFormat="1">
      <c r="A56" s="688" t="s">
        <v>2766</v>
      </c>
      <c r="B56" s="689" t="e">
        <f>C48</f>
        <v>#DIV/0!</v>
      </c>
      <c r="C56" s="690">
        <v>1</v>
      </c>
      <c r="D56" s="1159">
        <v>1</v>
      </c>
      <c r="E56" s="690">
        <f>'数据-汇总表'!E8+'数据-汇总表'!E9</f>
        <v>19842</v>
      </c>
      <c r="F56" s="1099" t="e">
        <f t="shared" ref="F56:F65" si="15">ROUND(B56*E56/10000,0)</f>
        <v>#DIV/0!</v>
      </c>
      <c r="G56" s="3204"/>
      <c r="H56" s="3222"/>
      <c r="I56" s="1104">
        <v>1</v>
      </c>
      <c r="J56" s="1107">
        <v>1</v>
      </c>
      <c r="K56" s="1141"/>
      <c r="L56" s="937"/>
      <c r="M56" s="937"/>
      <c r="N56" s="937"/>
      <c r="O56" s="937"/>
    </row>
    <row r="57" spans="1:15" s="692" customFormat="1">
      <c r="A57" s="693" t="s">
        <v>2767</v>
      </c>
      <c r="B57" s="262" t="e">
        <f>ROUND($C$48*C57*D57,0)</f>
        <v>#DIV/0!</v>
      </c>
      <c r="C57" s="200">
        <f t="shared" ref="C57:C65" si="16">IF($C$55="北京市系数",I57,J57)</f>
        <v>0.8</v>
      </c>
      <c r="D57" s="1160">
        <v>0.25</v>
      </c>
      <c r="E57" s="694"/>
      <c r="F57" s="1099" t="e">
        <f t="shared" si="15"/>
        <v>#DIV/0!</v>
      </c>
      <c r="G57" s="3252" t="s">
        <v>2768</v>
      </c>
      <c r="H57" s="1100" t="str">
        <f>项目基本情况!B37</f>
        <v>一级</v>
      </c>
      <c r="I57" s="1104">
        <f>SUMIF(修正!A45:A56,H57,修正!B45:B56)</f>
        <v>0.8</v>
      </c>
      <c r="J57" s="1108"/>
      <c r="K57" s="1140"/>
      <c r="L57" s="937"/>
      <c r="M57" s="937"/>
      <c r="N57" s="937"/>
      <c r="O57" s="937"/>
    </row>
    <row r="58" spans="1:15" s="692" customFormat="1">
      <c r="A58" s="693" t="s">
        <v>2769</v>
      </c>
      <c r="B58" s="262" t="e">
        <f t="shared" ref="B58:B65" si="17">ROUND($C$48*C58*D58,0)</f>
        <v>#DIV/0!</v>
      </c>
      <c r="C58" s="200">
        <f t="shared" si="16"/>
        <v>0.5</v>
      </c>
      <c r="D58" s="1160">
        <v>0.25</v>
      </c>
      <c r="E58" s="694"/>
      <c r="F58" s="1099" t="e">
        <f t="shared" si="15"/>
        <v>#DIV/0!</v>
      </c>
      <c r="G58" s="3252"/>
      <c r="H58" s="1100" t="str">
        <f>项目基本情况!B37</f>
        <v>一级</v>
      </c>
      <c r="I58" s="1104">
        <f>SUMIF(修正!A45:A56,H58,修正!C45:C56)</f>
        <v>0.5</v>
      </c>
      <c r="J58" s="1108"/>
      <c r="K58" s="1141"/>
      <c r="L58" s="937"/>
      <c r="M58" s="937"/>
      <c r="N58" s="937"/>
      <c r="O58" s="937"/>
    </row>
    <row r="59" spans="1:15" s="692" customFormat="1">
      <c r="A59" s="693" t="s">
        <v>2770</v>
      </c>
      <c r="B59" s="262" t="e">
        <f t="shared" si="17"/>
        <v>#DIV/0!</v>
      </c>
      <c r="C59" s="200">
        <f t="shared" si="16"/>
        <v>0.36</v>
      </c>
      <c r="D59" s="1160">
        <v>0.25</v>
      </c>
      <c r="E59" s="694"/>
      <c r="F59" s="1099" t="e">
        <f t="shared" si="15"/>
        <v>#DIV/0!</v>
      </c>
      <c r="G59" s="3252"/>
      <c r="H59" s="1100" t="str">
        <f>项目基本情况!B37</f>
        <v>一级</v>
      </c>
      <c r="I59" s="1104">
        <f>SUMIF(修正!A45:A56,H59,修正!D45:D56)</f>
        <v>0.36</v>
      </c>
      <c r="J59" s="1108"/>
      <c r="K59" s="1140"/>
      <c r="L59" s="937"/>
      <c r="M59" s="937"/>
      <c r="N59" s="937"/>
      <c r="O59" s="937"/>
    </row>
    <row r="60" spans="1:15" s="692" customFormat="1">
      <c r="A60" s="693" t="s">
        <v>2771</v>
      </c>
      <c r="B60" s="262" t="e">
        <f t="shared" si="17"/>
        <v>#DIV/0!</v>
      </c>
      <c r="C60" s="200">
        <f t="shared" si="16"/>
        <v>0.3</v>
      </c>
      <c r="D60" s="1160">
        <v>0.25</v>
      </c>
      <c r="E60" s="694"/>
      <c r="F60" s="1099" t="e">
        <f t="shared" si="15"/>
        <v>#DIV/0!</v>
      </c>
      <c r="G60" s="3252"/>
      <c r="H60" s="1100" t="str">
        <f>项目基本情况!B37</f>
        <v>一级</v>
      </c>
      <c r="I60" s="1104">
        <f>SUMIF(修正!A45:A56,H60,修正!E45:E56)</f>
        <v>0.3</v>
      </c>
      <c r="J60" s="1108"/>
      <c r="K60" s="1141"/>
      <c r="L60" s="937"/>
      <c r="M60" s="937"/>
      <c r="N60" s="937"/>
      <c r="O60" s="937"/>
    </row>
    <row r="61" spans="1:15" s="692" customFormat="1">
      <c r="A61" s="693" t="s">
        <v>2772</v>
      </c>
      <c r="B61" s="262" t="e">
        <f t="shared" si="17"/>
        <v>#DIV/0!</v>
      </c>
      <c r="C61" s="200">
        <f t="shared" si="16"/>
        <v>0.3</v>
      </c>
      <c r="D61" s="1160">
        <v>0.25</v>
      </c>
      <c r="E61" s="261">
        <f>'数据-汇总表'!E11</f>
        <v>0</v>
      </c>
      <c r="F61" s="1099" t="e">
        <f t="shared" si="15"/>
        <v>#DIV/0!</v>
      </c>
      <c r="G61" s="2707" t="s">
        <v>2773</v>
      </c>
      <c r="H61" s="1100" t="str">
        <f>项目基本情况!C37</f>
        <v>一级</v>
      </c>
      <c r="I61" s="1104">
        <f>SUMIF(修正!A45:A56,H61,修正!F45:F56)</f>
        <v>0.3</v>
      </c>
      <c r="J61" s="1108"/>
      <c r="K61" s="1140"/>
      <c r="L61" s="937"/>
      <c r="M61" s="937"/>
      <c r="N61" s="937"/>
      <c r="O61" s="937"/>
    </row>
    <row r="62" spans="1:15" s="692" customFormat="1">
      <c r="A62" s="693" t="s">
        <v>2774</v>
      </c>
      <c r="B62" s="262" t="e">
        <f t="shared" si="17"/>
        <v>#DIV/0!</v>
      </c>
      <c r="C62" s="200">
        <f t="shared" si="16"/>
        <v>0.3</v>
      </c>
      <c r="D62" s="1160">
        <v>0.25</v>
      </c>
      <c r="E62" s="261">
        <f>'数据-汇总表'!E12</f>
        <v>2241.69</v>
      </c>
      <c r="F62" s="1099" t="e">
        <f t="shared" si="15"/>
        <v>#DIV/0!</v>
      </c>
      <c r="G62" s="1105" t="s">
        <v>2775</v>
      </c>
      <c r="H62" s="1100" t="str">
        <f>IF(G62="商业",项目基本情况!B37,IF(G62="办公",项目基本情况!C37,IF(G62="住宅",项目基本情况!D37,项目基本情况!E37)))</f>
        <v>一级</v>
      </c>
      <c r="I62" s="1104">
        <f>SUMIF(修正!A45:A56,H62,修正!G45:G56)</f>
        <v>0.3</v>
      </c>
      <c r="J62" s="1108"/>
      <c r="K62" s="1141"/>
      <c r="L62" s="937"/>
      <c r="M62" s="937"/>
      <c r="N62" s="937"/>
      <c r="O62" s="937"/>
    </row>
    <row r="63" spans="1:15" s="692" customFormat="1">
      <c r="A63" s="693" t="s">
        <v>2776</v>
      </c>
      <c r="B63" s="262" t="e">
        <f t="shared" si="17"/>
        <v>#DIV/0!</v>
      </c>
      <c r="C63" s="200">
        <f t="shared" si="16"/>
        <v>0.25</v>
      </c>
      <c r="D63" s="1160">
        <v>0.25</v>
      </c>
      <c r="E63" s="261">
        <f>'数据-汇总表'!E13</f>
        <v>0</v>
      </c>
      <c r="F63" s="1099" t="e">
        <f t="shared" si="15"/>
        <v>#DIV/0!</v>
      </c>
      <c r="G63" s="1105" t="s">
        <v>2777</v>
      </c>
      <c r="H63" s="1100" t="str">
        <f>IF(G63="商业",项目基本情况!B37,IF(G63="办公",项目基本情况!C37,IF(G63="住宅",项目基本情况!D37,项目基本情况!E37)))</f>
        <v>一级</v>
      </c>
      <c r="I63" s="1104">
        <f>SUMIF(修正!A45:A56,H63,修正!H45:H56)</f>
        <v>0.25</v>
      </c>
      <c r="J63" s="1108"/>
      <c r="K63" s="1140"/>
      <c r="L63" s="937"/>
      <c r="M63" s="937"/>
      <c r="N63" s="937"/>
      <c r="O63" s="937"/>
    </row>
    <row r="64" spans="1:15" s="692" customFormat="1">
      <c r="A64" s="693" t="s">
        <v>2778</v>
      </c>
      <c r="B64" s="262" t="e">
        <f t="shared" si="17"/>
        <v>#DIV/0!</v>
      </c>
      <c r="C64" s="200">
        <f t="shared" si="16"/>
        <v>0.25</v>
      </c>
      <c r="D64" s="1160">
        <v>0.25</v>
      </c>
      <c r="E64" s="261">
        <f>'数据-汇总表'!E14</f>
        <v>0</v>
      </c>
      <c r="F64" s="1099" t="e">
        <f t="shared" si="15"/>
        <v>#DIV/0!</v>
      </c>
      <c r="G64" s="2707" t="s">
        <v>2768</v>
      </c>
      <c r="H64" s="1100" t="str">
        <f>项目基本情况!B37</f>
        <v>一级</v>
      </c>
      <c r="I64" s="1104">
        <f>SUMIF(修正!A45:A56,H64,修正!H45:H56)</f>
        <v>0.25</v>
      </c>
      <c r="J64" s="1108"/>
      <c r="K64" s="1141"/>
      <c r="L64" s="937"/>
      <c r="M64" s="937"/>
      <c r="N64" s="937"/>
      <c r="O64" s="937"/>
    </row>
    <row r="65" spans="1:17" s="692" customFormat="1" ht="15" thickBot="1">
      <c r="A65" s="693" t="s">
        <v>2779</v>
      </c>
      <c r="B65" s="262" t="e">
        <f t="shared" si="17"/>
        <v>#DIV/0!</v>
      </c>
      <c r="C65" s="200">
        <f t="shared" si="16"/>
        <v>0.25</v>
      </c>
      <c r="D65" s="1160">
        <v>0.25</v>
      </c>
      <c r="E65" s="261">
        <f>'数据-汇总表'!E15</f>
        <v>3919.01</v>
      </c>
      <c r="F65" s="1099" t="e">
        <f t="shared" si="15"/>
        <v>#DIV/0!</v>
      </c>
      <c r="G65" s="2708" t="s">
        <v>2773</v>
      </c>
      <c r="H65" s="1110" t="str">
        <f>项目基本情况!C37</f>
        <v>一级</v>
      </c>
      <c r="I65" s="1106">
        <f>SUMIF(修正!A45:A56,H65,修正!H45:H56)</f>
        <v>0.25</v>
      </c>
      <c r="J65" s="1109"/>
      <c r="K65" s="1140"/>
      <c r="L65" s="937"/>
      <c r="M65" s="937"/>
      <c r="N65" s="937"/>
      <c r="O65" s="937"/>
    </row>
    <row r="66" spans="1:17" s="692" customFormat="1" ht="13.5" thickBot="1">
      <c r="A66" s="695" t="s">
        <v>2780</v>
      </c>
      <c r="B66" s="696" t="s">
        <v>28</v>
      </c>
      <c r="C66" s="696" t="s">
        <v>29</v>
      </c>
      <c r="D66" s="696" t="s">
        <v>1026</v>
      </c>
      <c r="E66" s="696">
        <f>IF(B46="楼面地价",SUM(E56:E65),'数据-汇总表'!D3)</f>
        <v>26002.699999999997</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2673</v>
      </c>
      <c r="B69" s="759"/>
      <c r="C69" s="764"/>
      <c r="D69" s="764"/>
      <c r="E69" s="764"/>
      <c r="F69" s="765"/>
      <c r="G69" s="765"/>
      <c r="H69" s="764"/>
      <c r="I69" s="764"/>
      <c r="J69" s="1155"/>
      <c r="K69" s="1156"/>
      <c r="L69" s="1157"/>
      <c r="M69" s="1155"/>
      <c r="N69" s="1155"/>
      <c r="O69" s="1155"/>
      <c r="P69" s="503"/>
      <c r="Q69" s="504"/>
    </row>
    <row r="70" spans="1:17" s="508" customFormat="1" ht="15">
      <c r="A70" s="2709" t="s">
        <v>2781</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10" t="s">
        <v>2782</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3"/>
      <c r="N71" s="595"/>
      <c r="O71" s="1564"/>
      <c r="P71" s="504"/>
    </row>
    <row r="72" spans="1:17" s="117" customFormat="1" ht="15.75" thickBot="1">
      <c r="A72" s="515" t="s">
        <v>2584</v>
      </c>
      <c r="B72" s="516"/>
      <c r="C72" s="517"/>
      <c r="D72" s="518"/>
      <c r="E72" s="518"/>
      <c r="F72" s="518"/>
      <c r="G72" s="518"/>
      <c r="H72" s="518"/>
      <c r="I72" s="518"/>
      <c r="J72" s="518"/>
      <c r="K72" s="518"/>
      <c r="L72" s="518"/>
      <c r="M72" s="519"/>
      <c r="N72" s="518"/>
      <c r="O72" s="1158"/>
      <c r="P72" s="504"/>
      <c r="Q72" s="504"/>
    </row>
    <row r="73" spans="1:17" s="117" customFormat="1" ht="15">
      <c r="A73" s="521" t="s">
        <v>2549</v>
      </c>
      <c r="B73" s="510"/>
      <c r="C73" s="522" t="s">
        <v>2651</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2587</v>
      </c>
      <c r="B75" s="528" t="s">
        <v>2553</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2556</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2690</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4" priority="14" stopIfTrue="1" operator="containsText" text="超过">
      <formula>NOT(ISERROR(SEARCH("超过",F51)))</formula>
    </cfRule>
  </conditionalFormatting>
  <conditionalFormatting sqref="J53">
    <cfRule type="containsText" dxfId="53" priority="13" stopIfTrue="1" operator="containsText" text="超过">
      <formula>NOT(ISERROR(SEARCH("超过",J53)))</formula>
    </cfRule>
  </conditionalFormatting>
  <conditionalFormatting sqref="H53">
    <cfRule type="containsText" dxfId="52" priority="12" stopIfTrue="1" operator="containsText" text="超过">
      <formula>NOT(ISERROR(SEARCH("超过",H53)))</formula>
    </cfRule>
  </conditionalFormatting>
  <conditionalFormatting sqref="F53">
    <cfRule type="containsText" dxfId="51" priority="11" stopIfTrue="1" operator="containsText" text="超过">
      <formula>NOT(ISERROR(SEARCH("超过",F53)))</formula>
    </cfRule>
  </conditionalFormatting>
  <conditionalFormatting sqref="F52 H52 J52">
    <cfRule type="containsText" dxfId="50" priority="10" stopIfTrue="1" operator="containsText" text="超过">
      <formula>NOT(ISERROR(SEARCH("超过",F52)))</formula>
    </cfRule>
  </conditionalFormatting>
  <conditionalFormatting sqref="E51">
    <cfRule type="expression" dxfId="49" priority="9" stopIfTrue="1">
      <formula>$F$51="超过30%"</formula>
    </cfRule>
  </conditionalFormatting>
  <conditionalFormatting sqref="G53">
    <cfRule type="expression" dxfId="48" priority="8" stopIfTrue="1">
      <formula>$H$53="超过30%"</formula>
    </cfRule>
  </conditionalFormatting>
  <conditionalFormatting sqref="E52">
    <cfRule type="expression" dxfId="47" priority="7" stopIfTrue="1">
      <formula>$F$52="超过20%"</formula>
    </cfRule>
  </conditionalFormatting>
  <conditionalFormatting sqref="E53">
    <cfRule type="expression" dxfId="46" priority="6" stopIfTrue="1">
      <formula>$F$53="超过30%"</formula>
    </cfRule>
  </conditionalFormatting>
  <conditionalFormatting sqref="G51">
    <cfRule type="expression" dxfId="45" priority="5" stopIfTrue="1">
      <formula>$H$53+$H$51="超过30%"</formula>
    </cfRule>
  </conditionalFormatting>
  <conditionalFormatting sqref="G52">
    <cfRule type="expression" dxfId="44" priority="4" stopIfTrue="1">
      <formula>$H$52="超过20%"</formula>
    </cfRule>
  </conditionalFormatting>
  <conditionalFormatting sqref="I51">
    <cfRule type="expression" dxfId="43" priority="3" stopIfTrue="1">
      <formula>$J$51="超过30%"</formula>
    </cfRule>
  </conditionalFormatting>
  <conditionalFormatting sqref="I52">
    <cfRule type="expression" dxfId="42" priority="2" stopIfTrue="1">
      <formula>$J$52="超过20%"</formula>
    </cfRule>
  </conditionalFormatting>
  <conditionalFormatting sqref="I53">
    <cfRule type="expression" dxfId="4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2644</v>
      </c>
      <c r="B4" s="402"/>
      <c r="C4" s="3205" t="s">
        <v>2645</v>
      </c>
      <c r="D4" s="3206"/>
      <c r="E4" s="3207" t="s">
        <v>2646</v>
      </c>
      <c r="F4" s="3208"/>
      <c r="G4" s="3205" t="s">
        <v>2647</v>
      </c>
      <c r="H4" s="3206"/>
      <c r="I4" s="3205" t="s">
        <v>2648</v>
      </c>
      <c r="J4" s="3206"/>
      <c r="K4" s="610" t="s">
        <v>2649</v>
      </c>
      <c r="L4" s="1126"/>
      <c r="M4" s="1127"/>
      <c r="N4" s="1127"/>
      <c r="O4" s="1127"/>
      <c r="P4" s="3209" t="s">
        <v>2650</v>
      </c>
      <c r="Q4" s="3210"/>
      <c r="R4" s="3192" t="s">
        <v>2646</v>
      </c>
      <c r="S4" s="3193"/>
      <c r="T4" s="3192" t="s">
        <v>2647</v>
      </c>
      <c r="U4" s="3193"/>
      <c r="V4" s="3217" t="s">
        <v>2648</v>
      </c>
      <c r="W4" s="3217"/>
      <c r="X4" s="1809"/>
      <c r="Y4" s="3192" t="s">
        <v>2650</v>
      </c>
      <c r="Z4" s="3193"/>
      <c r="AA4" s="3187" t="s">
        <v>2646</v>
      </c>
      <c r="AB4" s="3188" t="s">
        <v>2647</v>
      </c>
      <c r="AC4" s="3187" t="s">
        <v>2648</v>
      </c>
    </row>
    <row r="5" spans="1:29" ht="15">
      <c r="A5" s="404"/>
      <c r="B5" s="405"/>
      <c r="C5" s="3198" t="s">
        <v>2541</v>
      </c>
      <c r="D5" s="3199"/>
      <c r="E5" s="3196" t="s">
        <v>2542</v>
      </c>
      <c r="F5" s="3197"/>
      <c r="G5" s="3198" t="s">
        <v>2543</v>
      </c>
      <c r="H5" s="3199"/>
      <c r="I5" s="3198" t="s">
        <v>2544</v>
      </c>
      <c r="J5" s="3199"/>
      <c r="K5" s="610"/>
      <c r="L5" s="1126"/>
      <c r="M5" s="1127"/>
      <c r="N5" s="1127"/>
      <c r="O5" s="1127"/>
      <c r="P5" s="3211"/>
      <c r="Q5" s="3212"/>
      <c r="R5" s="3194"/>
      <c r="S5" s="3195"/>
      <c r="T5" s="3194"/>
      <c r="U5" s="3195"/>
      <c r="V5" s="3217"/>
      <c r="W5" s="3217"/>
      <c r="X5" s="1809"/>
      <c r="Y5" s="3194"/>
      <c r="Z5" s="3195"/>
      <c r="AA5" s="3188"/>
      <c r="AB5" s="3188"/>
      <c r="AC5" s="3188"/>
    </row>
    <row r="6" spans="1:29" ht="15.75" thickBot="1">
      <c r="A6" s="406"/>
      <c r="B6" s="407"/>
      <c r="C6" s="3253" t="s">
        <v>2796</v>
      </c>
      <c r="D6" s="3254"/>
      <c r="E6" s="3255" t="s">
        <v>2796</v>
      </c>
      <c r="F6" s="3256"/>
      <c r="G6" s="3253" t="s">
        <v>2796</v>
      </c>
      <c r="H6" s="3254"/>
      <c r="I6" s="3253" t="s">
        <v>2796</v>
      </c>
      <c r="J6" s="3254"/>
      <c r="K6" s="610" t="s">
        <v>2546</v>
      </c>
      <c r="L6" s="1126"/>
      <c r="M6" s="1127"/>
      <c r="N6" s="1127"/>
      <c r="O6" s="1127"/>
      <c r="P6" s="3213"/>
      <c r="Q6" s="3214"/>
      <c r="R6" s="3194"/>
      <c r="S6" s="3195"/>
      <c r="T6" s="3215"/>
      <c r="U6" s="3216"/>
      <c r="V6" s="3217"/>
      <c r="W6" s="3217"/>
      <c r="X6" s="1809"/>
      <c r="Y6" s="3215"/>
      <c r="Z6" s="3216"/>
      <c r="AA6" s="3189"/>
      <c r="AB6" s="3189"/>
      <c r="AC6" s="3189"/>
    </row>
    <row r="7" spans="1:29" s="117" customFormat="1" ht="15.75" thickBot="1">
      <c r="A7" s="408" t="s">
        <v>2547</v>
      </c>
      <c r="B7" s="409"/>
      <c r="C7" s="410">
        <f>'数据-取费表'!B2</f>
        <v>43754</v>
      </c>
      <c r="D7" s="411">
        <v>100</v>
      </c>
      <c r="E7" s="412"/>
      <c r="F7" s="413">
        <f>SUMIF(65:65,YEAR(E7)&amp;"-"&amp;INT((MONTH(E7)+2)/3),66:66)</f>
        <v>0</v>
      </c>
      <c r="G7" s="2694"/>
      <c r="H7" s="411">
        <f>SUMIF(65:65,YEAR(G7)&amp;"-"&amp;INT((MONTH(G7)+2)/3),66:66)</f>
        <v>0</v>
      </c>
      <c r="I7" s="2694"/>
      <c r="J7" s="411">
        <f>SUMIF(65:65,YEAR(I7)&amp;"-"&amp;INT((MONTH(I7)+2)/3),66:66)</f>
        <v>0</v>
      </c>
      <c r="K7" s="611"/>
      <c r="L7" s="1128"/>
      <c r="M7" s="1129"/>
      <c r="N7" s="1129"/>
      <c r="O7" s="1129"/>
      <c r="P7" s="3190" t="s">
        <v>2548</v>
      </c>
      <c r="Q7" s="3218"/>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28"/>
      <c r="M9" s="1129"/>
      <c r="N9" s="1129"/>
      <c r="O9" s="1130"/>
      <c r="P9" s="3222" t="s">
        <v>2554</v>
      </c>
      <c r="Q9" s="1791"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1"/>
      <c r="M10" s="1132"/>
      <c r="N10" s="1132"/>
      <c r="O10" s="1133"/>
      <c r="P10" s="3222"/>
      <c r="Q10" s="1791"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22"/>
      <c r="Q11" s="1791"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22"/>
      <c r="Q12" s="1791">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22"/>
      <c r="Q13" s="1791">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22"/>
      <c r="Q14" s="1791">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24" t="s">
        <v>2559</v>
      </c>
      <c r="Q15" s="1806" t="str">
        <f t="shared" si="6"/>
        <v>产业集聚程度</v>
      </c>
      <c r="R15" s="774" t="s">
        <v>17</v>
      </c>
      <c r="S15" s="775">
        <f t="shared" si="0"/>
        <v>100</v>
      </c>
      <c r="T15" s="774" t="s">
        <v>17</v>
      </c>
      <c r="U15" s="775">
        <f t="shared" si="1"/>
        <v>100</v>
      </c>
      <c r="V15" s="774" t="s">
        <v>17</v>
      </c>
      <c r="W15" s="775">
        <f t="shared" si="2"/>
        <v>100</v>
      </c>
      <c r="X15" s="1809"/>
      <c r="Y15" s="3224" t="s">
        <v>2559</v>
      </c>
      <c r="Z15" s="1810" t="str">
        <f t="shared" si="7"/>
        <v>产业集聚程度</v>
      </c>
      <c r="AA15" s="1807">
        <f t="shared" si="3"/>
        <v>1</v>
      </c>
      <c r="AB15" s="1807">
        <f t="shared" si="4"/>
        <v>1</v>
      </c>
      <c r="AC15" s="1807">
        <f t="shared" si="5"/>
        <v>1</v>
      </c>
    </row>
    <row r="16" spans="1:29" ht="15">
      <c r="A16" s="428"/>
      <c r="B16" s="630"/>
      <c r="C16" s="447"/>
      <c r="D16" s="448"/>
      <c r="E16" s="2609"/>
      <c r="F16" s="448"/>
      <c r="G16" s="2609"/>
      <c r="H16" s="450"/>
      <c r="I16" s="2609"/>
      <c r="J16" s="448"/>
      <c r="K16" s="672"/>
      <c r="L16" s="1136"/>
      <c r="M16" s="1127"/>
      <c r="N16" s="1127"/>
      <c r="O16" s="1135"/>
      <c r="P16" s="3225"/>
      <c r="Q16" s="1806"/>
      <c r="R16" s="774"/>
      <c r="S16" s="775"/>
      <c r="T16" s="774"/>
      <c r="U16" s="775"/>
      <c r="V16" s="774"/>
      <c r="W16" s="775"/>
      <c r="X16" s="1809"/>
      <c r="Y16" s="3225"/>
      <c r="Z16" s="1810"/>
      <c r="AA16" s="1807">
        <v>1</v>
      </c>
      <c r="AB16" s="1807">
        <v>1</v>
      </c>
      <c r="AC16" s="1807">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25"/>
      <c r="Q17" s="1806" t="str">
        <f>B17</f>
        <v>交通便捷度</v>
      </c>
      <c r="R17" s="774" t="s">
        <v>17</v>
      </c>
      <c r="S17" s="775">
        <f>F17</f>
        <v>100</v>
      </c>
      <c r="T17" s="774" t="s">
        <v>17</v>
      </c>
      <c r="U17" s="775">
        <f>H17</f>
        <v>100</v>
      </c>
      <c r="V17" s="774" t="s">
        <v>17</v>
      </c>
      <c r="W17" s="775">
        <f>J17</f>
        <v>100</v>
      </c>
      <c r="X17" s="1809"/>
      <c r="Y17" s="3225"/>
      <c r="Z17" s="1810" t="str">
        <f>Q17</f>
        <v>交通便捷度</v>
      </c>
      <c r="AA17" s="1807">
        <f t="shared" si="3"/>
        <v>1</v>
      </c>
      <c r="AB17" s="1807">
        <f t="shared" si="4"/>
        <v>1</v>
      </c>
      <c r="AC17" s="1807">
        <f t="shared" si="5"/>
        <v>1</v>
      </c>
    </row>
    <row r="18" spans="1:29" ht="15">
      <c r="A18" s="428"/>
      <c r="B18" s="632"/>
      <c r="C18" s="447"/>
      <c r="D18" s="448"/>
      <c r="E18" s="2603"/>
      <c r="F18" s="448"/>
      <c r="G18" s="2603"/>
      <c r="H18" s="448"/>
      <c r="I18" s="2602"/>
      <c r="J18" s="448"/>
      <c r="K18" s="672"/>
      <c r="L18" s="1136"/>
      <c r="M18" s="1127"/>
      <c r="N18" s="1127"/>
      <c r="O18" s="1135"/>
      <c r="P18" s="3225"/>
      <c r="Q18" s="1806"/>
      <c r="R18" s="774"/>
      <c r="S18" s="775"/>
      <c r="T18" s="774"/>
      <c r="U18" s="775"/>
      <c r="V18" s="774"/>
      <c r="W18" s="775"/>
      <c r="X18" s="1809"/>
      <c r="Y18" s="3225"/>
      <c r="Z18" s="1810"/>
      <c r="AA18" s="1807">
        <v>1</v>
      </c>
      <c r="AB18" s="1807">
        <v>1</v>
      </c>
      <c r="AC18" s="1807">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25"/>
      <c r="Q19" s="1806" t="str">
        <f t="shared" ref="Q19:Q33" si="8">B19</f>
        <v>区域土地利用方向</v>
      </c>
      <c r="R19" s="774" t="s">
        <v>17</v>
      </c>
      <c r="S19" s="775">
        <f>F19</f>
        <v>100</v>
      </c>
      <c r="T19" s="774" t="s">
        <v>17</v>
      </c>
      <c r="U19" s="775">
        <f>H19</f>
        <v>100</v>
      </c>
      <c r="V19" s="774" t="s">
        <v>17</v>
      </c>
      <c r="W19" s="775">
        <f>J19</f>
        <v>100</v>
      </c>
      <c r="X19" s="1809"/>
      <c r="Y19" s="3225"/>
      <c r="Z19" s="1810" t="str">
        <f>Q19</f>
        <v>区域土地利用方向</v>
      </c>
      <c r="AA19" s="1807">
        <f t="shared" si="3"/>
        <v>1</v>
      </c>
      <c r="AB19" s="1807">
        <f t="shared" si="4"/>
        <v>1</v>
      </c>
      <c r="AC19" s="1807">
        <f t="shared" si="5"/>
        <v>1</v>
      </c>
    </row>
    <row r="20" spans="1:29" ht="15">
      <c r="A20" s="404"/>
      <c r="B20" s="632"/>
      <c r="C20" s="447"/>
      <c r="D20" s="448"/>
      <c r="E20" s="2603"/>
      <c r="F20" s="448"/>
      <c r="G20" s="2603"/>
      <c r="H20" s="448"/>
      <c r="I20" s="2603"/>
      <c r="J20" s="448"/>
      <c r="K20" s="808"/>
      <c r="L20" s="1136"/>
      <c r="M20" s="1127"/>
      <c r="N20" s="1127"/>
      <c r="O20" s="1135"/>
      <c r="P20" s="3225"/>
      <c r="Q20" s="1806"/>
      <c r="R20" s="774"/>
      <c r="S20" s="775"/>
      <c r="T20" s="774"/>
      <c r="U20" s="775"/>
      <c r="V20" s="774"/>
      <c r="W20" s="775"/>
      <c r="X20" s="1809"/>
      <c r="Y20" s="3225"/>
      <c r="Z20" s="1810"/>
      <c r="AA20" s="1807"/>
      <c r="AB20" s="1807"/>
      <c r="AC20" s="1807"/>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25"/>
      <c r="Q21" s="1806" t="str">
        <f t="shared" si="8"/>
        <v>环境状况</v>
      </c>
      <c r="R21" s="774" t="s">
        <v>17</v>
      </c>
      <c r="S21" s="775">
        <f>F21</f>
        <v>100</v>
      </c>
      <c r="T21" s="774" t="s">
        <v>17</v>
      </c>
      <c r="U21" s="775">
        <f>H21</f>
        <v>100</v>
      </c>
      <c r="V21" s="774" t="s">
        <v>17</v>
      </c>
      <c r="W21" s="775">
        <f>J21</f>
        <v>100</v>
      </c>
      <c r="X21" s="1809"/>
      <c r="Y21" s="3225"/>
      <c r="Z21" s="1810" t="str">
        <f>Q21</f>
        <v>环境状况</v>
      </c>
      <c r="AA21" s="1807">
        <f t="shared" si="3"/>
        <v>1</v>
      </c>
      <c r="AB21" s="1807">
        <f t="shared" si="4"/>
        <v>1</v>
      </c>
      <c r="AC21" s="1807">
        <f t="shared" si="5"/>
        <v>1</v>
      </c>
    </row>
    <row r="22" spans="1:29" ht="15">
      <c r="A22" s="404"/>
      <c r="B22" s="632"/>
      <c r="C22" s="447"/>
      <c r="D22" s="448"/>
      <c r="E22" s="2609"/>
      <c r="F22" s="448"/>
      <c r="G22" s="2609"/>
      <c r="H22" s="448"/>
      <c r="I22" s="447"/>
      <c r="J22" s="448"/>
      <c r="K22" s="672"/>
      <c r="L22" s="1136"/>
      <c r="M22" s="1127"/>
      <c r="N22" s="1127"/>
      <c r="O22" s="1135"/>
      <c r="P22" s="3225"/>
      <c r="Q22" s="1806"/>
      <c r="R22" s="774"/>
      <c r="S22" s="775"/>
      <c r="T22" s="774"/>
      <c r="U22" s="775"/>
      <c r="V22" s="774"/>
      <c r="W22" s="775"/>
      <c r="X22" s="1809"/>
      <c r="Y22" s="3225"/>
      <c r="Z22" s="1810"/>
      <c r="AA22" s="1807">
        <v>1</v>
      </c>
      <c r="AB22" s="1807">
        <v>1</v>
      </c>
      <c r="AC22" s="1807">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25"/>
      <c r="Q23" s="1791" t="str">
        <f t="shared" si="8"/>
        <v>公共配套设施</v>
      </c>
      <c r="R23" s="770" t="s">
        <v>17</v>
      </c>
      <c r="S23" s="771">
        <f>F23</f>
        <v>100</v>
      </c>
      <c r="T23" s="770" t="s">
        <v>17</v>
      </c>
      <c r="U23" s="771">
        <f>H23</f>
        <v>100</v>
      </c>
      <c r="V23" s="770" t="s">
        <v>17</v>
      </c>
      <c r="W23" s="771">
        <f>J23</f>
        <v>100</v>
      </c>
      <c r="X23" s="772"/>
      <c r="Y23" s="3225"/>
      <c r="Z23" s="55" t="str">
        <f>Q23</f>
        <v>公共配套设施</v>
      </c>
      <c r="AA23" s="1807">
        <f>D23/F23</f>
        <v>1</v>
      </c>
      <c r="AB23" s="1807">
        <f>D23/H23</f>
        <v>1</v>
      </c>
      <c r="AC23" s="1807">
        <f>D23/J23</f>
        <v>1</v>
      </c>
    </row>
    <row r="24" spans="1:29" s="117" customFormat="1" ht="15">
      <c r="A24" s="649"/>
      <c r="B24" s="632"/>
      <c r="C24" s="2698"/>
      <c r="D24" s="448"/>
      <c r="E24" s="2609"/>
      <c r="F24" s="448"/>
      <c r="G24" s="2609"/>
      <c r="H24" s="448"/>
      <c r="I24" s="447"/>
      <c r="J24" s="448"/>
      <c r="K24" s="672"/>
      <c r="L24" s="1128"/>
      <c r="M24" s="1129"/>
      <c r="N24" s="1129"/>
      <c r="O24" s="1130"/>
      <c r="P24" s="3225"/>
      <c r="Q24" s="1791"/>
      <c r="R24" s="770"/>
      <c r="S24" s="771"/>
      <c r="T24" s="770"/>
      <c r="U24" s="771"/>
      <c r="V24" s="770"/>
      <c r="W24" s="771"/>
      <c r="X24" s="772"/>
      <c r="Y24" s="3225"/>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25"/>
      <c r="Q25" s="1791" t="str">
        <f t="shared" ref="Q25" si="9">B25</f>
        <v>基础设施水平</v>
      </c>
      <c r="R25" s="770" t="s">
        <v>17</v>
      </c>
      <c r="S25" s="771">
        <f>F25</f>
        <v>100</v>
      </c>
      <c r="T25" s="770" t="s">
        <v>17</v>
      </c>
      <c r="U25" s="771">
        <f>H25</f>
        <v>100</v>
      </c>
      <c r="V25" s="770" t="s">
        <v>17</v>
      </c>
      <c r="W25" s="771">
        <f>J25</f>
        <v>100</v>
      </c>
      <c r="X25" s="772"/>
      <c r="Y25" s="3225"/>
      <c r="Z25" s="55" t="str">
        <f>Q25</f>
        <v>基础设施水平</v>
      </c>
      <c r="AA25" s="1807">
        <f>D25/F25</f>
        <v>1</v>
      </c>
      <c r="AB25" s="1807">
        <f>D25/H25</f>
        <v>1</v>
      </c>
      <c r="AC25" s="1807">
        <f>D25/J25</f>
        <v>1</v>
      </c>
    </row>
    <row r="26" spans="1:29" s="117" customFormat="1" ht="15">
      <c r="A26" s="649"/>
      <c r="B26" s="632"/>
      <c r="C26" s="2698"/>
      <c r="D26" s="448"/>
      <c r="E26" s="2699"/>
      <c r="F26" s="448"/>
      <c r="G26" s="2699"/>
      <c r="H26" s="448"/>
      <c r="I26" s="2699"/>
      <c r="J26" s="448"/>
      <c r="K26" s="672"/>
      <c r="L26" s="1128"/>
      <c r="M26" s="1129"/>
      <c r="N26" s="1129"/>
      <c r="O26" s="1130"/>
      <c r="P26" s="3225"/>
      <c r="Q26" s="1791"/>
      <c r="R26" s="770"/>
      <c r="S26" s="771"/>
      <c r="T26" s="770"/>
      <c r="U26" s="771"/>
      <c r="V26" s="770"/>
      <c r="W26" s="771"/>
      <c r="X26" s="772"/>
      <c r="Y26" s="322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25"/>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25"/>
      <c r="Z27" s="1810" t="str">
        <f t="shared" ref="Z27:Z40" si="13">Q27</f>
        <v>临街状况</v>
      </c>
      <c r="AA27" s="1807">
        <f t="shared" si="3"/>
        <v>1</v>
      </c>
      <c r="AB27" s="1807">
        <f t="shared" si="4"/>
        <v>1</v>
      </c>
      <c r="AC27" s="1807">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25"/>
      <c r="Q28" s="1806" t="str">
        <f t="shared" si="8"/>
        <v>毗邻道路的类型与等级</v>
      </c>
      <c r="R28" s="774" t="s">
        <v>17</v>
      </c>
      <c r="S28" s="775">
        <f t="shared" si="10"/>
        <v>100</v>
      </c>
      <c r="T28" s="774" t="s">
        <v>17</v>
      </c>
      <c r="U28" s="775">
        <f t="shared" si="11"/>
        <v>100</v>
      </c>
      <c r="V28" s="774" t="s">
        <v>17</v>
      </c>
      <c r="W28" s="775">
        <f t="shared" si="12"/>
        <v>100</v>
      </c>
      <c r="X28" s="1809"/>
      <c r="Y28" s="3225"/>
      <c r="Z28" s="1810" t="str">
        <f t="shared" si="13"/>
        <v>毗邻道路的类型与等级</v>
      </c>
      <c r="AA28" s="1807">
        <f t="shared" si="3"/>
        <v>1</v>
      </c>
      <c r="AB28" s="1807">
        <f t="shared" si="4"/>
        <v>1</v>
      </c>
      <c r="AC28" s="1807">
        <f t="shared" si="5"/>
        <v>1</v>
      </c>
    </row>
    <row r="29" spans="1:29" ht="15">
      <c r="A29" s="428"/>
      <c r="B29" s="632"/>
      <c r="C29" s="447"/>
      <c r="D29" s="448"/>
      <c r="E29" s="2609"/>
      <c r="F29" s="448"/>
      <c r="G29" s="2609"/>
      <c r="H29" s="448"/>
      <c r="I29" s="2609"/>
      <c r="J29" s="448"/>
      <c r="K29" s="613"/>
      <c r="L29" s="1136"/>
      <c r="M29" s="1127"/>
      <c r="N29" s="1127"/>
      <c r="O29" s="1135"/>
      <c r="P29" s="3225"/>
      <c r="Q29" s="1806"/>
      <c r="R29" s="774"/>
      <c r="S29" s="775"/>
      <c r="T29" s="774"/>
      <c r="U29" s="775"/>
      <c r="V29" s="774"/>
      <c r="W29" s="775"/>
      <c r="X29" s="1809"/>
      <c r="Y29" s="3225"/>
      <c r="Z29" s="1810"/>
      <c r="AA29" s="1807">
        <v>1</v>
      </c>
      <c r="AB29" s="1807">
        <v>1</v>
      </c>
      <c r="AC29" s="1807">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25"/>
      <c r="Q30" s="1806" t="str">
        <f t="shared" si="8"/>
        <v>土地级别</v>
      </c>
      <c r="R30" s="774" t="s">
        <v>17</v>
      </c>
      <c r="S30" s="775">
        <f t="shared" si="10"/>
        <v>100</v>
      </c>
      <c r="T30" s="774" t="s">
        <v>17</v>
      </c>
      <c r="U30" s="775">
        <f t="shared" si="11"/>
        <v>100</v>
      </c>
      <c r="V30" s="774" t="s">
        <v>17</v>
      </c>
      <c r="W30" s="775">
        <f t="shared" si="12"/>
        <v>100</v>
      </c>
      <c r="X30" s="1809"/>
      <c r="Y30" s="3225"/>
      <c r="Z30" s="1810" t="str">
        <f t="shared" si="13"/>
        <v>土地级别</v>
      </c>
      <c r="AA30" s="1807">
        <f t="shared" si="3"/>
        <v>1</v>
      </c>
      <c r="AB30" s="1807">
        <f t="shared" si="4"/>
        <v>1</v>
      </c>
      <c r="AC30" s="1807">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5"/>
      <c r="Q31" s="1806">
        <f t="shared" si="8"/>
        <v>111</v>
      </c>
      <c r="R31" s="774" t="s">
        <v>17</v>
      </c>
      <c r="S31" s="775">
        <f t="shared" si="10"/>
        <v>100</v>
      </c>
      <c r="T31" s="774" t="s">
        <v>17</v>
      </c>
      <c r="U31" s="775">
        <f t="shared" si="11"/>
        <v>100</v>
      </c>
      <c r="V31" s="774" t="s">
        <v>17</v>
      </c>
      <c r="W31" s="775">
        <f t="shared" si="12"/>
        <v>100</v>
      </c>
      <c r="X31" s="1809"/>
      <c r="Y31" s="3225"/>
      <c r="Z31" s="1810">
        <f t="shared" si="13"/>
        <v>111</v>
      </c>
      <c r="AA31" s="1807">
        <f t="shared" si="3"/>
        <v>1</v>
      </c>
      <c r="AB31" s="1807">
        <f t="shared" si="4"/>
        <v>1</v>
      </c>
      <c r="AC31" s="1807">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48" t="s">
        <v>2564</v>
      </c>
      <c r="Q32" s="1806">
        <f t="shared" si="8"/>
        <v>111</v>
      </c>
      <c r="R32" s="774" t="s">
        <v>17</v>
      </c>
      <c r="S32" s="775">
        <f t="shared" si="10"/>
        <v>100</v>
      </c>
      <c r="T32" s="774" t="s">
        <v>17</v>
      </c>
      <c r="U32" s="775">
        <f t="shared" si="11"/>
        <v>100</v>
      </c>
      <c r="V32" s="774" t="s">
        <v>17</v>
      </c>
      <c r="W32" s="775">
        <f t="shared" si="12"/>
        <v>100</v>
      </c>
      <c r="X32" s="1809"/>
      <c r="Y32" s="3229" t="s">
        <v>2564</v>
      </c>
      <c r="Z32" s="1810">
        <f t="shared" si="13"/>
        <v>111</v>
      </c>
      <c r="AA32" s="1807">
        <f t="shared" si="3"/>
        <v>1</v>
      </c>
      <c r="AB32" s="1807">
        <f t="shared" si="4"/>
        <v>1</v>
      </c>
      <c r="AC32" s="1807">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29"/>
      <c r="Q33" s="1806">
        <f t="shared" si="8"/>
        <v>111</v>
      </c>
      <c r="R33" s="777" t="s">
        <v>17</v>
      </c>
      <c r="S33" s="778">
        <f t="shared" si="10"/>
        <v>100</v>
      </c>
      <c r="T33" s="777" t="s">
        <v>17</v>
      </c>
      <c r="U33" s="778">
        <f t="shared" si="11"/>
        <v>100</v>
      </c>
      <c r="V33" s="777" t="s">
        <v>17</v>
      </c>
      <c r="W33" s="778">
        <f t="shared" si="12"/>
        <v>100</v>
      </c>
      <c r="X33" s="779"/>
      <c r="Y33" s="3229"/>
      <c r="Z33" s="780">
        <f t="shared" si="13"/>
        <v>111</v>
      </c>
      <c r="AA33" s="1807">
        <f t="shared" si="3"/>
        <v>1</v>
      </c>
      <c r="AB33" s="1807">
        <f t="shared" si="4"/>
        <v>1</v>
      </c>
      <c r="AC33" s="1807">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29"/>
      <c r="Q34" s="1806" t="str">
        <f>B34</f>
        <v>宗地面积</v>
      </c>
      <c r="R34" s="774" t="s">
        <v>17</v>
      </c>
      <c r="S34" s="775" t="e">
        <f t="shared" si="10"/>
        <v>#N/A</v>
      </c>
      <c r="T34" s="774" t="s">
        <v>17</v>
      </c>
      <c r="U34" s="775" t="e">
        <f t="shared" si="11"/>
        <v>#N/A</v>
      </c>
      <c r="V34" s="774" t="s">
        <v>17</v>
      </c>
      <c r="W34" s="775" t="e">
        <f t="shared" si="12"/>
        <v>#N/A</v>
      </c>
      <c r="X34" s="1809"/>
      <c r="Y34" s="3229"/>
      <c r="Z34" s="1810" t="str">
        <f t="shared" si="13"/>
        <v>宗地面积</v>
      </c>
      <c r="AA34" s="1807" t="e">
        <f t="shared" si="3"/>
        <v>#N/A</v>
      </c>
      <c r="AB34" s="1807" t="e">
        <f t="shared" si="4"/>
        <v>#N/A</v>
      </c>
      <c r="AC34" s="1807"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6"/>
      <c r="M35" s="1127"/>
      <c r="N35" s="1127"/>
      <c r="O35" s="1135"/>
      <c r="P35" s="3229"/>
      <c r="Q35" s="1806" t="str">
        <f t="shared" ref="Q35:Q40" si="14">B35</f>
        <v>宗地形状</v>
      </c>
      <c r="R35" s="774" t="s">
        <v>17</v>
      </c>
      <c r="S35" s="775">
        <f t="shared" si="10"/>
        <v>100</v>
      </c>
      <c r="T35" s="774" t="s">
        <v>17</v>
      </c>
      <c r="U35" s="775">
        <f t="shared" si="11"/>
        <v>100</v>
      </c>
      <c r="V35" s="774" t="s">
        <v>17</v>
      </c>
      <c r="W35" s="775">
        <f t="shared" si="12"/>
        <v>100</v>
      </c>
      <c r="X35" s="1809"/>
      <c r="Y35" s="3229"/>
      <c r="Z35" s="1810" t="str">
        <f t="shared" si="13"/>
        <v>宗地形状</v>
      </c>
      <c r="AA35" s="1807">
        <f t="shared" si="3"/>
        <v>1</v>
      </c>
      <c r="AB35" s="1807">
        <f t="shared" si="4"/>
        <v>1</v>
      </c>
      <c r="AC35" s="1807">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8"/>
      <c r="M36" s="1129"/>
      <c r="N36" s="1129"/>
      <c r="O36" s="1130"/>
      <c r="P36" s="3229"/>
      <c r="Q36" s="1806"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6"/>
      <c r="M37" s="1127"/>
      <c r="N37" s="1127"/>
      <c r="O37" s="1135"/>
      <c r="P37" s="3229" t="s">
        <v>2564</v>
      </c>
      <c r="Q37" s="1806" t="str">
        <f t="shared" si="14"/>
        <v>工程地质条件</v>
      </c>
      <c r="R37" s="774" t="s">
        <v>17</v>
      </c>
      <c r="S37" s="775">
        <f t="shared" si="10"/>
        <v>100</v>
      </c>
      <c r="T37" s="774" t="s">
        <v>17</v>
      </c>
      <c r="U37" s="775">
        <f t="shared" si="11"/>
        <v>100</v>
      </c>
      <c r="V37" s="774" t="s">
        <v>17</v>
      </c>
      <c r="W37" s="775">
        <f t="shared" si="12"/>
        <v>100</v>
      </c>
      <c r="X37" s="1809"/>
      <c r="Y37" s="3229" t="s">
        <v>2564</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29"/>
      <c r="Q38" s="1806">
        <f t="shared" si="14"/>
        <v>111</v>
      </c>
      <c r="R38" s="774" t="s">
        <v>17</v>
      </c>
      <c r="S38" s="775">
        <f t="shared" si="10"/>
        <v>100</v>
      </c>
      <c r="T38" s="774" t="s">
        <v>17</v>
      </c>
      <c r="U38" s="775">
        <f t="shared" si="11"/>
        <v>100</v>
      </c>
      <c r="V38" s="774" t="s">
        <v>17</v>
      </c>
      <c r="W38" s="775">
        <f t="shared" si="12"/>
        <v>100</v>
      </c>
      <c r="X38" s="1809"/>
      <c r="Y38" s="3229"/>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29"/>
      <c r="Q39" s="1806">
        <f t="shared" si="14"/>
        <v>111</v>
      </c>
      <c r="R39" s="774" t="s">
        <v>17</v>
      </c>
      <c r="S39" s="775">
        <f t="shared" si="10"/>
        <v>100</v>
      </c>
      <c r="T39" s="774" t="s">
        <v>17</v>
      </c>
      <c r="U39" s="775">
        <f t="shared" si="11"/>
        <v>100</v>
      </c>
      <c r="V39" s="774" t="s">
        <v>17</v>
      </c>
      <c r="W39" s="775">
        <f t="shared" si="12"/>
        <v>100</v>
      </c>
      <c r="X39" s="1809"/>
      <c r="Y39" s="3229"/>
      <c r="Z39" s="1810">
        <f t="shared" si="13"/>
        <v>111</v>
      </c>
      <c r="AA39" s="1807">
        <f t="shared" si="3"/>
        <v>1</v>
      </c>
      <c r="AB39" s="1807">
        <f t="shared" si="4"/>
        <v>1</v>
      </c>
      <c r="AC39" s="1807">
        <f t="shared" si="5"/>
        <v>1</v>
      </c>
    </row>
    <row r="40" spans="1:29" s="471" customFormat="1" ht="15.75" thickBot="1">
      <c r="A40" s="468"/>
      <c r="B40" s="1383">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29"/>
      <c r="Q40" s="1806">
        <f t="shared" si="14"/>
        <v>111</v>
      </c>
      <c r="R40" s="777" t="s">
        <v>17</v>
      </c>
      <c r="S40" s="778">
        <f t="shared" si="10"/>
        <v>100</v>
      </c>
      <c r="T40" s="777" t="s">
        <v>17</v>
      </c>
      <c r="U40" s="778">
        <f t="shared" si="11"/>
        <v>100</v>
      </c>
      <c r="V40" s="777" t="s">
        <v>17</v>
      </c>
      <c r="W40" s="778">
        <f t="shared" si="12"/>
        <v>100</v>
      </c>
      <c r="X40" s="779"/>
      <c r="Y40" s="3229"/>
      <c r="Z40" s="780">
        <f t="shared" si="13"/>
        <v>111</v>
      </c>
      <c r="AA40" s="1807">
        <f t="shared" si="3"/>
        <v>1</v>
      </c>
      <c r="AB40" s="1807">
        <f t="shared" si="4"/>
        <v>1</v>
      </c>
      <c r="AC40" s="1807">
        <f t="shared" si="5"/>
        <v>1</v>
      </c>
    </row>
    <row r="41" spans="1:29" ht="15">
      <c r="A41" s="479" t="s">
        <v>2719</v>
      </c>
      <c r="B41" s="2702" t="s">
        <v>2799</v>
      </c>
      <c r="C41" s="682" t="s">
        <v>1</v>
      </c>
      <c r="D41" s="481"/>
      <c r="E41" s="482"/>
      <c r="F41" s="483"/>
      <c r="G41" s="484"/>
      <c r="H41" s="485"/>
      <c r="I41" s="482"/>
      <c r="J41" s="485"/>
      <c r="K41" s="783"/>
      <c r="L41" s="1139"/>
      <c r="M41" s="1127"/>
      <c r="N41" s="1127"/>
      <c r="O41" s="1140"/>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39"/>
      <c r="M42" s="1127"/>
      <c r="N42" s="1127"/>
      <c r="O42" s="1140"/>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39"/>
      <c r="M43" s="1127"/>
      <c r="N43" s="1127"/>
      <c r="O43" s="1140"/>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2757</v>
      </c>
      <c r="B50" s="685" t="s">
        <v>2758</v>
      </c>
      <c r="C50" s="2703" t="s">
        <v>2759</v>
      </c>
      <c r="D50" s="2704" t="s">
        <v>2760</v>
      </c>
      <c r="E50" s="686" t="s">
        <v>2761</v>
      </c>
      <c r="F50" s="687" t="s">
        <v>2762</v>
      </c>
      <c r="G50" s="3205" t="s">
        <v>2763</v>
      </c>
      <c r="H50" s="3251"/>
      <c r="I50" s="1810" t="s">
        <v>2800</v>
      </c>
      <c r="J50" s="1810">
        <f>项目基本情况!F35</f>
        <v>0</v>
      </c>
      <c r="K50" s="2706" t="s">
        <v>2765</v>
      </c>
      <c r="L50" s="1102"/>
      <c r="M50" s="1140"/>
      <c r="N50" s="1140"/>
      <c r="O50" s="1140"/>
    </row>
    <row r="51" spans="1:17" s="692" customFormat="1">
      <c r="A51" s="688" t="s">
        <v>2766</v>
      </c>
      <c r="B51" s="689" t="e">
        <f>C43</f>
        <v>#DIV/0!</v>
      </c>
      <c r="C51" s="690">
        <v>1</v>
      </c>
      <c r="D51" s="1159">
        <v>1</v>
      </c>
      <c r="E51" s="690">
        <f>'数据-汇总表'!E8+'数据-汇总表'!E9</f>
        <v>19842</v>
      </c>
      <c r="F51" s="691" t="e">
        <f t="shared" ref="F51:F60" si="15">ROUND(B51*E51/10000,0)</f>
        <v>#DIV/0!</v>
      </c>
      <c r="G51" s="3204"/>
      <c r="H51" s="3222"/>
      <c r="I51" s="938">
        <v>1</v>
      </c>
      <c r="J51" s="938">
        <v>1</v>
      </c>
      <c r="K51" s="1141"/>
      <c r="L51" s="937"/>
      <c r="M51" s="937"/>
      <c r="N51" s="937"/>
      <c r="O51" s="937"/>
    </row>
    <row r="52" spans="1:17" s="692" customFormat="1">
      <c r="A52" s="693" t="s">
        <v>2767</v>
      </c>
      <c r="B52" s="262" t="e">
        <f>ROUND($C$43*C52*D52,0)</f>
        <v>#DIV/0!</v>
      </c>
      <c r="C52" s="200">
        <f t="shared" ref="C52:C60" si="16">IF($C$50="北京市系数",I52,J52)</f>
        <v>0.8</v>
      </c>
      <c r="D52" s="1160">
        <v>0.25</v>
      </c>
      <c r="E52" s="694"/>
      <c r="F52" s="691" t="e">
        <f t="shared" si="15"/>
        <v>#DIV/0!</v>
      </c>
      <c r="G52" s="3252" t="s">
        <v>2768</v>
      </c>
      <c r="H52" s="1100" t="str">
        <f>项目基本情况!B37</f>
        <v>一级</v>
      </c>
      <c r="I52" s="938">
        <f>SUMIF(修正!A45:A56,H52,修正!B45:B56)</f>
        <v>0.8</v>
      </c>
      <c r="J52" s="939"/>
      <c r="K52" s="1140"/>
      <c r="L52" s="937"/>
      <c r="M52" s="937"/>
      <c r="N52" s="937"/>
      <c r="O52" s="937"/>
    </row>
    <row r="53" spans="1:17" s="692" customFormat="1">
      <c r="A53" s="693" t="s">
        <v>2769</v>
      </c>
      <c r="B53" s="262" t="e">
        <f t="shared" ref="B53:B60" si="17">ROUND($C$43*C53*D53,0)</f>
        <v>#DIV/0!</v>
      </c>
      <c r="C53" s="200">
        <f t="shared" si="16"/>
        <v>0.5</v>
      </c>
      <c r="D53" s="1160">
        <v>0.25</v>
      </c>
      <c r="E53" s="694"/>
      <c r="F53" s="691" t="e">
        <f t="shared" si="15"/>
        <v>#DIV/0!</v>
      </c>
      <c r="G53" s="3252"/>
      <c r="H53" s="1100" t="str">
        <f>项目基本情况!B37</f>
        <v>一级</v>
      </c>
      <c r="I53" s="938">
        <f>SUMIF(修正!A45:A56,H53,修正!C45:C56)</f>
        <v>0.5</v>
      </c>
      <c r="J53" s="939"/>
      <c r="K53" s="1141"/>
      <c r="L53" s="937"/>
      <c r="M53" s="937"/>
      <c r="N53" s="937"/>
      <c r="O53" s="937"/>
    </row>
    <row r="54" spans="1:17" s="692" customFormat="1">
      <c r="A54" s="693" t="s">
        <v>2770</v>
      </c>
      <c r="B54" s="262" t="e">
        <f t="shared" si="17"/>
        <v>#DIV/0!</v>
      </c>
      <c r="C54" s="200">
        <f t="shared" si="16"/>
        <v>0.36</v>
      </c>
      <c r="D54" s="1160">
        <v>0.25</v>
      </c>
      <c r="E54" s="694"/>
      <c r="F54" s="691" t="e">
        <f t="shared" si="15"/>
        <v>#DIV/0!</v>
      </c>
      <c r="G54" s="3252"/>
      <c r="H54" s="1100" t="str">
        <f>项目基本情况!B37</f>
        <v>一级</v>
      </c>
      <c r="I54" s="938">
        <f>SUMIF(修正!A45:A56,H54,修正!D45:D56)</f>
        <v>0.36</v>
      </c>
      <c r="J54" s="939"/>
      <c r="K54" s="1140"/>
      <c r="L54" s="937"/>
      <c r="M54" s="937"/>
      <c r="N54" s="937"/>
      <c r="O54" s="937"/>
    </row>
    <row r="55" spans="1:17" s="692" customFormat="1">
      <c r="A55" s="693" t="s">
        <v>2771</v>
      </c>
      <c r="B55" s="262" t="e">
        <f t="shared" si="17"/>
        <v>#DIV/0!</v>
      </c>
      <c r="C55" s="200">
        <f t="shared" si="16"/>
        <v>0.3</v>
      </c>
      <c r="D55" s="1160">
        <v>0.25</v>
      </c>
      <c r="E55" s="694"/>
      <c r="F55" s="691" t="e">
        <f t="shared" si="15"/>
        <v>#DIV/0!</v>
      </c>
      <c r="G55" s="3252"/>
      <c r="H55" s="1100" t="str">
        <f>项目基本情况!B37</f>
        <v>一级</v>
      </c>
      <c r="I55" s="938">
        <f>SUMIF(修正!A45:A56,H55,修正!E45:E56)</f>
        <v>0.3</v>
      </c>
      <c r="J55" s="939"/>
      <c r="K55" s="1141"/>
      <c r="L55" s="937"/>
      <c r="M55" s="937"/>
      <c r="N55" s="937"/>
      <c r="O55" s="937"/>
    </row>
    <row r="56" spans="1:17" s="692" customFormat="1">
      <c r="A56" s="693" t="s">
        <v>2772</v>
      </c>
      <c r="B56" s="262" t="e">
        <f t="shared" si="17"/>
        <v>#DIV/0!</v>
      </c>
      <c r="C56" s="200">
        <f t="shared" si="16"/>
        <v>0.3</v>
      </c>
      <c r="D56" s="1160">
        <v>0.25</v>
      </c>
      <c r="E56" s="261">
        <f>'数据-汇总表'!E11</f>
        <v>0</v>
      </c>
      <c r="F56" s="691" t="e">
        <f t="shared" si="15"/>
        <v>#DIV/0!</v>
      </c>
      <c r="G56" s="2707" t="s">
        <v>2773</v>
      </c>
      <c r="H56" s="1100" t="str">
        <f>项目基本情况!C37</f>
        <v>一级</v>
      </c>
      <c r="I56" s="938">
        <f>SUMIF(修正!A45:A56,H56,修正!F45:F56)</f>
        <v>0.3</v>
      </c>
      <c r="J56" s="939"/>
      <c r="K56" s="1140"/>
      <c r="L56" s="937"/>
      <c r="M56" s="937"/>
      <c r="N56" s="937"/>
      <c r="O56" s="937"/>
    </row>
    <row r="57" spans="1:17" s="692" customFormat="1">
      <c r="A57" s="693" t="s">
        <v>2774</v>
      </c>
      <c r="B57" s="262" t="e">
        <f t="shared" si="17"/>
        <v>#DIV/0!</v>
      </c>
      <c r="C57" s="200">
        <f t="shared" si="16"/>
        <v>0.3</v>
      </c>
      <c r="D57" s="1160">
        <v>0.25</v>
      </c>
      <c r="E57" s="261">
        <f>'数据-汇总表'!E12</f>
        <v>2241.69</v>
      </c>
      <c r="F57" s="691" t="e">
        <f t="shared" si="15"/>
        <v>#DIV/0!</v>
      </c>
      <c r="G57" s="1105" t="s">
        <v>2775</v>
      </c>
      <c r="H57" s="1100" t="str">
        <f>IF(G57="商业",项目基本情况!B37,IF(G57="办公",项目基本情况!C37,IF(G57="住宅",项目基本情况!D37,项目基本情况!E37)))</f>
        <v>一级</v>
      </c>
      <c r="I57" s="938">
        <f>SUMIF(修正!A45:A56,H57,修正!G45:G56)</f>
        <v>0.3</v>
      </c>
      <c r="J57" s="939"/>
      <c r="K57" s="1141"/>
      <c r="L57" s="937"/>
      <c r="M57" s="937"/>
      <c r="N57" s="937"/>
      <c r="O57" s="937"/>
    </row>
    <row r="58" spans="1:17" s="692" customFormat="1">
      <c r="A58" s="693" t="s">
        <v>2776</v>
      </c>
      <c r="B58" s="262" t="e">
        <f t="shared" si="17"/>
        <v>#DIV/0!</v>
      </c>
      <c r="C58" s="200">
        <f t="shared" si="16"/>
        <v>0.25</v>
      </c>
      <c r="D58" s="1160">
        <v>0.25</v>
      </c>
      <c r="E58" s="261">
        <f>'数据-汇总表'!E13</f>
        <v>0</v>
      </c>
      <c r="F58" s="691" t="e">
        <f t="shared" si="15"/>
        <v>#DIV/0!</v>
      </c>
      <c r="G58" s="1105" t="s">
        <v>2777</v>
      </c>
      <c r="H58" s="1100" t="str">
        <f>IF(G58="商业",项目基本情况!B37,IF(G58="办公",项目基本情况!C37,IF(G58="住宅",项目基本情况!D37,项目基本情况!E37)))</f>
        <v>一级</v>
      </c>
      <c r="I58" s="938">
        <f>SUMIF(修正!A45:A56,H58,修正!H45:H56)</f>
        <v>0.25</v>
      </c>
      <c r="J58" s="939"/>
      <c r="K58" s="1140"/>
      <c r="L58" s="937"/>
      <c r="M58" s="937"/>
      <c r="N58" s="937"/>
      <c r="O58" s="937"/>
    </row>
    <row r="59" spans="1:17" s="692" customFormat="1">
      <c r="A59" s="693" t="s">
        <v>2778</v>
      </c>
      <c r="B59" s="262" t="e">
        <f t="shared" si="17"/>
        <v>#DIV/0!</v>
      </c>
      <c r="C59" s="200">
        <f t="shared" si="16"/>
        <v>0.25</v>
      </c>
      <c r="D59" s="1160">
        <v>0.25</v>
      </c>
      <c r="E59" s="261">
        <f>'数据-汇总表'!E14</f>
        <v>0</v>
      </c>
      <c r="F59" s="691" t="e">
        <f t="shared" si="15"/>
        <v>#DIV/0!</v>
      </c>
      <c r="G59" s="2707" t="s">
        <v>2768</v>
      </c>
      <c r="H59" s="1100" t="str">
        <f>项目基本情况!B37</f>
        <v>一级</v>
      </c>
      <c r="I59" s="938">
        <f>SUMIF(修正!A45:A56,H59,修正!H45:H56)</f>
        <v>0.25</v>
      </c>
      <c r="J59" s="939"/>
      <c r="K59" s="1141"/>
      <c r="L59" s="937"/>
      <c r="M59" s="937"/>
      <c r="N59" s="937"/>
      <c r="O59" s="937"/>
    </row>
    <row r="60" spans="1:17" s="692" customFormat="1" ht="15" thickBot="1">
      <c r="A60" s="693" t="s">
        <v>2779</v>
      </c>
      <c r="B60" s="262" t="e">
        <f t="shared" si="17"/>
        <v>#DIV/0!</v>
      </c>
      <c r="C60" s="200">
        <f t="shared" si="16"/>
        <v>0.25</v>
      </c>
      <c r="D60" s="1160">
        <v>0.25</v>
      </c>
      <c r="E60" s="261">
        <f>'数据-汇总表'!E15</f>
        <v>3919.01</v>
      </c>
      <c r="F60" s="691" t="e">
        <f t="shared" si="15"/>
        <v>#DIV/0!</v>
      </c>
      <c r="G60" s="2708" t="s">
        <v>2773</v>
      </c>
      <c r="H60" s="1110" t="str">
        <f>项目基本情况!C37</f>
        <v>一级</v>
      </c>
      <c r="I60" s="938">
        <f>SUMIF(修正!A45:A56,H60,修正!H45:H56)</f>
        <v>0.25</v>
      </c>
      <c r="J60" s="939"/>
      <c r="K60" s="1140"/>
      <c r="L60" s="937"/>
      <c r="M60" s="937"/>
      <c r="N60" s="937"/>
      <c r="O60" s="937"/>
    </row>
    <row r="61" spans="1:17" s="692" customFormat="1" ht="15" thickBot="1">
      <c r="A61" s="695" t="s">
        <v>2780</v>
      </c>
      <c r="B61" s="696" t="s">
        <v>28</v>
      </c>
      <c r="C61" s="696" t="s">
        <v>29</v>
      </c>
      <c r="D61" s="696" t="s">
        <v>1026</v>
      </c>
      <c r="E61" s="696">
        <f>IF(B41="楼面地价",SUM(E51:E60),'数据-汇总表'!D3)</f>
        <v>3996.4</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2673</v>
      </c>
      <c r="B64" s="759"/>
      <c r="C64" s="764"/>
      <c r="D64" s="764"/>
      <c r="E64" s="764"/>
      <c r="F64" s="765"/>
      <c r="G64" s="765"/>
      <c r="H64" s="764"/>
      <c r="I64" s="764"/>
      <c r="J64" s="764"/>
      <c r="K64" s="766"/>
      <c r="L64" s="767"/>
      <c r="M64" s="764"/>
      <c r="N64" s="764"/>
      <c r="O64" s="1155"/>
      <c r="P64" s="503"/>
      <c r="Q64" s="504"/>
    </row>
    <row r="65" spans="1:17" s="508" customFormat="1" ht="15">
      <c r="A65" s="2709" t="s">
        <v>2781</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4" t="s">
        <v>2801</v>
      </c>
      <c r="B66" s="332" t="str">
        <f>"北京市平均增长率"&amp;TEXT(基准地价修正!P24,"0.00%")</f>
        <v>北京市平均增长率1.34%</v>
      </c>
      <c r="C66" s="603">
        <v>100</v>
      </c>
      <c r="D66" s="595"/>
      <c r="E66" s="595"/>
      <c r="F66" s="595"/>
      <c r="G66" s="595"/>
      <c r="H66" s="595"/>
      <c r="I66" s="595"/>
      <c r="J66" s="595"/>
      <c r="K66" s="595"/>
      <c r="L66" s="595"/>
      <c r="M66" s="1563"/>
      <c r="N66" s="1563"/>
      <c r="O66" s="1565"/>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2587</v>
      </c>
      <c r="B70" s="528" t="s">
        <v>2553</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2556</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2690</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0" priority="14" stopIfTrue="1" operator="containsText" text="超过">
      <formula>NOT(ISERROR(SEARCH("超过",F46)))</formula>
    </cfRule>
  </conditionalFormatting>
  <conditionalFormatting sqref="J48">
    <cfRule type="containsText" dxfId="39" priority="13" stopIfTrue="1" operator="containsText" text="超过">
      <formula>NOT(ISERROR(SEARCH("超过",J48)))</formula>
    </cfRule>
  </conditionalFormatting>
  <conditionalFormatting sqref="H48">
    <cfRule type="containsText" dxfId="38" priority="12" stopIfTrue="1" operator="containsText" text="超过">
      <formula>NOT(ISERROR(SEARCH("超过",H48)))</formula>
    </cfRule>
  </conditionalFormatting>
  <conditionalFormatting sqref="F48">
    <cfRule type="containsText" dxfId="37" priority="11" stopIfTrue="1" operator="containsText" text="超过">
      <formula>NOT(ISERROR(SEARCH("超过",F48)))</formula>
    </cfRule>
  </conditionalFormatting>
  <conditionalFormatting sqref="F47 H47 J47">
    <cfRule type="containsText" dxfId="36" priority="10" stopIfTrue="1" operator="containsText" text="超过">
      <formula>NOT(ISERROR(SEARCH("超过",F47)))</formula>
    </cfRule>
  </conditionalFormatting>
  <conditionalFormatting sqref="E46">
    <cfRule type="expression" dxfId="35" priority="9" stopIfTrue="1">
      <formula>$F$46="超过30%"</formula>
    </cfRule>
  </conditionalFormatting>
  <conditionalFormatting sqref="G48">
    <cfRule type="expression" dxfId="34" priority="8" stopIfTrue="1">
      <formula>$H$48="超过30%"</formula>
    </cfRule>
  </conditionalFormatting>
  <conditionalFormatting sqref="E48">
    <cfRule type="expression" dxfId="33" priority="6" stopIfTrue="1">
      <formula>$F$48="超过30%"</formula>
    </cfRule>
  </conditionalFormatting>
  <conditionalFormatting sqref="G46">
    <cfRule type="expression" dxfId="32" priority="5" stopIfTrue="1">
      <formula>$H$46="超过30%"</formula>
    </cfRule>
  </conditionalFormatting>
  <conditionalFormatting sqref="G47">
    <cfRule type="expression" dxfId="31" priority="4" stopIfTrue="1">
      <formula>$H$47="超过20%"</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conditionalFormatting sqref="E47">
    <cfRule type="expression" dxfId="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P38" sqref="P38"/>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8" customWidth="1"/>
    <col min="33" max="36" width="9.375" style="2786" customWidth="1"/>
    <col min="37" max="38" width="9.375" style="2718" customWidth="1"/>
    <col min="39" max="16384" width="12" style="2718"/>
  </cols>
  <sheetData>
    <row r="1" spans="1:36" ht="28.5">
      <c r="A1" s="240" t="s">
        <v>2803</v>
      </c>
      <c r="B1" s="241"/>
      <c r="C1" s="245" t="s">
        <v>2804</v>
      </c>
      <c r="D1" s="388">
        <f>SUM(D29:D30,D33:D39)</f>
        <v>355.78</v>
      </c>
      <c r="E1" s="2715"/>
      <c r="F1" s="2715"/>
      <c r="G1" s="2715"/>
      <c r="H1" s="2715"/>
      <c r="I1" s="2715"/>
      <c r="J1" s="2715"/>
      <c r="K1" s="1366"/>
      <c r="L1" s="2716" t="s">
        <v>2805</v>
      </c>
      <c r="M1" s="1076">
        <f>SUMPRODUCT((区片价!B5:B9=I2)*(区片价!C3:F3=E2)*(区片价!C5:F9))</f>
        <v>30890</v>
      </c>
      <c r="N1" s="1079">
        <f>SUMPRODUCT((因素修正幅度!B5:B9=I2)*(因素修正幅度!C3:F3=E2)*(因素修正幅度!C5:F9))</f>
        <v>9.9000000000000005E-2</v>
      </c>
      <c r="O1" s="2717"/>
      <c r="P1" s="2717"/>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2591</v>
      </c>
      <c r="C2" s="2719" t="s">
        <v>2812</v>
      </c>
      <c r="D2" s="2720" t="s">
        <v>2813</v>
      </c>
      <c r="E2" s="2721" t="s">
        <v>1373</v>
      </c>
      <c r="F2" s="2720" t="s">
        <v>2814</v>
      </c>
      <c r="G2" s="2722" t="str">
        <f>IF(E2="商业",项目基本情况!B37,IF(E2="办公",项目基本情况!C37,IF(E2="住宅",项目基本情况!D37,项目基本情况!E37)))</f>
        <v>一级</v>
      </c>
      <c r="H2" s="2720" t="s">
        <v>2815</v>
      </c>
      <c r="I2" s="2722" t="str">
        <f>IF(E2="商业",项目基本情况!B38,IF(E2="办公",项目基本情况!C38,IF(E2="住宅",项目基本情况!D38,项目基本情况!E38)))</f>
        <v>Ⅰ—04</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1.9361999999999999</v>
      </c>
      <c r="T2" s="1598">
        <f ca="1">ROUND($C$5*$C$18*$C$19*$C$20*S2*$C$24,0)</f>
        <v>72834</v>
      </c>
      <c r="U2" s="1599"/>
      <c r="V2" s="1598">
        <f ca="1">ROUND(T2*U2/10000,0)</f>
        <v>0</v>
      </c>
      <c r="W2" s="1602"/>
      <c r="X2" s="1602"/>
      <c r="Y2" s="1602"/>
      <c r="Z2" s="1602"/>
      <c r="AA2" s="1602"/>
      <c r="AB2" s="1602"/>
      <c r="AC2" s="1603"/>
      <c r="AD2" s="1604"/>
      <c r="AE2" s="1604"/>
      <c r="AF2" s="1604"/>
      <c r="AG2" s="1604"/>
      <c r="AH2" s="1604"/>
      <c r="AI2" s="1604"/>
      <c r="AJ2" s="1605"/>
    </row>
    <row r="3" spans="1:36" ht="15.75">
      <c r="A3" s="247" t="s">
        <v>2817</v>
      </c>
      <c r="B3" s="248">
        <f ca="1">ROUND(B2*10000/D1,0)</f>
        <v>72826</v>
      </c>
      <c r="C3" s="2719" t="s">
        <v>2818</v>
      </c>
      <c r="D3" s="2720" t="s">
        <v>2819</v>
      </c>
      <c r="E3" s="2725" t="s">
        <v>3083</v>
      </c>
      <c r="F3" s="2726" t="s">
        <v>2820</v>
      </c>
      <c r="G3" s="912">
        <f>IF(F3="宗地容积率",'数据-汇总表'!I4,IF(F3="估价对象容积率",'数据-汇总表'!I6,'数据-汇总表'!I7))</f>
        <v>4.96</v>
      </c>
      <c r="H3" s="198" t="s">
        <v>2821</v>
      </c>
      <c r="I3" s="940">
        <v>1</v>
      </c>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53409</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73"/>
      <c r="B4" s="3274"/>
      <c r="C4" s="3274"/>
      <c r="D4" s="3275"/>
      <c r="E4" s="3275"/>
      <c r="F4" s="3275"/>
      <c r="G4" s="3275"/>
      <c r="H4" s="3275"/>
      <c r="I4" s="3275"/>
      <c r="J4" s="3276"/>
      <c r="K4" s="1366"/>
      <c r="L4" s="2724"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43613</v>
      </c>
      <c r="U4" s="1599"/>
      <c r="V4" s="1598">
        <f t="shared" ca="1" si="1"/>
        <v>0</v>
      </c>
      <c r="W4" s="1602"/>
      <c r="X4" s="1602"/>
      <c r="Y4" s="1602"/>
      <c r="Z4" s="1602"/>
      <c r="AA4" s="1602"/>
      <c r="AB4" s="1602"/>
      <c r="AC4" s="1603"/>
      <c r="AD4" s="1604"/>
      <c r="AE4" s="1604"/>
      <c r="AF4" s="1604"/>
      <c r="AG4" s="1604"/>
      <c r="AH4" s="1604"/>
      <c r="AI4" s="1604"/>
      <c r="AJ4" s="1605"/>
    </row>
    <row r="5" spans="1:36" s="2736" customFormat="1" ht="15.75" thickBot="1">
      <c r="A5" s="2727" t="s">
        <v>807</v>
      </c>
      <c r="B5" s="2728" t="s">
        <v>2825</v>
      </c>
      <c r="C5" s="913">
        <f>ROUND(IF(E2="商业",C6*C7+C16,(IF(E2="住宅",C6*C12+C16,C6+C16))),0)</f>
        <v>30859</v>
      </c>
      <c r="D5" s="1783">
        <f>ROUND(C6+C16,0)</f>
        <v>30859</v>
      </c>
      <c r="E5" s="1783"/>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36195</v>
      </c>
      <c r="U5" s="1599"/>
      <c r="V5" s="1598">
        <f t="shared" ca="1" si="1"/>
        <v>0</v>
      </c>
      <c r="W5" s="1602"/>
      <c r="X5" s="1602"/>
      <c r="Y5" s="1602"/>
      <c r="Z5" s="1602"/>
      <c r="AA5" s="1602"/>
      <c r="AB5" s="1602"/>
      <c r="AC5" s="2733"/>
      <c r="AD5" s="2734"/>
      <c r="AE5" s="2734"/>
      <c r="AF5" s="2734"/>
      <c r="AG5" s="2734"/>
      <c r="AH5" s="2734"/>
      <c r="AI5" s="2734"/>
      <c r="AJ5" s="2735"/>
    </row>
    <row r="6" spans="1:36" ht="15.75" thickBot="1">
      <c r="A6" s="2737" t="s">
        <v>2827</v>
      </c>
      <c r="B6" s="2738" t="s">
        <v>2828</v>
      </c>
      <c r="C6" s="914">
        <f>SUMIF(L1:L12,G2,M1:M12)</f>
        <v>30890</v>
      </c>
      <c r="D6" s="2739" t="s">
        <v>2829</v>
      </c>
      <c r="E6" s="2740"/>
      <c r="F6" s="2740"/>
      <c r="G6" s="2741"/>
      <c r="H6" s="2741"/>
      <c r="I6" s="2741"/>
      <c r="J6" s="2742"/>
      <c r="K6" s="1838"/>
      <c r="L6" s="2724"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31662</v>
      </c>
      <c r="U6" s="1599"/>
      <c r="V6" s="1598">
        <f t="shared" ca="1" si="1"/>
        <v>0</v>
      </c>
      <c r="W6" s="1602"/>
      <c r="X6" s="1602"/>
      <c r="Y6" s="1602"/>
      <c r="Z6" s="1602"/>
      <c r="AA6" s="1602"/>
      <c r="AB6" s="1602"/>
      <c r="AC6" s="2733"/>
      <c r="AD6" s="2734"/>
      <c r="AE6" s="2734"/>
      <c r="AF6" s="2734"/>
      <c r="AG6" s="2734"/>
      <c r="AH6" s="2734"/>
      <c r="AI6" s="2734"/>
      <c r="AJ6" s="2735"/>
    </row>
    <row r="7" spans="1:36" ht="24">
      <c r="A7" s="3257" t="str">
        <f>IF(E2="商业",IF(C8="不临58条商业街","",2),"")</f>
        <v/>
      </c>
      <c r="B7" s="2743" t="s">
        <v>2831</v>
      </c>
      <c r="C7" s="915">
        <f>IF(C8="不临58条商业街",1,ROUND(1+(1.6*E8+1.2*E9+0.8*E10+0.4*E11)*C9,4))</f>
        <v>1</v>
      </c>
      <c r="D7" s="2744" t="s">
        <v>2832</v>
      </c>
      <c r="E7" s="941"/>
      <c r="F7" s="2745"/>
      <c r="G7" s="2746"/>
      <c r="H7" s="2746"/>
      <c r="I7" s="2746"/>
      <c r="J7" s="2747"/>
      <c r="K7" s="1838"/>
      <c r="L7" s="2724"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28619</v>
      </c>
      <c r="U7" s="1599"/>
      <c r="V7" s="1598">
        <f t="shared" ca="1" si="1"/>
        <v>0</v>
      </c>
      <c r="W7" s="2966" t="s">
        <v>2834</v>
      </c>
      <c r="X7" s="1600" t="str">
        <f>G2</f>
        <v>一级</v>
      </c>
      <c r="Y7" s="1600" t="s">
        <v>2835</v>
      </c>
      <c r="Z7" s="1601">
        <f>G3</f>
        <v>4.96</v>
      </c>
      <c r="AA7" s="1602"/>
      <c r="AB7" s="1602"/>
      <c r="AC7" s="1603"/>
      <c r="AD7" s="1604"/>
      <c r="AE7" s="1604"/>
      <c r="AF7" s="1604"/>
      <c r="AG7" s="1604"/>
      <c r="AH7" s="1604"/>
      <c r="AI7" s="1604"/>
      <c r="AJ7" s="1605"/>
    </row>
    <row r="8" spans="1:36" ht="25.5">
      <c r="A8" s="3277"/>
      <c r="B8" s="198" t="s">
        <v>2836</v>
      </c>
      <c r="C8" s="2748" t="s">
        <v>3084</v>
      </c>
      <c r="D8" s="916" t="s">
        <v>139</v>
      </c>
      <c r="E8" s="917"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70" t="s">
        <v>2839</v>
      </c>
      <c r="X8" s="3271"/>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277"/>
      <c r="B9" s="198" t="s">
        <v>2852</v>
      </c>
      <c r="C9" s="918">
        <f>SUMIF(修正!C59:C119,C8,修正!E59:E119)</f>
        <v>0</v>
      </c>
      <c r="D9" s="200" t="s">
        <v>140</v>
      </c>
      <c r="E9" s="200"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72"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7"/>
      <c r="B10" s="198" t="s">
        <v>2857</v>
      </c>
      <c r="C10" s="200">
        <f>SUMIF(修正!C59:C119,C8,修正!F59:F119)</f>
        <v>0</v>
      </c>
      <c r="D10" s="200" t="s">
        <v>141</v>
      </c>
      <c r="E10" s="200"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7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7"/>
      <c r="B11" s="2752" t="s">
        <v>2860</v>
      </c>
      <c r="C11" s="919">
        <f>C10/4</f>
        <v>0</v>
      </c>
      <c r="D11" s="919" t="s">
        <v>142</v>
      </c>
      <c r="E11" s="919"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72" t="s">
        <v>2863</v>
      </c>
      <c r="X11" s="1610" t="s">
        <v>2835</v>
      </c>
      <c r="Y11" s="1611">
        <f>$G$3</f>
        <v>4.96</v>
      </c>
      <c r="Z11" s="1611">
        <f t="shared" ref="Z11:AJ11" si="3">$G$3</f>
        <v>4.96</v>
      </c>
      <c r="AA11" s="1611">
        <f t="shared" si="3"/>
        <v>4.96</v>
      </c>
      <c r="AB11" s="1611">
        <f t="shared" si="3"/>
        <v>4.96</v>
      </c>
      <c r="AC11" s="1611">
        <f t="shared" si="3"/>
        <v>4.96</v>
      </c>
      <c r="AD11" s="1611">
        <f t="shared" si="3"/>
        <v>4.96</v>
      </c>
      <c r="AE11" s="1611">
        <f t="shared" si="3"/>
        <v>4.96</v>
      </c>
      <c r="AF11" s="1611">
        <f t="shared" si="3"/>
        <v>4.96</v>
      </c>
      <c r="AG11" s="1611">
        <f t="shared" si="3"/>
        <v>4.96</v>
      </c>
      <c r="AH11" s="1611">
        <f t="shared" si="3"/>
        <v>4.96</v>
      </c>
      <c r="AI11" s="1611">
        <f t="shared" si="3"/>
        <v>4.96</v>
      </c>
      <c r="AJ11" s="1611">
        <f t="shared" si="3"/>
        <v>4.96</v>
      </c>
    </row>
    <row r="12" spans="1:36" ht="25.5" thickBot="1">
      <c r="A12" s="3257" t="s">
        <v>2865</v>
      </c>
      <c r="B12" s="2756" t="s">
        <v>2866</v>
      </c>
      <c r="C12" s="915">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72"/>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8"/>
      <c r="B13" s="2762" t="s">
        <v>2870</v>
      </c>
      <c r="C13" s="2763" t="s">
        <v>2871</v>
      </c>
      <c r="D13" s="2959" t="s">
        <v>2872</v>
      </c>
      <c r="E13" s="2959" t="s">
        <v>2873</v>
      </c>
      <c r="F13" s="30" t="s">
        <v>2874</v>
      </c>
      <c r="G13" s="2764" t="s">
        <v>2875</v>
      </c>
      <c r="H13" s="2764" t="s">
        <v>2875</v>
      </c>
      <c r="I13" s="2764" t="s">
        <v>2875</v>
      </c>
      <c r="J13" s="2765" t="s">
        <v>2875</v>
      </c>
      <c r="K13" s="1366"/>
      <c r="L13" s="1366"/>
      <c r="M13" s="1366"/>
      <c r="N13" s="1366"/>
      <c r="O13" s="1366"/>
      <c r="P13" s="1366"/>
      <c r="Q13" s="1366"/>
      <c r="R13" s="1598">
        <v>12</v>
      </c>
      <c r="S13" s="1599"/>
      <c r="T13" s="1598">
        <f t="shared" ca="1" si="0"/>
        <v>0</v>
      </c>
      <c r="U13" s="1599"/>
      <c r="V13" s="1598">
        <f t="shared" ca="1" si="1"/>
        <v>0</v>
      </c>
      <c r="W13" s="3272"/>
      <c r="X13" s="1612"/>
      <c r="Y13" s="1609">
        <f>(-0.163*(Y12^2)-0.59*Y12+7617)*(10^(-4))/Y11</f>
        <v>0.15356854838709677</v>
      </c>
      <c r="Z13" s="1609">
        <f t="shared" ref="Z13:AJ13" si="5">(-0.163*(Z12^2)-0.59*Z12+7617)*(10^(-4))/Z11</f>
        <v>0.15356854838709677</v>
      </c>
      <c r="AA13" s="1609">
        <f t="shared" si="5"/>
        <v>0.15356854838709677</v>
      </c>
      <c r="AB13" s="1609">
        <f t="shared" si="5"/>
        <v>0.15356854838709677</v>
      </c>
      <c r="AC13" s="1609">
        <f t="shared" si="5"/>
        <v>0.15356854838709677</v>
      </c>
      <c r="AD13" s="1609">
        <f t="shared" si="5"/>
        <v>0.15356854838709677</v>
      </c>
      <c r="AE13" s="1609">
        <f t="shared" si="5"/>
        <v>0.15356854838709677</v>
      </c>
      <c r="AF13" s="1609">
        <f t="shared" si="5"/>
        <v>0.15356854838709677</v>
      </c>
      <c r="AG13" s="1609">
        <f t="shared" si="5"/>
        <v>0.15356854838709677</v>
      </c>
      <c r="AH13" s="1609">
        <f t="shared" si="5"/>
        <v>0.15356854838709677</v>
      </c>
      <c r="AI13" s="1609">
        <f t="shared" si="5"/>
        <v>0.15356854838709677</v>
      </c>
      <c r="AJ13" s="1609">
        <f t="shared" si="5"/>
        <v>0.15356854838709677</v>
      </c>
    </row>
    <row r="14" spans="1:36" ht="15">
      <c r="A14" s="3278"/>
      <c r="B14" s="2766"/>
      <c r="C14" s="2767"/>
      <c r="D14" s="2768"/>
      <c r="E14" s="2768"/>
      <c r="F14" s="2769"/>
      <c r="G14" s="2770" t="s">
        <v>2876</v>
      </c>
      <c r="H14" s="2771"/>
      <c r="I14" s="2772"/>
      <c r="J14" s="2773"/>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9"/>
      <c r="B15" s="2774" t="s">
        <v>2877</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57" t="s">
        <v>2882</v>
      </c>
      <c r="B16" s="2743" t="s">
        <v>2883</v>
      </c>
      <c r="C16" s="2955">
        <f>ROUND(IF(F17="与级别开发程度一致",0,(G17-E17)/C17),0)</f>
        <v>-31</v>
      </c>
      <c r="D16" s="3268" t="s">
        <v>2887</v>
      </c>
      <c r="E16" s="3269"/>
      <c r="F16" s="3268" t="s">
        <v>2884</v>
      </c>
      <c r="G16" s="3269"/>
      <c r="H16" s="2777" t="s">
        <v>3072</v>
      </c>
      <c r="I16" s="2777" t="s">
        <v>3073</v>
      </c>
      <c r="J16" s="2934" t="s">
        <v>3074</v>
      </c>
      <c r="K16" s="2777" t="s">
        <v>3075</v>
      </c>
      <c r="L16" s="2777" t="s">
        <v>3076</v>
      </c>
      <c r="M16" s="2777" t="s">
        <v>3077</v>
      </c>
      <c r="N16" s="2777"/>
      <c r="O16" s="2778"/>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8"/>
      <c r="B17" s="2941" t="s">
        <v>2886</v>
      </c>
      <c r="C17" s="2942">
        <f>SUMPRODUCT((修正!A2:A5=E2)*(修正!B1:M1=G2)*(修正!B2:M5))</f>
        <v>3.5</v>
      </c>
      <c r="D17" s="229" t="str">
        <f>IF(OR(G2="八级",G2="九级",G2="十级",G2="十一级",G2="十二级"),"五通一平","七通一平")</f>
        <v>七通一平</v>
      </c>
      <c r="E17" s="2931">
        <f>SUMPRODUCT((修正!B1:M1=G2)*(修正!B15:M15))</f>
        <v>375</v>
      </c>
      <c r="F17" s="2932" t="s">
        <v>3078</v>
      </c>
      <c r="G17" s="2933">
        <f>SUM(H17:O17)</f>
        <v>265</v>
      </c>
      <c r="H17" s="2942">
        <f>SUMPRODUCT((七通一平=H16)*(修正!B1:M1=G2)*(修正!B6:M14))</f>
        <v>80</v>
      </c>
      <c r="I17" s="2942">
        <f>SUMPRODUCT((七通一平=I16)*(修正!B1:M1=G2)*(修正!B6:M14))</f>
        <v>70</v>
      </c>
      <c r="J17" s="2943">
        <f>SUMPRODUCT((七通一平=J16)*(修正!B1:M1=G2)*(修正!B6:M14))</f>
        <v>20</v>
      </c>
      <c r="K17" s="2942">
        <f>SUMPRODUCT((七通一平=K16)*(修正!B1:M1=G2)*(修正!B6:M14))</f>
        <v>30</v>
      </c>
      <c r="L17" s="2942">
        <f>SUMPRODUCT((七通一平=L16)*(修正!B1:M1=G2)*(修正!B6:M14))</f>
        <v>45</v>
      </c>
      <c r="M17" s="2942">
        <f>SUMPRODUCT((七通一平=M16)*(修正!B1:M1=G2)*(修正!B6:M14))</f>
        <v>20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81"/>
      <c r="AF17" s="2781"/>
      <c r="AG17" s="2718"/>
      <c r="AH17" s="2718"/>
      <c r="AI17" s="2718"/>
      <c r="AJ17" s="2718"/>
    </row>
    <row r="18" spans="1:37" s="2736" customFormat="1" ht="15.75" thickBot="1">
      <c r="A18" s="2935" t="s">
        <v>808</v>
      </c>
      <c r="B18" s="2936" t="s">
        <v>2889</v>
      </c>
      <c r="C18" s="2937">
        <f>SUMIF(修正!C18:C39,E3,修正!E18:E39)</f>
        <v>1</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6"/>
      <c r="AH18" s="2786"/>
      <c r="AI18" s="2786"/>
    </row>
    <row r="19" spans="1:37" s="2736" customFormat="1" ht="29.25" thickBot="1">
      <c r="A19" s="2782" t="s">
        <v>809</v>
      </c>
      <c r="B19" s="2783" t="s">
        <v>2890</v>
      </c>
      <c r="C19" s="920">
        <f>ROUND(IF(H19="按公示增长率计算",SUMPRODUCT((地价!A3:A28=YEAR(G19)&amp;"-"&amp;ROUNDUP(MONTH(G19)/3,0))*(地价!X2:AB2=E2)*(地价!X3:AB28)),IF(H19="地价指数",M20/M19,(1+I19)^O19)),4)</f>
        <v>1.3557999999999999</v>
      </c>
      <c r="D19" s="2787" t="s">
        <v>2891</v>
      </c>
      <c r="E19" s="921">
        <v>41640</v>
      </c>
      <c r="F19" s="2787" t="s">
        <v>2892</v>
      </c>
      <c r="G19" s="922">
        <f>'数据-取费表'!B2</f>
        <v>43754</v>
      </c>
      <c r="H19" s="2788" t="s">
        <v>3079</v>
      </c>
      <c r="I19" s="923" t="str">
        <f>IF(H19="季度增幅（自定义）",SUMIF(N21:N24,E2,O21:O24),"")</f>
        <v/>
      </c>
      <c r="J19" s="2785"/>
      <c r="K19" s="1373"/>
      <c r="L19" s="2789" t="s">
        <v>2893</v>
      </c>
      <c r="M19" s="1730">
        <f>ROUND(SUMIF(地价!B2:F2,E2,地价!B28:F28),0)</f>
        <v>258</v>
      </c>
      <c r="N19" s="2790" t="s">
        <v>2894</v>
      </c>
      <c r="O19" s="924">
        <f>ROUNDDOWN(DATEDIF(E19,G19,"M")/3,0)</f>
        <v>23</v>
      </c>
      <c r="P19" s="1370"/>
      <c r="Q19" s="1372"/>
      <c r="R19" s="1372"/>
      <c r="S19" s="1372"/>
      <c r="T19" s="1367"/>
      <c r="U19" s="1367"/>
      <c r="V19" s="1367"/>
      <c r="W19" s="1366"/>
      <c r="X19" s="1366"/>
      <c r="Y19" s="1366"/>
      <c r="Z19" s="1373"/>
      <c r="AA19" s="1374"/>
      <c r="AB19" s="1374"/>
      <c r="AC19" s="1374"/>
      <c r="AD19" s="1374"/>
      <c r="AE19" s="1374"/>
      <c r="AF19" s="2791"/>
      <c r="AG19" s="2792"/>
      <c r="AH19" s="2786"/>
      <c r="AI19" s="2793"/>
      <c r="AJ19" s="2793"/>
      <c r="AK19" s="2793"/>
    </row>
    <row r="20" spans="1:37" s="2736" customFormat="1" ht="27.75" thickBot="1">
      <c r="A20" s="2794" t="s">
        <v>810</v>
      </c>
      <c r="B20" s="2795" t="s">
        <v>2895</v>
      </c>
      <c r="C20" s="925">
        <f ca="1">ROUND(POWER(1+G20,J20-I20)*(POWER(1+G20,I20)-1)/(POWER(1+G20,J20)-1),4)</f>
        <v>0.85319999999999996</v>
      </c>
      <c r="D20" s="2796" t="s">
        <v>2896</v>
      </c>
      <c r="E20" s="1764">
        <f ca="1">存贷款利率!D4/100</f>
        <v>4.3499999999999997E-2</v>
      </c>
      <c r="F20" s="2796" t="s">
        <v>2888</v>
      </c>
      <c r="G20" s="930">
        <f ca="1">SUMIF(M26:P26,E2,M28:P28)</f>
        <v>5.3999999999999999E-2</v>
      </c>
      <c r="H20" s="2796" t="s">
        <v>2897</v>
      </c>
      <c r="I20" s="2970">
        <f>SUMIF('数据-取费表'!C6:C15,E2,'数据-取费表'!F6:F15)/COUNTIF('数据-取费表'!C6:C15,E2)</f>
        <v>26.29</v>
      </c>
      <c r="J20" s="932">
        <f>IF(E2="住宅",70,IF(E2="商业",40,50))</f>
        <v>40</v>
      </c>
      <c r="K20" s="1373"/>
      <c r="L20" s="2797" t="s">
        <v>2898</v>
      </c>
      <c r="M20" s="1731">
        <f>ROUND(SUMPRODUCT((地价!A4:A28=YEAR(G19)&amp;"-"&amp;ROUNDUP(MONTH(G19)/3,0))*(地价!B2:F2=E2)*(地价!B4:F28)),0)</f>
        <v>350</v>
      </c>
      <c r="N20" s="2798" t="s">
        <v>2899</v>
      </c>
      <c r="O20" s="2799" t="s">
        <v>2900</v>
      </c>
      <c r="P20" s="2800" t="s">
        <v>2901</v>
      </c>
      <c r="R20" s="1372"/>
      <c r="S20" s="1372"/>
      <c r="T20" s="1367"/>
      <c r="U20" s="1367"/>
      <c r="V20" s="1367"/>
      <c r="W20" s="1366"/>
      <c r="X20" s="1366"/>
      <c r="Y20" s="1366"/>
      <c r="Z20" s="1373"/>
      <c r="AA20" s="1374"/>
      <c r="AB20" s="1374"/>
      <c r="AC20" s="1374"/>
      <c r="AD20" s="1374"/>
      <c r="AE20" s="1374"/>
      <c r="AF20" s="1374"/>
    </row>
    <row r="21" spans="1:37" s="2736" customFormat="1" ht="15">
      <c r="A21" s="2801" t="s">
        <v>811</v>
      </c>
      <c r="B21" s="2802" t="s">
        <v>3085</v>
      </c>
      <c r="C21" s="2965">
        <f>IF(B21="容积率修正",IF(G3&lt;=10,D22,J22),C23)</f>
        <v>1.9361999999999999</v>
      </c>
      <c r="D21" s="2803"/>
      <c r="E21" s="2803"/>
      <c r="F21" s="2803"/>
      <c r="G21" s="2803"/>
      <c r="H21" s="2803"/>
      <c r="I21" s="2803"/>
      <c r="J21" s="2804"/>
      <c r="K21" s="1373"/>
      <c r="N21" s="2805" t="s">
        <v>2902</v>
      </c>
      <c r="O21" s="1557"/>
      <c r="P21" s="1558">
        <f>SUMPRODUCT((地价!A3:A28=YEAR(G19)&amp;"-"&amp;ROUNDUP(MONTH(G19)/3,0))*(地价!AD2:AH2=N21)*(地价!AD3:AH28))</f>
        <v>1.38E-2</v>
      </c>
      <c r="R21" s="1372"/>
      <c r="S21" s="1372"/>
      <c r="T21" s="1367"/>
      <c r="U21" s="1367"/>
      <c r="V21" s="1367"/>
      <c r="W21" s="1366"/>
      <c r="X21" s="1366"/>
      <c r="Y21" s="1366"/>
      <c r="Z21" s="1373"/>
      <c r="AA21" s="1374"/>
      <c r="AB21" s="1374"/>
      <c r="AC21" s="1374"/>
      <c r="AD21" s="1374"/>
      <c r="AE21" s="1374"/>
      <c r="AF21" s="1374"/>
    </row>
    <row r="22" spans="1:37" s="2736" customFormat="1" ht="14.25">
      <c r="A22" s="2662" t="s">
        <v>2903</v>
      </c>
      <c r="B22" s="2806" t="s">
        <v>2904</v>
      </c>
      <c r="C22" s="2964" t="s">
        <v>2905</v>
      </c>
      <c r="D22" s="2964">
        <f>IF(E22=G22,F22,IF(G3&lt;=10,ROUND(F22+(H22-F22)*(G3-E22)/(G22-E22),4),"——"))</f>
        <v>0.92879999999999996</v>
      </c>
      <c r="E22" s="912">
        <f>ROUNDDOWN(G3,1)</f>
        <v>4.9000000000000004</v>
      </c>
      <c r="F22" s="29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912">
        <f>ROUNDUP(G3,1)</f>
        <v>5</v>
      </c>
      <c r="H22" s="29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2964" t="s">
        <v>155</v>
      </c>
      <c r="J22" s="934" t="str">
        <f>IF(G3&gt;10,D113,"——")</f>
        <v>——</v>
      </c>
      <c r="K22" s="1373"/>
      <c r="N22" s="2805" t="s">
        <v>2906</v>
      </c>
      <c r="O22" s="1557"/>
      <c r="P22" s="1558">
        <f>SUMPRODUCT((地价!A3:A28=YEAR(G19)&amp;"-"&amp;ROUNDUP(MONTH(G19)/3,0))*(地价!AD2:AH2=N22)*(地价!AD3:AH28))</f>
        <v>1.38E-2</v>
      </c>
      <c r="R22" s="1372"/>
      <c r="S22" s="1372"/>
      <c r="T22" s="1367"/>
      <c r="U22" s="1367"/>
      <c r="V22" s="1367"/>
      <c r="W22" s="1366"/>
      <c r="X22" s="1366"/>
      <c r="Y22" s="1366"/>
      <c r="Z22" s="1373"/>
      <c r="AA22" s="1374"/>
      <c r="AB22" s="1374"/>
      <c r="AC22" s="1374"/>
      <c r="AD22" s="1374"/>
      <c r="AE22" s="1374"/>
      <c r="AF22" s="1374"/>
    </row>
    <row r="23" spans="1:37" ht="27.75" thickBot="1">
      <c r="A23" s="2662" t="s">
        <v>2907</v>
      </c>
      <c r="B23" s="2807" t="s">
        <v>2908</v>
      </c>
      <c r="C23" s="1009">
        <f>ROUND(IF(G3&gt;1,IF(I3&lt;7,SUMPRODUCT((B93:B98=I3)*(C92:N92=G2)*(C93:N98)),SUMIF(C92:N92,G2,C100:N100)),IF(I3&lt;7,SUMPRODUCT((B102:B107=I3)*(C92:N92=G2)*(C102:N107)),SUMIF(C92:N92,G2,C109:N109))),4)</f>
        <v>1.9361999999999999</v>
      </c>
      <c r="D23" s="2771"/>
      <c r="E23" s="2771"/>
      <c r="F23" s="2808"/>
      <c r="G23" s="2809"/>
      <c r="H23" s="2810"/>
      <c r="I23" s="2811"/>
      <c r="J23" s="2812"/>
      <c r="K23" s="1366"/>
      <c r="N23" s="2805" t="s">
        <v>2909</v>
      </c>
      <c r="O23" s="1557"/>
      <c r="P23" s="1558">
        <f>SUMPRODUCT((地价!A3:A28=YEAR(G19)&amp;"-"&amp;ROUNDUP(MONTH(G19)/3,0))*(地价!AD2:AH2=N23)*(地价!AD3:AH28))</f>
        <v>2.1399999999999999E-2</v>
      </c>
      <c r="R23" s="1372"/>
      <c r="S23" s="1372"/>
      <c r="T23" s="1367"/>
      <c r="U23" s="1367"/>
      <c r="V23" s="1367"/>
      <c r="W23" s="1366"/>
      <c r="X23" s="1366"/>
      <c r="Y23" s="1366"/>
      <c r="Z23" s="1373"/>
      <c r="AA23" s="1374"/>
      <c r="AB23" s="1374"/>
      <c r="AC23" s="1374"/>
      <c r="AD23" s="1374"/>
      <c r="AK23" s="2786"/>
    </row>
    <row r="24" spans="1:37" s="2736" customFormat="1" ht="15.75" thickBot="1">
      <c r="A24" s="2794" t="s">
        <v>812</v>
      </c>
      <c r="B24" s="2783" t="s">
        <v>2910</v>
      </c>
      <c r="C24" s="920">
        <f>SUMIF(A45:A88,E2,B45:B88)</f>
        <v>1.0538000000000001</v>
      </c>
      <c r="D24" s="2784"/>
      <c r="E24" s="2813"/>
      <c r="F24" s="2813"/>
      <c r="G24" s="2813"/>
      <c r="H24" s="2813"/>
      <c r="I24" s="2813"/>
      <c r="J24" s="2814"/>
      <c r="K24" s="1373"/>
      <c r="N24" s="2815" t="s">
        <v>2911</v>
      </c>
      <c r="O24" s="1559"/>
      <c r="P24" s="1560">
        <f>SUMPRODUCT((地价!A3:A28=YEAR(G19)&amp;"-"&amp;ROUNDUP(MONTH(G19)/3,0))*(地价!AD2:AH2=N24)*(地价!AD3:AH28))</f>
        <v>1.34E-2</v>
      </c>
      <c r="R24" s="1372"/>
      <c r="S24" s="1372"/>
      <c r="T24" s="1367"/>
      <c r="U24" s="1367"/>
      <c r="V24" s="1367"/>
      <c r="W24" s="1366"/>
      <c r="X24" s="1366"/>
      <c r="Y24" s="1366"/>
      <c r="Z24" s="1373"/>
      <c r="AA24" s="1374"/>
      <c r="AB24" s="1374"/>
      <c r="AC24" s="1374"/>
      <c r="AD24" s="1374"/>
      <c r="AE24" s="1374"/>
      <c r="AF24" s="1374"/>
    </row>
    <row r="25" spans="1:37" ht="15.75" thickBot="1">
      <c r="A25" s="2794" t="s">
        <v>813</v>
      </c>
      <c r="B25" s="2816" t="s">
        <v>2912</v>
      </c>
      <c r="C25" s="926"/>
      <c r="D25" s="2746"/>
      <c r="E25" s="2746"/>
      <c r="F25" s="2817"/>
      <c r="G25" s="2746"/>
      <c r="H25" s="2746"/>
      <c r="I25" s="2746"/>
      <c r="J25" s="2747"/>
      <c r="K25" s="1366"/>
      <c r="N25" s="2818" t="s">
        <v>2913</v>
      </c>
      <c r="O25" s="1561"/>
      <c r="P25" s="1560">
        <f>SUMPRODUCT((地价!A3:A28=YEAR(G19)&amp;"-"&amp;ROUNDUP(MONTH(G19)/3,0))*(地价!AD2:AH2=N25)*(地价!AD3:AH28))</f>
        <v>1.9599999999999999E-2</v>
      </c>
      <c r="R25" s="1372"/>
      <c r="S25" s="1372"/>
      <c r="T25" s="1367"/>
      <c r="U25" s="1367"/>
      <c r="V25" s="1367"/>
      <c r="W25" s="1366"/>
      <c r="X25" s="1366"/>
      <c r="Y25" s="1366"/>
      <c r="Z25" s="1373"/>
      <c r="AA25" s="1374"/>
      <c r="AB25" s="1374"/>
      <c r="AC25" s="1374"/>
      <c r="AD25" s="1374"/>
    </row>
    <row r="26" spans="1:37" ht="15">
      <c r="A26" s="2819"/>
      <c r="B26" s="2806" t="s">
        <v>2914</v>
      </c>
      <c r="C26" s="206">
        <f ca="1">E29+SUM(E33:E39)</f>
        <v>2591</v>
      </c>
      <c r="D26" s="2820"/>
      <c r="E26" s="2771"/>
      <c r="F26" s="2821"/>
      <c r="G26" s="2771"/>
      <c r="H26" s="2771"/>
      <c r="I26" s="2771"/>
      <c r="J26" s="2822"/>
      <c r="K26" s="1366"/>
      <c r="L26" s="2775" t="s">
        <v>2813</v>
      </c>
      <c r="M26" s="916" t="s">
        <v>2878</v>
      </c>
      <c r="N26" s="916" t="s">
        <v>2879</v>
      </c>
      <c r="O26" s="916" t="s">
        <v>2880</v>
      </c>
      <c r="P26" s="2776" t="s">
        <v>2881</v>
      </c>
      <c r="R26" s="1372"/>
      <c r="S26" s="1372"/>
      <c r="T26" s="1367"/>
      <c r="U26" s="1367"/>
      <c r="V26" s="1367"/>
      <c r="W26" s="1366"/>
      <c r="X26" s="1366"/>
      <c r="Y26" s="1366"/>
      <c r="Z26" s="1373"/>
      <c r="AA26" s="1374"/>
      <c r="AB26" s="1374"/>
      <c r="AC26" s="1374"/>
      <c r="AD26" s="1374"/>
    </row>
    <row r="27" spans="1:37" ht="15.75" thickBot="1">
      <c r="A27" s="2819"/>
      <c r="B27" s="2823" t="s">
        <v>2915</v>
      </c>
      <c r="C27" s="927">
        <f ca="1">E30+SUM(I33:I39)</f>
        <v>0</v>
      </c>
      <c r="D27" s="2824"/>
      <c r="E27" s="2825"/>
      <c r="F27" s="2826"/>
      <c r="G27" s="2825"/>
      <c r="H27" s="2825"/>
      <c r="I27" s="2825"/>
      <c r="J27" s="2827"/>
      <c r="K27" s="1366"/>
      <c r="L27" s="2779" t="s">
        <v>2885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8"/>
      <c r="B28" s="2829" t="s">
        <v>2916</v>
      </c>
      <c r="C28" s="2830" t="s">
        <v>2917</v>
      </c>
      <c r="D28" s="2830" t="s">
        <v>2918</v>
      </c>
      <c r="E28" s="2831" t="s">
        <v>2919</v>
      </c>
      <c r="F28" s="2832"/>
      <c r="G28" s="2759"/>
      <c r="H28" s="2759"/>
      <c r="I28" s="2759"/>
      <c r="J28" s="2760"/>
      <c r="K28" s="1366"/>
      <c r="L28" s="2780" t="s">
        <v>2888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3"/>
      <c r="B29" s="2834" t="s">
        <v>2920</v>
      </c>
      <c r="C29" s="206">
        <f ca="1">ROUND(C5*C18*C19*C20*C21*C24,0)</f>
        <v>72834</v>
      </c>
      <c r="D29" s="2835">
        <f>'数据-汇总表'!F19</f>
        <v>355.78</v>
      </c>
      <c r="E29" s="2969">
        <f ca="1">ROUND(C29*D29/10000,0)</f>
        <v>2591</v>
      </c>
      <c r="F29" s="2836" t="s">
        <v>2921</v>
      </c>
      <c r="G29" s="2837"/>
      <c r="H29" s="2837"/>
      <c r="I29" s="2837"/>
      <c r="J29" s="2838"/>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8"/>
      <c r="AH29" s="2718"/>
      <c r="AI29" s="2718"/>
      <c r="AJ29" s="2718"/>
    </row>
    <row r="30" spans="1:37" ht="25.5" thickBot="1">
      <c r="A30" s="2839"/>
      <c r="B30" s="2840" t="s">
        <v>2922</v>
      </c>
      <c r="C30" s="229">
        <f ca="1">ROUND(IF(E2="工业",C29*M39,C29*M38),0)</f>
        <v>18209</v>
      </c>
      <c r="D30" s="2841"/>
      <c r="E30" s="2969">
        <f ca="1">ROUND(C30*D30/10000,0)</f>
        <v>0</v>
      </c>
      <c r="F30" s="2842" t="s">
        <v>2923</v>
      </c>
      <c r="G30" s="2843"/>
      <c r="H30" s="2843"/>
      <c r="I30" s="2843"/>
      <c r="J30" s="2844"/>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8"/>
      <c r="AH30" s="2718"/>
      <c r="AI30" s="2718"/>
      <c r="AJ30" s="2718"/>
    </row>
    <row r="31" spans="1:37" ht="14.25">
      <c r="A31" s="2845"/>
      <c r="B31" s="2846" t="s">
        <v>2924</v>
      </c>
      <c r="C31" s="2847" t="s">
        <v>2925</v>
      </c>
      <c r="D31" s="2759"/>
      <c r="E31" s="2847"/>
      <c r="F31" s="2847"/>
      <c r="G31" s="2757" t="s">
        <v>2926</v>
      </c>
      <c r="H31" s="2759"/>
      <c r="I31" s="2848"/>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8"/>
      <c r="AH31" s="2718"/>
      <c r="AI31" s="2718"/>
      <c r="AJ31" s="2718"/>
    </row>
    <row r="32" spans="1:37" ht="24">
      <c r="A32" s="2833"/>
      <c r="B32" s="2849"/>
      <c r="C32" s="501" t="s">
        <v>2917</v>
      </c>
      <c r="D32" s="498" t="s">
        <v>2918</v>
      </c>
      <c r="E32" s="498" t="s">
        <v>2919</v>
      </c>
      <c r="F32" s="388" t="s">
        <v>2927</v>
      </c>
      <c r="G32" s="2850" t="s">
        <v>2917</v>
      </c>
      <c r="H32" s="2850" t="s">
        <v>2918</v>
      </c>
      <c r="I32" s="2850"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8"/>
      <c r="AH32" s="2718"/>
      <c r="AI32" s="2718"/>
      <c r="AJ32" s="2718"/>
    </row>
    <row r="33" spans="1:37" ht="36" customHeight="1">
      <c r="A33" s="3265" t="s">
        <v>2928</v>
      </c>
      <c r="B33" s="2851" t="s">
        <v>2929</v>
      </c>
      <c r="C33" s="206">
        <f ca="1">ROUND(D5*C19*C20*C24*F33,0)</f>
        <v>30094</v>
      </c>
      <c r="D33" s="2835"/>
      <c r="E33" s="200">
        <f ca="1">ROUND(C33*D33/10000,0)</f>
        <v>0</v>
      </c>
      <c r="F33" s="200">
        <f>SUMIF(修正!A45:A56,G2,修正!B45:B56)</f>
        <v>0.8</v>
      </c>
      <c r="G33" s="200">
        <f t="shared" ref="G33" ca="1" si="6">ROUND(IF(E2="工业",C33*$M$39,C33*$M$38),0)</f>
        <v>7524</v>
      </c>
      <c r="H33" s="200">
        <f>D33</f>
        <v>0</v>
      </c>
      <c r="I33" s="200">
        <f ca="1">ROUND(G33*H33/10000,0)</f>
        <v>0</v>
      </c>
      <c r="J33" s="2852"/>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6"/>
      <c r="B34" s="2763" t="s">
        <v>2930</v>
      </c>
      <c r="C34" s="206">
        <f ca="1">ROUND(D5*C19*C20*C24*F34,0)</f>
        <v>18809</v>
      </c>
      <c r="D34" s="2835"/>
      <c r="E34" s="200">
        <f t="shared" ref="E34:E39" ca="1" si="7">ROUND(C34*D34/10000,0)</f>
        <v>0</v>
      </c>
      <c r="F34" s="200">
        <f>SUMIF(修正!A45:A56,G2,修正!C45:C56)</f>
        <v>0.5</v>
      </c>
      <c r="G34" s="200">
        <f ca="1">ROUND(IF(E2="工业",C34*$M$39,C34*$M$38),0)</f>
        <v>4702</v>
      </c>
      <c r="H34" s="200">
        <f t="shared" ref="H34:H39" si="8">D34</f>
        <v>0</v>
      </c>
      <c r="I34" s="200">
        <f t="shared" ref="I34:I39" ca="1" si="9">ROUND(G34*H34/10000,0)</f>
        <v>0</v>
      </c>
      <c r="J34" s="2852"/>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6"/>
      <c r="B35" s="2763" t="s">
        <v>2931</v>
      </c>
      <c r="C35" s="206">
        <f ca="1">ROUND(D5*C19*C20*C24*F35,0)</f>
        <v>13542</v>
      </c>
      <c r="D35" s="2835"/>
      <c r="E35" s="200">
        <f t="shared" ca="1" si="7"/>
        <v>0</v>
      </c>
      <c r="F35" s="200">
        <f>SUMIF(修正!A45:A56,G2,修正!D45:D56)</f>
        <v>0.36</v>
      </c>
      <c r="G35" s="200">
        <f ca="1">ROUND(IF(E2="工业",C35*$M$39,C35*$M$38),0)</f>
        <v>3386</v>
      </c>
      <c r="H35" s="200">
        <f t="shared" si="8"/>
        <v>0</v>
      </c>
      <c r="I35" s="200">
        <f t="shared" ca="1" si="9"/>
        <v>0</v>
      </c>
      <c r="J35" s="2852"/>
      <c r="K35" s="1366"/>
      <c r="L35" s="1366"/>
      <c r="M35" s="1366"/>
      <c r="N35" s="1366"/>
      <c r="O35" s="1366"/>
      <c r="P35" s="1366"/>
      <c r="Q35" s="1366"/>
      <c r="R35" s="1366"/>
      <c r="S35" s="1366"/>
      <c r="T35" s="1366"/>
      <c r="U35" s="1366"/>
      <c r="V35" s="1366"/>
      <c r="W35" s="1366"/>
      <c r="X35" s="1366"/>
      <c r="Y35" s="1366"/>
      <c r="Z35" s="1367"/>
    </row>
    <row r="36" spans="1:37" ht="13.5" thickBot="1">
      <c r="A36" s="3267"/>
      <c r="B36" s="2763" t="s">
        <v>2932</v>
      </c>
      <c r="C36" s="206">
        <f ca="1">ROUND(D5*C19*C20*C24*F36,0)</f>
        <v>11285</v>
      </c>
      <c r="D36" s="2835"/>
      <c r="E36" s="200">
        <f t="shared" ca="1" si="7"/>
        <v>0</v>
      </c>
      <c r="F36" s="200">
        <f>SUMIF(修正!A45:A56,G2,修正!E45:E56)</f>
        <v>0.3</v>
      </c>
      <c r="G36" s="200">
        <f ca="1">ROUND(IF(E2="工业",C36*$M$39,C36*$M$38),0)</f>
        <v>2821</v>
      </c>
      <c r="H36" s="200">
        <f t="shared" si="8"/>
        <v>0</v>
      </c>
      <c r="I36" s="200">
        <f t="shared" ca="1" si="9"/>
        <v>0</v>
      </c>
      <c r="J36" s="2852"/>
      <c r="K36" s="1366"/>
      <c r="L36" s="2717"/>
      <c r="M36" s="2717"/>
      <c r="N36" s="1366"/>
      <c r="O36" s="1366"/>
      <c r="P36" s="1366"/>
      <c r="Q36" s="1366"/>
      <c r="R36" s="1366"/>
      <c r="S36" s="1366"/>
      <c r="T36" s="1366"/>
      <c r="U36" s="1366"/>
      <c r="V36" s="1366"/>
      <c r="W36" s="1366"/>
      <c r="X36" s="1366"/>
      <c r="Y36" s="1366"/>
      <c r="Z36" s="1367"/>
    </row>
    <row r="37" spans="1:37">
      <c r="A37" s="2853"/>
      <c r="B37" s="2763" t="s">
        <v>2933</v>
      </c>
      <c r="C37" s="200">
        <f ca="1">ROUND(D5*C19*C20*C24*F37,0)</f>
        <v>11285</v>
      </c>
      <c r="D37" s="2835"/>
      <c r="E37" s="200">
        <f t="shared" ca="1" si="7"/>
        <v>0</v>
      </c>
      <c r="F37" s="206">
        <f>SUMIF(修正!A45:A56,G2,修正!F45:F56)</f>
        <v>0.3</v>
      </c>
      <c r="G37" s="200">
        <f ca="1">ROUND(IF(E2="工业",C37*$M$39,C37*$M$38),0)</f>
        <v>2821</v>
      </c>
      <c r="H37" s="200">
        <f t="shared" si="8"/>
        <v>0</v>
      </c>
      <c r="I37" s="200">
        <f t="shared" ca="1" si="9"/>
        <v>0</v>
      </c>
      <c r="J37" s="2852"/>
      <c r="K37" s="1366"/>
      <c r="L37" s="2854" t="s">
        <v>2934</v>
      </c>
      <c r="M37" s="2855"/>
      <c r="N37" s="1366"/>
      <c r="O37" s="1366"/>
      <c r="P37" s="1366"/>
      <c r="Q37" s="1366"/>
      <c r="R37" s="1366"/>
      <c r="S37" s="1366"/>
      <c r="T37" s="1366"/>
      <c r="U37" s="1366"/>
      <c r="V37" s="1366"/>
      <c r="W37" s="1366"/>
      <c r="X37" s="1366"/>
      <c r="Y37" s="1366"/>
      <c r="Z37" s="1367"/>
    </row>
    <row r="38" spans="1:37">
      <c r="A38" s="2853"/>
      <c r="B38" s="2763" t="s">
        <v>2935</v>
      </c>
      <c r="C38" s="200">
        <f ca="1">ROUND(D5*C19*C41*C24*F38,0)</f>
        <v>12141</v>
      </c>
      <c r="D38" s="2835"/>
      <c r="E38" s="200">
        <f t="shared" ca="1" si="7"/>
        <v>0</v>
      </c>
      <c r="F38" s="206">
        <f>SUMIF(修正!A45:A56,G2,修正!G45:G56)</f>
        <v>0.3</v>
      </c>
      <c r="G38" s="200">
        <f ca="1">ROUND(IF(E2="工业",C38*$M$39,C38*$M$38),0)</f>
        <v>3035</v>
      </c>
      <c r="H38" s="200">
        <f t="shared" si="8"/>
        <v>0</v>
      </c>
      <c r="I38" s="200">
        <f t="shared" ca="1" si="9"/>
        <v>0</v>
      </c>
      <c r="J38" s="2852"/>
      <c r="K38" s="1366"/>
      <c r="L38" s="1883" t="s">
        <v>2936</v>
      </c>
      <c r="M38" s="2856">
        <v>0.25</v>
      </c>
      <c r="N38" s="1366"/>
      <c r="O38" s="1366"/>
      <c r="P38" s="1366"/>
      <c r="Q38" s="1366"/>
      <c r="R38" s="1366"/>
      <c r="S38" s="1366"/>
      <c r="T38" s="1366"/>
      <c r="U38" s="1366"/>
      <c r="V38" s="1366"/>
      <c r="W38" s="1366"/>
      <c r="X38" s="1366"/>
      <c r="Y38" s="1366"/>
      <c r="Z38" s="1367"/>
    </row>
    <row r="39" spans="1:37" ht="13.5" thickBot="1">
      <c r="A39" s="2839"/>
      <c r="B39" s="2857" t="s">
        <v>2937</v>
      </c>
      <c r="C39" s="229">
        <f ca="1">ROUND(D5*C19*C41*C24*F39,0)</f>
        <v>10117</v>
      </c>
      <c r="D39" s="2841"/>
      <c r="E39" s="229">
        <f t="shared" ca="1" si="7"/>
        <v>0</v>
      </c>
      <c r="F39" s="928">
        <f>SUMIF(修正!A45:A56,G2,修正!H45:H56)</f>
        <v>0.25</v>
      </c>
      <c r="G39" s="229">
        <f ca="1">ROUND(IF(E2="工业",C39*$M$39,C39*$M$38),0)</f>
        <v>2529</v>
      </c>
      <c r="H39" s="229">
        <f t="shared" si="8"/>
        <v>0</v>
      </c>
      <c r="I39" s="229">
        <f t="shared" ca="1" si="9"/>
        <v>0</v>
      </c>
      <c r="J39" s="2858"/>
      <c r="K39" s="1366"/>
      <c r="L39" s="2859" t="s">
        <v>2881</v>
      </c>
      <c r="M39" s="2860">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8" t="s">
        <v>3048</v>
      </c>
      <c r="C41" s="388">
        <f ca="1">ROUND(POWER(1+E41,H41-G41)*(POWER(1+E41,G41)-1)/(POWER(1+E41,H41)-1),4)</f>
        <v>0.91790000000000005</v>
      </c>
      <c r="D41" s="200" t="s">
        <v>2888</v>
      </c>
      <c r="E41" s="2927">
        <f ca="1">G20</f>
        <v>5.3999999999999999E-2</v>
      </c>
      <c r="F41" s="200" t="s">
        <v>2897</v>
      </c>
      <c r="G41" s="218">
        <f>项目基本情况!G15</f>
        <v>36.29</v>
      </c>
      <c r="H41" s="200">
        <v>50</v>
      </c>
      <c r="Z41" s="1367"/>
      <c r="AA41" s="1367"/>
      <c r="AB41" s="1367"/>
      <c r="AC41" s="1367"/>
      <c r="AD41" s="1367"/>
      <c r="AE41" s="1367"/>
      <c r="AF41" s="1367"/>
      <c r="AG41" s="1367"/>
      <c r="AH41" s="1367"/>
      <c r="AI41" s="1367"/>
      <c r="AJ41" s="1367"/>
    </row>
    <row r="42" spans="1:37" s="1366" customFormat="1">
      <c r="A42" s="1367"/>
      <c r="B42" s="2861"/>
      <c r="Z42" s="1367"/>
      <c r="AA42" s="1367"/>
      <c r="AB42" s="1367"/>
      <c r="AC42" s="1367"/>
      <c r="AD42" s="1367"/>
      <c r="AE42" s="1367"/>
      <c r="AF42" s="1367"/>
      <c r="AG42" s="1367"/>
      <c r="AH42" s="1367"/>
      <c r="AI42" s="1367"/>
      <c r="AJ42" s="1367"/>
    </row>
    <row r="43" spans="1:37" s="1366" customFormat="1">
      <c r="A43" s="1367"/>
      <c r="B43" s="2861"/>
      <c r="Z43" s="1367"/>
      <c r="AA43" s="1367"/>
      <c r="AB43" s="1367"/>
      <c r="AC43" s="1367"/>
      <c r="AD43" s="1367"/>
      <c r="AE43" s="1367"/>
      <c r="AF43" s="1367"/>
      <c r="AG43" s="1367"/>
      <c r="AH43" s="1367"/>
      <c r="AI43" s="1367"/>
      <c r="AJ43" s="1367"/>
    </row>
    <row r="44" spans="1:37" s="1366" customFormat="1">
      <c r="A44" s="1367"/>
      <c r="B44" s="2861"/>
      <c r="Z44" s="1367"/>
      <c r="AA44" s="1367"/>
      <c r="AB44" s="1367"/>
      <c r="AC44" s="1367"/>
      <c r="AD44" s="1367"/>
      <c r="AE44" s="1367"/>
      <c r="AF44" s="1367"/>
      <c r="AG44" s="1367"/>
      <c r="AH44" s="1367"/>
      <c r="AI44" s="1367"/>
      <c r="AJ44" s="1367"/>
    </row>
    <row r="45" spans="1:37" s="1366" customFormat="1" ht="15.75" thickBot="1">
      <c r="A45" s="2862" t="s">
        <v>2938</v>
      </c>
      <c r="B45" s="2863"/>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4" t="s">
        <v>2939</v>
      </c>
      <c r="B46" s="2865">
        <f>1+E48</f>
        <v>1.0538000000000001</v>
      </c>
      <c r="C46" s="2866"/>
      <c r="D46" s="810"/>
      <c r="E46" s="811"/>
      <c r="F46" s="2867"/>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68" t="s">
        <v>2940</v>
      </c>
      <c r="B47" s="2958" t="s">
        <v>2941</v>
      </c>
      <c r="C47" s="2958" t="s">
        <v>2942</v>
      </c>
      <c r="D47" s="2958" t="s">
        <v>2943</v>
      </c>
      <c r="E47" s="815" t="s">
        <v>2944</v>
      </c>
      <c r="F47" s="2869" t="s">
        <v>2945</v>
      </c>
      <c r="G47" s="2958" t="s">
        <v>754</v>
      </c>
      <c r="H47" s="2870" t="s">
        <v>2946</v>
      </c>
      <c r="I47" s="2958" t="s">
        <v>2947</v>
      </c>
      <c r="J47" s="603" t="s">
        <v>2596</v>
      </c>
      <c r="K47" s="603" t="s">
        <v>2597</v>
      </c>
      <c r="L47" s="603" t="s">
        <v>2598</v>
      </c>
      <c r="M47" s="603" t="s">
        <v>2599</v>
      </c>
      <c r="N47" s="603" t="s">
        <v>2600</v>
      </c>
      <c r="AA47" s="1367"/>
      <c r="AB47" s="1367"/>
      <c r="AC47" s="1367"/>
      <c r="AD47" s="1367"/>
      <c r="AE47" s="1367"/>
      <c r="AF47" s="1367"/>
      <c r="AG47" s="1367"/>
      <c r="AH47" s="1367"/>
      <c r="AI47" s="1367"/>
      <c r="AJ47" s="1367"/>
      <c r="AK47" s="1367"/>
    </row>
    <row r="48" spans="1:37" s="1366" customFormat="1" ht="38.25">
      <c r="A48" s="2868" t="s">
        <v>2948</v>
      </c>
      <c r="B48" s="2871" t="str">
        <f>估价对象房地状况!C4</f>
        <v>估价对象位于XX商圈，周边商业氛围成熟，人流量大，商业繁华度好</v>
      </c>
      <c r="C48" s="2768" t="s">
        <v>3081</v>
      </c>
      <c r="D48" s="1282">
        <f t="shared" ref="D48:D56" si="10">SUMIF($J$47:$N$47,C48,J48:N48)</f>
        <v>1.6299999999999999E-2</v>
      </c>
      <c r="E48" s="817">
        <f>ROUND(SUM(D48:D56),4)</f>
        <v>5.3800000000000001E-2</v>
      </c>
      <c r="F48" s="2499">
        <f>IF(E2="商业",SUMIF(L1:L12,G2,N1:N12),"——")</f>
        <v>9.9000000000000005E-2</v>
      </c>
      <c r="G48" s="1280">
        <v>1.6299999999999999E-2</v>
      </c>
      <c r="H48" s="1284">
        <f t="shared" ref="G48:H56" si="11">IFERROR(ROUNDDOWN($F$48*I48/2,4),"——")</f>
        <v>1.6299999999999999E-2</v>
      </c>
      <c r="I48" s="816">
        <v>0.33</v>
      </c>
      <c r="J48" s="1281">
        <f t="shared" ref="J48:J56" si="12">K48+$G48</f>
        <v>3.2599999999999997E-2</v>
      </c>
      <c r="K48" s="1281">
        <f t="shared" ref="K48:K56" si="13">$L48+$G48</f>
        <v>1.6299999999999999E-2</v>
      </c>
      <c r="L48" s="1281">
        <v>0</v>
      </c>
      <c r="M48" s="1281">
        <f t="shared" ref="M48:N56" si="14">L48-$G48</f>
        <v>-1.6299999999999999E-2</v>
      </c>
      <c r="N48" s="1281">
        <f t="shared" si="14"/>
        <v>-3.2599999999999997E-2</v>
      </c>
      <c r="AA48" s="1367"/>
      <c r="AB48" s="1367"/>
      <c r="AC48" s="1367"/>
      <c r="AD48" s="1367"/>
      <c r="AE48" s="1367"/>
      <c r="AF48" s="1367"/>
      <c r="AG48" s="1367"/>
      <c r="AH48" s="1367"/>
      <c r="AI48" s="1367"/>
      <c r="AJ48" s="1367"/>
      <c r="AK48" s="1367"/>
    </row>
    <row r="49" spans="1:37" s="1366" customFormat="1" ht="51">
      <c r="A49" s="2868" t="s">
        <v>2949</v>
      </c>
      <c r="B49" s="2872" t="str">
        <f>估价对象房地状况!C18</f>
        <v>估价对象周边道路状况、公共交通通达情况、停车便捷程度，综合评价交通便捷度较好</v>
      </c>
      <c r="C49" s="2768" t="s">
        <v>3081</v>
      </c>
      <c r="D49" s="1282">
        <f t="shared" si="10"/>
        <v>1.23E-2</v>
      </c>
      <c r="E49" s="818"/>
      <c r="F49" s="2499"/>
      <c r="G49" s="1280">
        <v>1.23E-2</v>
      </c>
      <c r="H49" s="1284">
        <f t="shared" si="11"/>
        <v>1.23E-2</v>
      </c>
      <c r="I49" s="816">
        <v>0.25</v>
      </c>
      <c r="J49" s="1281">
        <f t="shared" si="12"/>
        <v>2.46E-2</v>
      </c>
      <c r="K49" s="1281">
        <f t="shared" si="13"/>
        <v>1.23E-2</v>
      </c>
      <c r="L49" s="1281">
        <v>0</v>
      </c>
      <c r="M49" s="1281">
        <f t="shared" si="14"/>
        <v>-1.23E-2</v>
      </c>
      <c r="N49" s="1281">
        <f t="shared" si="14"/>
        <v>-2.46E-2</v>
      </c>
      <c r="AA49" s="1367"/>
      <c r="AB49" s="1367"/>
      <c r="AC49" s="1367"/>
      <c r="AD49" s="1367"/>
      <c r="AE49" s="1367"/>
      <c r="AF49" s="1367"/>
      <c r="AG49" s="1367"/>
      <c r="AH49" s="1367"/>
      <c r="AI49" s="1367"/>
      <c r="AJ49" s="1367"/>
      <c r="AK49" s="1367"/>
    </row>
    <row r="50" spans="1:37" s="1366" customFormat="1" ht="24">
      <c r="A50" s="2868" t="s">
        <v>2950</v>
      </c>
      <c r="B50" s="2872">
        <f>估价对象房地状况!C19</f>
        <v>0</v>
      </c>
      <c r="C50" s="2768" t="s">
        <v>3081</v>
      </c>
      <c r="D50" s="1282">
        <f t="shared" si="10"/>
        <v>2.3999999999999998E-3</v>
      </c>
      <c r="E50" s="818"/>
      <c r="F50" s="2499"/>
      <c r="G50" s="1280">
        <v>2.3999999999999998E-3</v>
      </c>
      <c r="H50" s="1284">
        <f t="shared" si="11"/>
        <v>2.3999999999999998E-3</v>
      </c>
      <c r="I50" s="816">
        <v>0.05</v>
      </c>
      <c r="J50" s="1281">
        <f t="shared" si="12"/>
        <v>4.7999999999999996E-3</v>
      </c>
      <c r="K50" s="1281">
        <f t="shared" si="13"/>
        <v>2.3999999999999998E-3</v>
      </c>
      <c r="L50" s="1281">
        <v>0</v>
      </c>
      <c r="M50" s="1281">
        <f t="shared" si="14"/>
        <v>-2.3999999999999998E-3</v>
      </c>
      <c r="N50" s="1281">
        <f t="shared" si="14"/>
        <v>-4.7999999999999996E-3</v>
      </c>
      <c r="AA50" s="1367"/>
      <c r="AB50" s="1367"/>
      <c r="AC50" s="1367"/>
      <c r="AD50" s="1367"/>
      <c r="AE50" s="1367"/>
      <c r="AF50" s="1367"/>
      <c r="AG50" s="1367"/>
      <c r="AH50" s="1367"/>
      <c r="AI50" s="1367"/>
      <c r="AJ50" s="1367"/>
      <c r="AK50" s="1367"/>
    </row>
    <row r="51" spans="1:37" s="1366" customFormat="1" ht="36.75">
      <c r="A51" s="2868" t="s">
        <v>2951</v>
      </c>
      <c r="B51" s="2873" t="s">
        <v>2952</v>
      </c>
      <c r="C51" s="2768" t="s">
        <v>3081</v>
      </c>
      <c r="D51" s="1282">
        <f t="shared" si="10"/>
        <v>2.3999999999999998E-3</v>
      </c>
      <c r="E51" s="818"/>
      <c r="F51" s="2499"/>
      <c r="G51" s="1280">
        <v>2.3999999999999998E-3</v>
      </c>
      <c r="H51" s="1284">
        <f t="shared" si="11"/>
        <v>2.3999999999999998E-3</v>
      </c>
      <c r="I51" s="816">
        <v>0.05</v>
      </c>
      <c r="J51" s="1281">
        <f t="shared" si="12"/>
        <v>4.7999999999999996E-3</v>
      </c>
      <c r="K51" s="1281">
        <f t="shared" si="13"/>
        <v>2.3999999999999998E-3</v>
      </c>
      <c r="L51" s="1281">
        <v>0</v>
      </c>
      <c r="M51" s="1281">
        <f t="shared" si="14"/>
        <v>-2.3999999999999998E-3</v>
      </c>
      <c r="N51" s="1281">
        <f t="shared" si="14"/>
        <v>-4.7999999999999996E-3</v>
      </c>
      <c r="AA51" s="1367"/>
      <c r="AB51" s="1367"/>
      <c r="AC51" s="1367"/>
      <c r="AD51" s="1367"/>
      <c r="AE51" s="1367"/>
      <c r="AF51" s="1367"/>
      <c r="AG51" s="1367"/>
      <c r="AH51" s="1367"/>
      <c r="AI51" s="1367"/>
      <c r="AJ51" s="1367"/>
      <c r="AK51" s="1367"/>
    </row>
    <row r="52" spans="1:37" s="1366" customFormat="1" ht="24">
      <c r="A52" s="2868" t="s">
        <v>2953</v>
      </c>
      <c r="B52" s="2872">
        <f>估价对象房地状况!C24</f>
        <v>0</v>
      </c>
      <c r="C52" s="2768" t="s">
        <v>3081</v>
      </c>
      <c r="D52" s="1282">
        <f t="shared" si="10"/>
        <v>3.8999999999999998E-3</v>
      </c>
      <c r="E52" s="818"/>
      <c r="F52" s="2499"/>
      <c r="G52" s="1280">
        <v>3.8999999999999998E-3</v>
      </c>
      <c r="H52" s="1284">
        <f t="shared" si="11"/>
        <v>3.8999999999999998E-3</v>
      </c>
      <c r="I52" s="816">
        <v>0.08</v>
      </c>
      <c r="J52" s="1281">
        <f t="shared" si="12"/>
        <v>7.7999999999999996E-3</v>
      </c>
      <c r="K52" s="1281">
        <f t="shared" si="13"/>
        <v>3.8999999999999998E-3</v>
      </c>
      <c r="L52" s="1281">
        <v>0</v>
      </c>
      <c r="M52" s="1281">
        <f t="shared" si="14"/>
        <v>-3.8999999999999998E-3</v>
      </c>
      <c r="N52" s="1281">
        <f t="shared" si="14"/>
        <v>-7.7999999999999996E-3</v>
      </c>
      <c r="AA52" s="1367"/>
      <c r="AB52" s="1367"/>
      <c r="AC52" s="1367"/>
      <c r="AD52" s="1367"/>
      <c r="AE52" s="1367"/>
      <c r="AF52" s="1367"/>
      <c r="AG52" s="1367"/>
      <c r="AH52" s="1367"/>
      <c r="AI52" s="1367"/>
      <c r="AJ52" s="1367"/>
      <c r="AK52" s="1367"/>
    </row>
    <row r="53" spans="1:37" s="1366" customFormat="1" ht="24">
      <c r="A53" s="2868" t="s">
        <v>2954</v>
      </c>
      <c r="B53" s="2874" t="s">
        <v>2955</v>
      </c>
      <c r="C53" s="2768" t="s">
        <v>3081</v>
      </c>
      <c r="D53" s="1282">
        <f t="shared" si="10"/>
        <v>1.4E-3</v>
      </c>
      <c r="E53" s="818"/>
      <c r="F53" s="2499"/>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25.5">
      <c r="A54" s="2875" t="s">
        <v>2956</v>
      </c>
      <c r="B54" s="1721" t="str">
        <f>估价对象房地状况!C21</f>
        <v>估价对象所在区域公共配套设施齐备情况</v>
      </c>
      <c r="C54" s="2768" t="s">
        <v>3081</v>
      </c>
      <c r="D54" s="1282">
        <f t="shared" si="10"/>
        <v>2.3999999999999998E-3</v>
      </c>
      <c r="E54" s="818"/>
      <c r="F54" s="2499"/>
      <c r="G54" s="1280">
        <v>2.3999999999999998E-3</v>
      </c>
      <c r="H54" s="1284">
        <f t="shared" si="11"/>
        <v>2.3999999999999998E-3</v>
      </c>
      <c r="I54" s="816">
        <v>0.05</v>
      </c>
      <c r="J54" s="1281">
        <f t="shared" si="12"/>
        <v>4.7999999999999996E-3</v>
      </c>
      <c r="K54" s="1281">
        <f t="shared" si="13"/>
        <v>2.3999999999999998E-3</v>
      </c>
      <c r="L54" s="1281">
        <v>0</v>
      </c>
      <c r="M54" s="1281">
        <f t="shared" si="14"/>
        <v>-2.3999999999999998E-3</v>
      </c>
      <c r="N54" s="1281">
        <f t="shared" si="14"/>
        <v>-4.7999999999999996E-3</v>
      </c>
      <c r="AA54" s="1367"/>
      <c r="AB54" s="1367"/>
      <c r="AC54" s="1367"/>
      <c r="AD54" s="1367"/>
      <c r="AE54" s="1367"/>
      <c r="AF54" s="1367"/>
      <c r="AG54" s="1367"/>
      <c r="AH54" s="1367"/>
      <c r="AI54" s="1367"/>
      <c r="AJ54" s="1367"/>
      <c r="AK54" s="1367"/>
    </row>
    <row r="55" spans="1:37" s="1366" customFormat="1" ht="25.5">
      <c r="A55" s="2875" t="s">
        <v>2957</v>
      </c>
      <c r="B55" s="2872" t="str">
        <f>估价对象房地状况!C22</f>
        <v>估价对象所在区域基础设施水平</v>
      </c>
      <c r="C55" s="2768" t="s">
        <v>3082</v>
      </c>
      <c r="D55" s="1282">
        <f t="shared" si="10"/>
        <v>9.7999999999999997E-3</v>
      </c>
      <c r="E55" s="818"/>
      <c r="F55" s="2499"/>
      <c r="G55" s="1280">
        <v>4.8999999999999998E-3</v>
      </c>
      <c r="H55" s="1284">
        <f t="shared" si="11"/>
        <v>4.8999999999999998E-3</v>
      </c>
      <c r="I55" s="816">
        <v>0.1</v>
      </c>
      <c r="J55" s="1281">
        <f t="shared" si="12"/>
        <v>9.7999999999999997E-3</v>
      </c>
      <c r="K55" s="1281">
        <f t="shared" si="13"/>
        <v>4.8999999999999998E-3</v>
      </c>
      <c r="L55" s="1281">
        <v>0</v>
      </c>
      <c r="M55" s="1281">
        <f t="shared" si="14"/>
        <v>-4.8999999999999998E-3</v>
      </c>
      <c r="N55" s="1281">
        <f t="shared" si="14"/>
        <v>-9.7999999999999997E-3</v>
      </c>
      <c r="AA55" s="1367"/>
      <c r="AB55" s="1367"/>
      <c r="AC55" s="1367"/>
      <c r="AD55" s="1367"/>
      <c r="AE55" s="1367"/>
      <c r="AF55" s="1367"/>
      <c r="AG55" s="1367"/>
      <c r="AH55" s="1367"/>
      <c r="AI55" s="1367"/>
      <c r="AJ55" s="1367"/>
      <c r="AK55" s="1367"/>
    </row>
    <row r="56" spans="1:37" s="1366" customFormat="1" ht="39" thickBot="1">
      <c r="A56" s="2876" t="s">
        <v>2958</v>
      </c>
      <c r="B56" s="2877" t="str">
        <f>估价对象房地状况!C20</f>
        <v>区域自然环境：；人文环境；综合评价环境状况一般</v>
      </c>
      <c r="C56" s="2768" t="s">
        <v>3081</v>
      </c>
      <c r="D56" s="1282">
        <f t="shared" si="10"/>
        <v>2.8999999999999998E-3</v>
      </c>
      <c r="E56" s="821"/>
      <c r="F56" s="2499"/>
      <c r="G56" s="1280">
        <v>2.8999999999999998E-3</v>
      </c>
      <c r="H56" s="1284">
        <f t="shared" si="11"/>
        <v>2.8999999999999998E-3</v>
      </c>
      <c r="I56" s="820">
        <v>0.06</v>
      </c>
      <c r="J56" s="1281">
        <f t="shared" si="12"/>
        <v>5.7999999999999996E-3</v>
      </c>
      <c r="K56" s="1281">
        <f t="shared" si="13"/>
        <v>2.8999999999999998E-3</v>
      </c>
      <c r="L56" s="1281">
        <v>0</v>
      </c>
      <c r="M56" s="1281">
        <f t="shared" si="14"/>
        <v>-2.8999999999999998E-3</v>
      </c>
      <c r="N56" s="1281">
        <f t="shared" si="14"/>
        <v>-5.7999999999999996E-3</v>
      </c>
      <c r="AA56" s="1367"/>
      <c r="AB56" s="1367"/>
      <c r="AC56" s="1367"/>
      <c r="AD56" s="1367"/>
      <c r="AE56" s="1367"/>
      <c r="AF56" s="1367"/>
      <c r="AG56" s="1367"/>
      <c r="AH56" s="1367"/>
      <c r="AI56" s="1367"/>
      <c r="AJ56" s="1367"/>
      <c r="AK56" s="1367"/>
    </row>
    <row r="57" spans="1:37" s="1366" customFormat="1" ht="15">
      <c r="A57" s="2864" t="s">
        <v>2959</v>
      </c>
      <c r="B57" s="2865">
        <f>1+E59</f>
        <v>1.0544</v>
      </c>
      <c r="C57" s="810"/>
      <c r="D57" s="810"/>
      <c r="E57" s="811"/>
      <c r="F57" s="2867"/>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8" t="s">
        <v>2940</v>
      </c>
      <c r="B58" s="2958"/>
      <c r="C58" s="2958" t="s">
        <v>2942</v>
      </c>
      <c r="D58" s="2958" t="s">
        <v>2943</v>
      </c>
      <c r="E58" s="815" t="s">
        <v>2944</v>
      </c>
      <c r="F58" s="2869" t="s">
        <v>2960</v>
      </c>
      <c r="G58" s="2958" t="s">
        <v>754</v>
      </c>
      <c r="H58" s="2870" t="s">
        <v>2946</v>
      </c>
      <c r="I58" s="2958" t="s">
        <v>2947</v>
      </c>
      <c r="J58" s="603" t="s">
        <v>2596</v>
      </c>
      <c r="K58" s="603" t="s">
        <v>2597</v>
      </c>
      <c r="L58" s="603" t="s">
        <v>2598</v>
      </c>
      <c r="M58" s="603" t="s">
        <v>2599</v>
      </c>
      <c r="N58" s="603" t="s">
        <v>2600</v>
      </c>
      <c r="AA58" s="1367"/>
      <c r="AB58" s="1367"/>
      <c r="AC58" s="1367"/>
      <c r="AD58" s="1367"/>
      <c r="AE58" s="1367"/>
      <c r="AF58" s="1367"/>
      <c r="AG58" s="1367"/>
      <c r="AH58" s="1367"/>
      <c r="AI58" s="1367"/>
      <c r="AJ58" s="1367"/>
      <c r="AK58" s="1367"/>
    </row>
    <row r="59" spans="1:37" s="1366" customFormat="1" ht="38.25">
      <c r="A59" s="2868" t="s">
        <v>2961</v>
      </c>
      <c r="B59" s="2871" t="str">
        <f>估价对象房地状况!C17</f>
        <v>估价对象位于XX商圈，周边办公楼项目较多，入驻率高，办公集聚程度较好</v>
      </c>
      <c r="C59" s="2768" t="s">
        <v>3081</v>
      </c>
      <c r="D59" s="1282">
        <f t="shared" ref="D59:D67" si="15">SUMIF($J$58:$N$58,C59,J59:N59)</f>
        <v>1.17E-2</v>
      </c>
      <c r="E59" s="817">
        <f>ROUND(SUM(D59:D67),4)</f>
        <v>5.4399999999999997E-2</v>
      </c>
      <c r="F59" s="2499" t="str">
        <f>IF(E2="办公",SUMIF(L1:L12,G2,N1:N12),"——")</f>
        <v>——</v>
      </c>
      <c r="G59" s="1280">
        <v>1.17E-2</v>
      </c>
      <c r="H59" s="1284" t="str">
        <f t="shared" ref="H59:H67" si="16">IFERROR(ROUNDDOWN($F$59*I59/2,4),"——")</f>
        <v>——</v>
      </c>
      <c r="I59" s="816">
        <v>0.24</v>
      </c>
      <c r="J59" s="1281">
        <f t="shared" ref="J59:J67" si="17">K59+$G59</f>
        <v>2.3400000000000001E-2</v>
      </c>
      <c r="K59" s="1281">
        <f t="shared" ref="K59:K67" si="18">$L59+$G59</f>
        <v>1.17E-2</v>
      </c>
      <c r="L59" s="1281">
        <v>0</v>
      </c>
      <c r="M59" s="1281">
        <f t="shared" ref="M59:N67" si="19">L59-$G59</f>
        <v>-1.17E-2</v>
      </c>
      <c r="N59" s="1281">
        <f t="shared" si="19"/>
        <v>-2.3400000000000001E-2</v>
      </c>
      <c r="AA59" s="1367"/>
      <c r="AB59" s="1367"/>
      <c r="AC59" s="1367"/>
      <c r="AD59" s="1367"/>
      <c r="AE59" s="1367"/>
      <c r="AF59" s="1367"/>
      <c r="AG59" s="1367"/>
      <c r="AH59" s="1367"/>
      <c r="AI59" s="1367"/>
      <c r="AJ59" s="1367"/>
      <c r="AK59" s="1367"/>
    </row>
    <row r="60" spans="1:37" s="1366" customFormat="1" ht="51">
      <c r="A60" s="2868" t="s">
        <v>2949</v>
      </c>
      <c r="B60" s="2872" t="str">
        <f>估价对象房地状况!C18</f>
        <v>估价对象周边道路状况、公共交通通达情况、停车便捷程度，综合评价交通便捷度较好</v>
      </c>
      <c r="C60" s="2768" t="s">
        <v>3081</v>
      </c>
      <c r="D60" s="1282">
        <f t="shared" si="15"/>
        <v>1.47E-2</v>
      </c>
      <c r="E60" s="818"/>
      <c r="F60" s="2499"/>
      <c r="G60" s="1280">
        <v>1.47E-2</v>
      </c>
      <c r="H60" s="1284" t="str">
        <f t="shared" si="16"/>
        <v>——</v>
      </c>
      <c r="I60" s="816">
        <v>0.3</v>
      </c>
      <c r="J60" s="1281">
        <f t="shared" si="17"/>
        <v>2.9399999999999999E-2</v>
      </c>
      <c r="K60" s="1281">
        <f t="shared" si="18"/>
        <v>1.47E-2</v>
      </c>
      <c r="L60" s="1281">
        <v>0</v>
      </c>
      <c r="M60" s="1281">
        <f t="shared" si="19"/>
        <v>-1.47E-2</v>
      </c>
      <c r="N60" s="1281">
        <f t="shared" si="19"/>
        <v>-2.9399999999999999E-2</v>
      </c>
      <c r="AA60" s="1367"/>
      <c r="AB60" s="1367"/>
      <c r="AC60" s="1367"/>
      <c r="AD60" s="1367"/>
      <c r="AE60" s="1367"/>
      <c r="AF60" s="1367"/>
      <c r="AG60" s="1367"/>
      <c r="AH60" s="1367"/>
      <c r="AI60" s="1367"/>
      <c r="AJ60" s="1367"/>
      <c r="AK60" s="1367"/>
    </row>
    <row r="61" spans="1:37" s="1366" customFormat="1" ht="24">
      <c r="A61" s="2868" t="s">
        <v>2950</v>
      </c>
      <c r="B61" s="2872">
        <f>估价对象房地状况!C19</f>
        <v>0</v>
      </c>
      <c r="C61" s="2768" t="s">
        <v>3081</v>
      </c>
      <c r="D61" s="1282">
        <f t="shared" si="15"/>
        <v>3.8999999999999998E-3</v>
      </c>
      <c r="E61" s="818"/>
      <c r="F61" s="2499"/>
      <c r="G61" s="1280">
        <v>3.8999999999999998E-3</v>
      </c>
      <c r="H61" s="1284" t="str">
        <f t="shared" si="16"/>
        <v>——</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68" t="s">
        <v>2951</v>
      </c>
      <c r="B62" s="2873" t="s">
        <v>2952</v>
      </c>
      <c r="C62" s="2768" t="s">
        <v>3081</v>
      </c>
      <c r="D62" s="1282">
        <f t="shared" si="15"/>
        <v>1.9E-3</v>
      </c>
      <c r="E62" s="818"/>
      <c r="F62" s="2499"/>
      <c r="G62" s="1280">
        <v>1.9E-3</v>
      </c>
      <c r="H62" s="1284" t="str">
        <f t="shared" si="16"/>
        <v>——</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68" t="s">
        <v>2953</v>
      </c>
      <c r="B63" s="2872">
        <f>估价对象房地状况!C24</f>
        <v>0</v>
      </c>
      <c r="C63" s="2768" t="s">
        <v>3081</v>
      </c>
      <c r="D63" s="1282">
        <f t="shared" si="15"/>
        <v>2.3999999999999998E-3</v>
      </c>
      <c r="E63" s="818"/>
      <c r="F63" s="2499"/>
      <c r="G63" s="1280">
        <v>2.3999999999999998E-3</v>
      </c>
      <c r="H63" s="1284" t="str">
        <f t="shared" si="16"/>
        <v>——</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68" t="s">
        <v>2954</v>
      </c>
      <c r="B64" s="2874" t="s">
        <v>2955</v>
      </c>
      <c r="C64" s="2768" t="s">
        <v>3081</v>
      </c>
      <c r="D64" s="1282">
        <f t="shared" si="15"/>
        <v>2.3999999999999998E-3</v>
      </c>
      <c r="E64" s="818"/>
      <c r="F64" s="2499"/>
      <c r="G64" s="1280">
        <v>2.3999999999999998E-3</v>
      </c>
      <c r="H64" s="1284" t="str">
        <f t="shared" si="16"/>
        <v>——</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68" t="s">
        <v>2956</v>
      </c>
      <c r="B65" s="1721" t="str">
        <f>估价对象房地状况!C21</f>
        <v>估价对象所在区域公共配套设施齐备情况</v>
      </c>
      <c r="C65" s="2768" t="s">
        <v>3081</v>
      </c>
      <c r="D65" s="1282">
        <f t="shared" si="15"/>
        <v>2.8999999999999998E-3</v>
      </c>
      <c r="E65" s="818"/>
      <c r="F65" s="2499"/>
      <c r="G65" s="1280">
        <v>2.8999999999999998E-3</v>
      </c>
      <c r="H65" s="1284" t="str">
        <f t="shared" si="16"/>
        <v>——</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68" t="s">
        <v>2957</v>
      </c>
      <c r="B66" s="1721" t="str">
        <f>估价对象房地状况!C22</f>
        <v>估价对象所在区域基础设施水平</v>
      </c>
      <c r="C66" s="2768" t="s">
        <v>3082</v>
      </c>
      <c r="D66" s="1282">
        <f t="shared" si="15"/>
        <v>1.1599999999999999E-2</v>
      </c>
      <c r="E66" s="818"/>
      <c r="F66" s="2499"/>
      <c r="G66" s="1280">
        <v>5.7999999999999996E-3</v>
      </c>
      <c r="H66" s="1284" t="str">
        <f t="shared" si="16"/>
        <v>——</v>
      </c>
      <c r="I66" s="816">
        <v>0.12</v>
      </c>
      <c r="J66" s="1281">
        <f t="shared" si="17"/>
        <v>1.1599999999999999E-2</v>
      </c>
      <c r="K66" s="1281">
        <f t="shared" si="18"/>
        <v>5.7999999999999996E-3</v>
      </c>
      <c r="L66" s="1281">
        <v>0</v>
      </c>
      <c r="M66" s="1281">
        <f t="shared" si="19"/>
        <v>-5.7999999999999996E-3</v>
      </c>
      <c r="N66" s="1281">
        <f t="shared" si="19"/>
        <v>-1.1599999999999999E-2</v>
      </c>
      <c r="AA66" s="1367"/>
      <c r="AB66" s="1367"/>
      <c r="AC66" s="1367"/>
      <c r="AD66" s="1367"/>
      <c r="AE66" s="1367"/>
      <c r="AF66" s="1367"/>
      <c r="AG66" s="1367"/>
      <c r="AH66" s="1367"/>
      <c r="AI66" s="1367"/>
      <c r="AJ66" s="1367"/>
      <c r="AK66" s="1367"/>
    </row>
    <row r="67" spans="1:37" s="1366" customFormat="1" ht="39" thickBot="1">
      <c r="A67" s="2876" t="s">
        <v>2958</v>
      </c>
      <c r="B67" s="2878" t="str">
        <f>估价对象房地状况!C20</f>
        <v>区域自然环境：；人文环境；综合评价环境状况一般</v>
      </c>
      <c r="C67" s="2768" t="s">
        <v>3081</v>
      </c>
      <c r="D67" s="1282">
        <f t="shared" si="15"/>
        <v>2.8999999999999998E-3</v>
      </c>
      <c r="E67" s="821"/>
      <c r="F67" s="2499"/>
      <c r="G67" s="1280">
        <v>2.8999999999999998E-3</v>
      </c>
      <c r="H67" s="1284" t="str">
        <f t="shared" si="16"/>
        <v>——</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4" t="s">
        <v>2962</v>
      </c>
      <c r="B68" s="2865">
        <f>1+E70</f>
        <v>1</v>
      </c>
      <c r="C68" s="810"/>
      <c r="D68" s="810"/>
      <c r="E68" s="811"/>
      <c r="F68" s="2867"/>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8" t="s">
        <v>2940</v>
      </c>
      <c r="B69" s="2958"/>
      <c r="C69" s="2958" t="s">
        <v>2942</v>
      </c>
      <c r="D69" s="2958" t="s">
        <v>2943</v>
      </c>
      <c r="E69" s="815" t="s">
        <v>2944</v>
      </c>
      <c r="F69" s="2869" t="s">
        <v>2960</v>
      </c>
      <c r="G69" s="2958" t="s">
        <v>754</v>
      </c>
      <c r="H69" s="2870" t="s">
        <v>2946</v>
      </c>
      <c r="I69" s="2958" t="s">
        <v>2947</v>
      </c>
      <c r="J69" s="603" t="s">
        <v>2596</v>
      </c>
      <c r="K69" s="603" t="s">
        <v>2597</v>
      </c>
      <c r="L69" s="603" t="s">
        <v>2598</v>
      </c>
      <c r="M69" s="603" t="s">
        <v>2599</v>
      </c>
      <c r="N69" s="603" t="s">
        <v>2600</v>
      </c>
      <c r="AA69" s="1367"/>
      <c r="AB69" s="1367"/>
      <c r="AC69" s="1367"/>
      <c r="AD69" s="1367"/>
      <c r="AE69" s="1367"/>
      <c r="AF69" s="1367"/>
      <c r="AG69" s="1367"/>
      <c r="AH69" s="1367"/>
      <c r="AI69" s="1367"/>
      <c r="AJ69" s="1367"/>
      <c r="AK69" s="1367"/>
    </row>
    <row r="70" spans="1:37" s="1366" customFormat="1" ht="51">
      <c r="A70" s="2868" t="s">
        <v>2963</v>
      </c>
      <c r="B70" s="2871" t="str">
        <f>估价对象房地状况!C15</f>
        <v>估价对象周边居住用地比例、居住小区规模和社区发展完善程度，综合评价居住社区成熟度一般</v>
      </c>
      <c r="C70" s="2768"/>
      <c r="D70" s="1282">
        <f t="shared" ref="D70:D78" si="20">SUMIF($J$69:$N$69,C70,J70:N70)</f>
        <v>0</v>
      </c>
      <c r="E70" s="817">
        <f>ROUND(SUM(D70:D78),4)</f>
        <v>0</v>
      </c>
      <c r="F70" s="2499"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8" t="s">
        <v>2949</v>
      </c>
      <c r="B71" s="2872" t="str">
        <f>估价对象房地状况!C18</f>
        <v>估价对象周边道路状况、公共交通通达情况、停车便捷程度，综合评价交通便捷度较好</v>
      </c>
      <c r="C71" s="2768"/>
      <c r="D71" s="1282">
        <f t="shared" si="20"/>
        <v>0</v>
      </c>
      <c r="E71" s="822"/>
      <c r="F71" s="2499"/>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8" t="s">
        <v>2950</v>
      </c>
      <c r="B72" s="2872">
        <f>估价对象房地状况!C19</f>
        <v>0</v>
      </c>
      <c r="C72" s="2768"/>
      <c r="D72" s="1282">
        <f t="shared" si="20"/>
        <v>0</v>
      </c>
      <c r="E72" s="822"/>
      <c r="F72" s="2499"/>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8" t="s">
        <v>2964</v>
      </c>
      <c r="B73" s="2872">
        <f>估价对象房地状况!C24</f>
        <v>0</v>
      </c>
      <c r="C73" s="2768"/>
      <c r="D73" s="1282">
        <f t="shared" si="20"/>
        <v>0</v>
      </c>
      <c r="E73" s="822"/>
      <c r="F73" s="2499"/>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8" t="s">
        <v>2956</v>
      </c>
      <c r="B74" s="1721" t="str">
        <f>估价对象房地状况!C21</f>
        <v>估价对象所在区域公共配套设施齐备情况</v>
      </c>
      <c r="C74" s="2768"/>
      <c r="D74" s="1282">
        <f t="shared" si="20"/>
        <v>0</v>
      </c>
      <c r="E74" s="822"/>
      <c r="F74" s="2499"/>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8" t="s">
        <v>2957</v>
      </c>
      <c r="B75" s="1721" t="str">
        <f>估价对象房地状况!C22</f>
        <v>估价对象所在区域基础设施水平</v>
      </c>
      <c r="C75" s="2768"/>
      <c r="D75" s="1282">
        <f t="shared" si="20"/>
        <v>0</v>
      </c>
      <c r="E75" s="822"/>
      <c r="F75" s="2499"/>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7" customFormat="1" ht="24">
      <c r="A76" s="2868" t="s">
        <v>2954</v>
      </c>
      <c r="B76" s="2874" t="s">
        <v>2955</v>
      </c>
      <c r="C76" s="2768"/>
      <c r="D76" s="1282">
        <f t="shared" si="20"/>
        <v>0</v>
      </c>
      <c r="E76" s="822"/>
      <c r="F76" s="2499"/>
      <c r="G76" s="1280"/>
      <c r="H76" s="1284" t="str">
        <f t="shared" si="21"/>
        <v>——</v>
      </c>
      <c r="I76" s="816">
        <v>0.05</v>
      </c>
      <c r="J76" s="1281">
        <f t="shared" si="22"/>
        <v>0</v>
      </c>
      <c r="K76" s="1281">
        <f t="shared" si="23"/>
        <v>0</v>
      </c>
      <c r="L76" s="1281">
        <v>0</v>
      </c>
      <c r="M76" s="1281">
        <f t="shared" si="24"/>
        <v>0</v>
      </c>
      <c r="N76" s="1281">
        <f t="shared" si="24"/>
        <v>0</v>
      </c>
      <c r="AA76" s="2879"/>
      <c r="AB76" s="1367"/>
      <c r="AC76" s="1367"/>
      <c r="AD76" s="1367"/>
      <c r="AE76" s="1367"/>
      <c r="AF76" s="1367"/>
      <c r="AG76" s="1367"/>
      <c r="AH76" s="2879"/>
      <c r="AI76" s="2879"/>
      <c r="AJ76" s="2879"/>
      <c r="AK76" s="2879"/>
    </row>
    <row r="77" spans="1:37" ht="38.25">
      <c r="A77" s="2868" t="s">
        <v>2958</v>
      </c>
      <c r="B77" s="2871" t="str">
        <f>估价对象房地状况!C20</f>
        <v>区域自然环境：；人文环境；综合评价环境状况一般</v>
      </c>
      <c r="C77" s="2768"/>
      <c r="D77" s="1282">
        <f t="shared" si="20"/>
        <v>0</v>
      </c>
      <c r="E77" s="822"/>
      <c r="F77" s="2499"/>
      <c r="G77" s="1280"/>
      <c r="H77" s="1284" t="str">
        <f t="shared" si="21"/>
        <v>——</v>
      </c>
      <c r="I77" s="816">
        <v>0.15</v>
      </c>
      <c r="J77" s="1281">
        <f t="shared" si="22"/>
        <v>0</v>
      </c>
      <c r="K77" s="1281">
        <f t="shared" si="23"/>
        <v>0</v>
      </c>
      <c r="L77" s="1281">
        <v>0</v>
      </c>
      <c r="M77" s="1281">
        <f t="shared" si="24"/>
        <v>0</v>
      </c>
      <c r="N77" s="1281">
        <f t="shared" si="24"/>
        <v>0</v>
      </c>
      <c r="Z77" s="2718"/>
      <c r="AA77" s="2786"/>
      <c r="AG77" s="1368"/>
      <c r="AK77" s="2786"/>
    </row>
    <row r="78" spans="1:37" ht="24.75" thickBot="1">
      <c r="A78" s="2876" t="s">
        <v>2965</v>
      </c>
      <c r="B78" s="2880"/>
      <c r="C78" s="2768"/>
      <c r="D78" s="1282">
        <f t="shared" si="20"/>
        <v>0</v>
      </c>
      <c r="E78" s="823"/>
      <c r="F78" s="2499"/>
      <c r="G78" s="1280"/>
      <c r="H78" s="1284" t="str">
        <f t="shared" si="21"/>
        <v>——</v>
      </c>
      <c r="I78" s="820">
        <v>0.04</v>
      </c>
      <c r="J78" s="1281">
        <f t="shared" si="22"/>
        <v>0</v>
      </c>
      <c r="K78" s="1281">
        <f t="shared" si="23"/>
        <v>0</v>
      </c>
      <c r="L78" s="1281">
        <v>0</v>
      </c>
      <c r="M78" s="1281">
        <f t="shared" si="24"/>
        <v>0</v>
      </c>
      <c r="N78" s="1281">
        <f t="shared" si="24"/>
        <v>0</v>
      </c>
      <c r="Z78" s="2718"/>
      <c r="AA78" s="2786"/>
      <c r="AG78" s="1368"/>
      <c r="AK78" s="2786"/>
    </row>
    <row r="79" spans="1:37" ht="15">
      <c r="A79" s="2864" t="s">
        <v>2966</v>
      </c>
      <c r="B79" s="2865">
        <f>1+E81</f>
        <v>1</v>
      </c>
      <c r="C79" s="810"/>
      <c r="D79" s="810"/>
      <c r="E79" s="811"/>
      <c r="F79" s="2867"/>
      <c r="G79" s="6"/>
      <c r="H79" s="6"/>
      <c r="I79" s="6"/>
      <c r="J79" s="7"/>
      <c r="K79" s="7"/>
      <c r="L79" s="7"/>
      <c r="M79" s="7"/>
      <c r="N79" s="7"/>
      <c r="Z79" s="2718"/>
      <c r="AA79" s="2786"/>
      <c r="AG79" s="1368"/>
      <c r="AK79" s="2786"/>
    </row>
    <row r="80" spans="1:37" ht="24.75">
      <c r="A80" s="2868" t="s">
        <v>2940</v>
      </c>
      <c r="B80" s="2958"/>
      <c r="C80" s="2958" t="s">
        <v>2942</v>
      </c>
      <c r="D80" s="2958" t="s">
        <v>2943</v>
      </c>
      <c r="E80" s="815" t="s">
        <v>2944</v>
      </c>
      <c r="F80" s="2869" t="s">
        <v>2960</v>
      </c>
      <c r="G80" s="2958" t="s">
        <v>754</v>
      </c>
      <c r="H80" s="2870" t="s">
        <v>2946</v>
      </c>
      <c r="I80" s="2958" t="s">
        <v>2947</v>
      </c>
      <c r="J80" s="603" t="s">
        <v>2596</v>
      </c>
      <c r="K80" s="603" t="s">
        <v>2597</v>
      </c>
      <c r="L80" s="603" t="s">
        <v>2598</v>
      </c>
      <c r="M80" s="603" t="s">
        <v>2599</v>
      </c>
      <c r="N80" s="603" t="s">
        <v>2600</v>
      </c>
      <c r="Z80" s="2718"/>
      <c r="AA80" s="2786"/>
      <c r="AG80" s="1368"/>
      <c r="AK80" s="2786"/>
    </row>
    <row r="81" spans="1:37" ht="38.25">
      <c r="A81" s="2868" t="s">
        <v>2967</v>
      </c>
      <c r="B81" s="2872" t="str">
        <f>估价对象房地状况!G15</f>
        <v>估价对象位于XX开发区，园区建设成熟度XX，产业集聚程度XX</v>
      </c>
      <c r="C81" s="2768"/>
      <c r="D81" s="1282">
        <f t="shared" ref="D81:D88" si="25">SUMIF($J$80:$N$80,C81,J81:N81)</f>
        <v>0</v>
      </c>
      <c r="E81" s="817">
        <f>ROUND(SUM(D81:D88),4)</f>
        <v>0</v>
      </c>
      <c r="F81" s="2499"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8"/>
      <c r="AA81" s="2786"/>
      <c r="AG81" s="1368"/>
      <c r="AK81" s="2786"/>
    </row>
    <row r="82" spans="1:37" ht="51">
      <c r="A82" s="2868" t="s">
        <v>2949</v>
      </c>
      <c r="B82" s="2872" t="str">
        <f>估价对象房地状况!G16</f>
        <v>估价对象周边道路状况、公共交通通达情况、停车便捷程度，综合评价交通便捷度较好</v>
      </c>
      <c r="C82" s="2768"/>
      <c r="D82" s="1282">
        <f t="shared" si="25"/>
        <v>0</v>
      </c>
      <c r="E82" s="822"/>
      <c r="F82" s="2499"/>
      <c r="G82" s="1280"/>
      <c r="H82" s="1284" t="str">
        <f t="shared" si="26"/>
        <v>——</v>
      </c>
      <c r="I82" s="816">
        <v>0.33</v>
      </c>
      <c r="J82" s="1281">
        <f t="shared" si="27"/>
        <v>0</v>
      </c>
      <c r="K82" s="1281">
        <f t="shared" si="28"/>
        <v>0</v>
      </c>
      <c r="L82" s="1281">
        <v>0</v>
      </c>
      <c r="M82" s="1281">
        <f t="shared" si="29"/>
        <v>0</v>
      </c>
      <c r="N82" s="1281">
        <f t="shared" si="29"/>
        <v>0</v>
      </c>
      <c r="Z82" s="2718"/>
      <c r="AA82" s="2786"/>
      <c r="AG82" s="1368"/>
      <c r="AK82" s="2786"/>
    </row>
    <row r="83" spans="1:37" ht="24">
      <c r="A83" s="2868" t="s">
        <v>2950</v>
      </c>
      <c r="B83" s="2872">
        <f>估价对象房地状况!G17</f>
        <v>0</v>
      </c>
      <c r="C83" s="2768"/>
      <c r="D83" s="1282">
        <f t="shared" si="25"/>
        <v>0</v>
      </c>
      <c r="E83" s="822"/>
      <c r="F83" s="2499"/>
      <c r="G83" s="1280"/>
      <c r="H83" s="1284" t="str">
        <f t="shared" si="26"/>
        <v>——</v>
      </c>
      <c r="I83" s="816">
        <v>0.05</v>
      </c>
      <c r="J83" s="1281">
        <f t="shared" si="27"/>
        <v>0</v>
      </c>
      <c r="K83" s="1281">
        <f t="shared" si="28"/>
        <v>0</v>
      </c>
      <c r="L83" s="1281">
        <v>0</v>
      </c>
      <c r="M83" s="1281">
        <f t="shared" si="29"/>
        <v>0</v>
      </c>
      <c r="N83" s="1281">
        <f t="shared" si="29"/>
        <v>0</v>
      </c>
      <c r="Z83" s="2718"/>
      <c r="AA83" s="2786"/>
      <c r="AG83" s="1368"/>
      <c r="AK83" s="2786"/>
    </row>
    <row r="84" spans="1:37" ht="14.25">
      <c r="A84" s="2868" t="s">
        <v>2964</v>
      </c>
      <c r="B84" s="2872">
        <f>估价对象房地状况!G22</f>
        <v>0</v>
      </c>
      <c r="C84" s="2768"/>
      <c r="D84" s="1282">
        <f t="shared" si="25"/>
        <v>0</v>
      </c>
      <c r="E84" s="822"/>
      <c r="F84" s="2499"/>
      <c r="G84" s="1280"/>
      <c r="H84" s="1284" t="str">
        <f t="shared" si="26"/>
        <v>——</v>
      </c>
      <c r="I84" s="816">
        <v>0.04</v>
      </c>
      <c r="J84" s="1281">
        <f t="shared" si="27"/>
        <v>0</v>
      </c>
      <c r="K84" s="1281">
        <f t="shared" si="28"/>
        <v>0</v>
      </c>
      <c r="L84" s="1281">
        <v>0</v>
      </c>
      <c r="M84" s="1281">
        <f t="shared" si="29"/>
        <v>0</v>
      </c>
      <c r="N84" s="1281">
        <f t="shared" si="29"/>
        <v>0</v>
      </c>
      <c r="Z84" s="2718"/>
      <c r="AA84" s="2786"/>
      <c r="AG84" s="1368"/>
      <c r="AK84" s="2786"/>
    </row>
    <row r="85" spans="1:37" ht="25.5">
      <c r="A85" s="2868" t="s">
        <v>2956</v>
      </c>
      <c r="B85" s="1721" t="str">
        <f>估价对象房地状况!G19</f>
        <v>估价对象所在区域公共配套设施齐备情况</v>
      </c>
      <c r="C85" s="2768"/>
      <c r="D85" s="1282">
        <f t="shared" si="25"/>
        <v>0</v>
      </c>
      <c r="E85" s="822"/>
      <c r="F85" s="2499"/>
      <c r="G85" s="1280"/>
      <c r="H85" s="1284" t="str">
        <f t="shared" si="26"/>
        <v>——</v>
      </c>
      <c r="I85" s="816">
        <v>0.06</v>
      </c>
      <c r="J85" s="1281">
        <f t="shared" si="27"/>
        <v>0</v>
      </c>
      <c r="K85" s="1281">
        <f t="shared" si="28"/>
        <v>0</v>
      </c>
      <c r="L85" s="1281">
        <v>0</v>
      </c>
      <c r="M85" s="1281">
        <f t="shared" si="29"/>
        <v>0</v>
      </c>
      <c r="N85" s="1281">
        <f t="shared" si="29"/>
        <v>0</v>
      </c>
      <c r="Z85" s="2718"/>
      <c r="AA85" s="2786"/>
      <c r="AG85" s="1368"/>
      <c r="AK85" s="2786"/>
    </row>
    <row r="86" spans="1:37" ht="25.5">
      <c r="A86" s="2868" t="s">
        <v>2957</v>
      </c>
      <c r="B86" s="1721" t="str">
        <f>估价对象房地状况!G20</f>
        <v>估价对象所在区域基础设施水平</v>
      </c>
      <c r="C86" s="2768"/>
      <c r="D86" s="1282">
        <f t="shared" si="25"/>
        <v>0</v>
      </c>
      <c r="E86" s="822"/>
      <c r="F86" s="2499"/>
      <c r="G86" s="1280"/>
      <c r="H86" s="1284" t="str">
        <f t="shared" si="26"/>
        <v>——</v>
      </c>
      <c r="I86" s="816">
        <v>0.15</v>
      </c>
      <c r="J86" s="1281">
        <f t="shared" si="27"/>
        <v>0</v>
      </c>
      <c r="K86" s="1281">
        <f t="shared" si="28"/>
        <v>0</v>
      </c>
      <c r="L86" s="1281">
        <v>0</v>
      </c>
      <c r="M86" s="1281">
        <f t="shared" si="29"/>
        <v>0</v>
      </c>
      <c r="N86" s="1281">
        <f t="shared" si="29"/>
        <v>0</v>
      </c>
      <c r="Z86" s="2718"/>
      <c r="AA86" s="2786"/>
      <c r="AG86" s="1368"/>
      <c r="AK86" s="2786"/>
    </row>
    <row r="87" spans="1:37" ht="24">
      <c r="A87" s="2868" t="s">
        <v>2954</v>
      </c>
      <c r="B87" s="2874" t="s">
        <v>2968</v>
      </c>
      <c r="C87" s="2768"/>
      <c r="D87" s="1282">
        <f t="shared" si="25"/>
        <v>0</v>
      </c>
      <c r="E87" s="822"/>
      <c r="F87" s="2499"/>
      <c r="G87" s="1280"/>
      <c r="H87" s="1284" t="str">
        <f t="shared" si="26"/>
        <v>——</v>
      </c>
      <c r="I87" s="816">
        <v>0.05</v>
      </c>
      <c r="J87" s="1281">
        <f t="shared" si="27"/>
        <v>0</v>
      </c>
      <c r="K87" s="1281">
        <f t="shared" si="28"/>
        <v>0</v>
      </c>
      <c r="L87" s="1281">
        <v>0</v>
      </c>
      <c r="M87" s="1281">
        <f t="shared" si="29"/>
        <v>0</v>
      </c>
      <c r="N87" s="1281">
        <f t="shared" si="29"/>
        <v>0</v>
      </c>
      <c r="Z87" s="2718"/>
      <c r="AA87" s="2786"/>
      <c r="AG87" s="1368"/>
      <c r="AK87" s="2786"/>
    </row>
    <row r="88" spans="1:37" ht="39" thickBot="1">
      <c r="A88" s="2876" t="s">
        <v>2969</v>
      </c>
      <c r="B88" s="2881" t="str">
        <f>估价对象房地状况!G18</f>
        <v>该园区内是否有污染型企业，绿化情况，卫生条件，整体环境状况判断</v>
      </c>
      <c r="C88" s="2768"/>
      <c r="D88" s="1282">
        <f t="shared" si="25"/>
        <v>0</v>
      </c>
      <c r="E88" s="823"/>
      <c r="F88" s="2499"/>
      <c r="G88" s="1280"/>
      <c r="H88" s="1284" t="str">
        <f t="shared" si="26"/>
        <v>——</v>
      </c>
      <c r="I88" s="820">
        <v>0.06</v>
      </c>
      <c r="J88" s="1281">
        <f t="shared" si="27"/>
        <v>0</v>
      </c>
      <c r="K88" s="1281">
        <f t="shared" si="28"/>
        <v>0</v>
      </c>
      <c r="L88" s="1281">
        <v>0</v>
      </c>
      <c r="M88" s="1281">
        <f t="shared" si="29"/>
        <v>0</v>
      </c>
      <c r="N88" s="1281">
        <f t="shared" si="29"/>
        <v>0</v>
      </c>
      <c r="Z88" s="2718"/>
      <c r="AA88" s="2786"/>
      <c r="AG88" s="1368"/>
      <c r="AK88" s="2786"/>
    </row>
    <row r="90" spans="1:37">
      <c r="A90" s="3259" t="s">
        <v>2970</v>
      </c>
      <c r="B90" s="3259"/>
      <c r="C90" s="3259"/>
      <c r="D90" s="3259"/>
      <c r="E90" s="3259"/>
      <c r="F90" s="3259"/>
      <c r="G90" s="3259"/>
      <c r="H90" s="3259"/>
      <c r="I90" s="3259"/>
      <c r="J90" s="3259"/>
      <c r="K90" s="2967"/>
      <c r="L90" s="2967"/>
      <c r="M90" s="2967"/>
      <c r="N90" s="2967"/>
    </row>
    <row r="91" spans="1:37">
      <c r="A91" s="3261" t="s">
        <v>2971</v>
      </c>
      <c r="B91" s="3261" t="s">
        <v>2972</v>
      </c>
      <c r="C91" s="2836" t="s">
        <v>2973</v>
      </c>
      <c r="D91" s="2837"/>
      <c r="E91" s="2837"/>
      <c r="F91" s="2837"/>
      <c r="G91" s="2837"/>
      <c r="H91" s="2837"/>
      <c r="I91" s="2837"/>
      <c r="J91" s="2883"/>
      <c r="K91" s="2884"/>
      <c r="L91" s="2884"/>
      <c r="M91" s="2884"/>
      <c r="N91" s="2884"/>
    </row>
    <row r="92" spans="1:37">
      <c r="A92" s="3261"/>
      <c r="B92" s="3261"/>
      <c r="C92" s="2969" t="s">
        <v>2840</v>
      </c>
      <c r="D92" s="2969" t="s">
        <v>2841</v>
      </c>
      <c r="E92" s="2969" t="s">
        <v>2842</v>
      </c>
      <c r="F92" s="2969" t="s">
        <v>2843</v>
      </c>
      <c r="G92" s="2969" t="s">
        <v>2844</v>
      </c>
      <c r="H92" s="2969" t="s">
        <v>2845</v>
      </c>
      <c r="I92" s="2969" t="s">
        <v>2846</v>
      </c>
      <c r="J92" s="2969" t="s">
        <v>2847</v>
      </c>
      <c r="K92" s="2969" t="s">
        <v>2848</v>
      </c>
      <c r="L92" s="2969" t="s">
        <v>2849</v>
      </c>
      <c r="M92" s="2969" t="s">
        <v>2850</v>
      </c>
      <c r="N92" s="2969" t="s">
        <v>2851</v>
      </c>
    </row>
    <row r="93" spans="1:37">
      <c r="A93" s="3262"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3"/>
      <c r="B99" s="2885" t="s">
        <v>2856</v>
      </c>
      <c r="C99" s="2887">
        <f>$I$3</f>
        <v>1</v>
      </c>
      <c r="D99" s="2887">
        <f t="shared" ref="D99:M99" si="30">$I$3</f>
        <v>1</v>
      </c>
      <c r="E99" s="2887">
        <f t="shared" si="30"/>
        <v>1</v>
      </c>
      <c r="F99" s="2887">
        <f t="shared" si="30"/>
        <v>1</v>
      </c>
      <c r="G99" s="2887">
        <f t="shared" si="30"/>
        <v>1</v>
      </c>
      <c r="H99" s="2887">
        <f t="shared" si="30"/>
        <v>1</v>
      </c>
      <c r="I99" s="2887">
        <f t="shared" si="30"/>
        <v>1</v>
      </c>
      <c r="J99" s="2887">
        <f t="shared" si="30"/>
        <v>1</v>
      </c>
      <c r="K99" s="2887">
        <f t="shared" si="30"/>
        <v>1</v>
      </c>
      <c r="L99" s="2887">
        <f t="shared" si="30"/>
        <v>1</v>
      </c>
      <c r="M99" s="2887">
        <f t="shared" si="30"/>
        <v>1</v>
      </c>
      <c r="N99" s="2887">
        <f>$I$3</f>
        <v>1</v>
      </c>
    </row>
    <row r="100" spans="1:14">
      <c r="A100" s="3264"/>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262" t="s">
        <v>2975</v>
      </c>
      <c r="B101" s="2889" t="s">
        <v>2976</v>
      </c>
      <c r="C101" s="2890">
        <f>$G$3</f>
        <v>4.96</v>
      </c>
      <c r="D101" s="2890">
        <f t="shared" ref="D101:N101" si="31">$G$3</f>
        <v>4.96</v>
      </c>
      <c r="E101" s="2890">
        <f t="shared" si="31"/>
        <v>4.96</v>
      </c>
      <c r="F101" s="2890">
        <f t="shared" si="31"/>
        <v>4.96</v>
      </c>
      <c r="G101" s="2890">
        <f t="shared" si="31"/>
        <v>4.96</v>
      </c>
      <c r="H101" s="2890">
        <f t="shared" si="31"/>
        <v>4.96</v>
      </c>
      <c r="I101" s="2890">
        <f t="shared" si="31"/>
        <v>4.96</v>
      </c>
      <c r="J101" s="2890">
        <f t="shared" si="31"/>
        <v>4.96</v>
      </c>
      <c r="K101" s="2890">
        <f t="shared" si="31"/>
        <v>4.96</v>
      </c>
      <c r="L101" s="2890">
        <f t="shared" si="31"/>
        <v>4.96</v>
      </c>
      <c r="M101" s="2890">
        <f t="shared" si="31"/>
        <v>4.96</v>
      </c>
      <c r="N101" s="2890">
        <f t="shared" si="31"/>
        <v>4.96</v>
      </c>
    </row>
    <row r="102" spans="1:14">
      <c r="A102" s="3263"/>
      <c r="B102" s="2885">
        <v>1</v>
      </c>
      <c r="C102" s="2886">
        <f>1.9362/C101</f>
        <v>0.39036290322580641</v>
      </c>
      <c r="D102" s="2886">
        <f>1.9362/D101</f>
        <v>0.39036290322580641</v>
      </c>
      <c r="E102" s="2886">
        <f>1.8629/E101</f>
        <v>0.37558467741935486</v>
      </c>
      <c r="F102" s="2886">
        <f>1.8629/F101</f>
        <v>0.37558467741935486</v>
      </c>
      <c r="G102" s="2886">
        <f>1.8629/G101</f>
        <v>0.37558467741935486</v>
      </c>
      <c r="H102" s="2886">
        <f>1.8629/H101</f>
        <v>0.37558467741935486</v>
      </c>
      <c r="I102" s="2886">
        <f>1.8629/I101</f>
        <v>0.37558467741935486</v>
      </c>
      <c r="J102" s="2886">
        <f>1.942/J101</f>
        <v>0.39153225806451614</v>
      </c>
      <c r="K102" s="2886">
        <f>1.942/K101</f>
        <v>0.39153225806451614</v>
      </c>
      <c r="L102" s="2886">
        <f>1.942/L101</f>
        <v>0.39153225806451614</v>
      </c>
      <c r="M102" s="2886">
        <f>1.942/M101</f>
        <v>0.39153225806451614</v>
      </c>
      <c r="N102" s="2886">
        <f>1.942/N101</f>
        <v>0.39153225806451614</v>
      </c>
    </row>
    <row r="103" spans="1:14">
      <c r="A103" s="3263"/>
      <c r="B103" s="2885">
        <v>2</v>
      </c>
      <c r="C103" s="2886">
        <f>1.4198/C101</f>
        <v>0.28625</v>
      </c>
      <c r="D103" s="2886">
        <f>1.4198/D101</f>
        <v>0.28625</v>
      </c>
      <c r="E103" s="2886">
        <f>1.3372/E101</f>
        <v>0.26959677419354838</v>
      </c>
      <c r="F103" s="2886">
        <f>1.3372/F101</f>
        <v>0.26959677419354838</v>
      </c>
      <c r="G103" s="2886">
        <f>1.3372/G101</f>
        <v>0.26959677419354838</v>
      </c>
      <c r="H103" s="2886">
        <f>1.3372/H101</f>
        <v>0.26959677419354838</v>
      </c>
      <c r="I103" s="2886">
        <f>1.3372/I101</f>
        <v>0.26959677419354838</v>
      </c>
      <c r="J103" s="2886">
        <f>1.2799/J101</f>
        <v>0.25804435483870969</v>
      </c>
      <c r="K103" s="2886">
        <f>1.2799/K101</f>
        <v>0.25804435483870969</v>
      </c>
      <c r="L103" s="2886">
        <f>1.2799/L101</f>
        <v>0.25804435483870969</v>
      </c>
      <c r="M103" s="2886">
        <f>1.2799/M101</f>
        <v>0.25804435483870969</v>
      </c>
      <c r="N103" s="2886">
        <f>1.2799/N101</f>
        <v>0.25804435483870969</v>
      </c>
    </row>
    <row r="104" spans="1:14">
      <c r="A104" s="3263"/>
      <c r="B104" s="2885">
        <v>3</v>
      </c>
      <c r="C104" s="2886">
        <f>1.1594/C101</f>
        <v>0.23374999999999999</v>
      </c>
      <c r="D104" s="2886">
        <f>1.1594/D101</f>
        <v>0.23374999999999999</v>
      </c>
      <c r="E104" s="2886">
        <f>1.0788/E101</f>
        <v>0.2175</v>
      </c>
      <c r="F104" s="2886">
        <f>1.0788/F101</f>
        <v>0.2175</v>
      </c>
      <c r="G104" s="2886">
        <f>1.0788/G101</f>
        <v>0.2175</v>
      </c>
      <c r="H104" s="2886">
        <f>1.0788/H101</f>
        <v>0.2175</v>
      </c>
      <c r="I104" s="2886">
        <f>1.0788/I101</f>
        <v>0.2175</v>
      </c>
      <c r="J104" s="2886">
        <f>1.0072/J101</f>
        <v>0.20306451612903229</v>
      </c>
      <c r="K104" s="2886">
        <f>1.0072/K101</f>
        <v>0.20306451612903229</v>
      </c>
      <c r="L104" s="2886">
        <f>1.0072/L101</f>
        <v>0.20306451612903229</v>
      </c>
      <c r="M104" s="2886">
        <f>1.0072/M101</f>
        <v>0.20306451612903229</v>
      </c>
      <c r="N104" s="2886">
        <f>1.0072/N101</f>
        <v>0.20306451612903229</v>
      </c>
    </row>
    <row r="105" spans="1:14">
      <c r="A105" s="3263"/>
      <c r="B105" s="2885">
        <v>4</v>
      </c>
      <c r="C105" s="2886">
        <f>0.9622/C101</f>
        <v>0.19399193548387098</v>
      </c>
      <c r="D105" s="2886">
        <f>0.9622/D101</f>
        <v>0.19399193548387098</v>
      </c>
      <c r="E105" s="2886">
        <f>0.8656/E101</f>
        <v>0.17451612903225808</v>
      </c>
      <c r="F105" s="2886">
        <f>0.8656/F101</f>
        <v>0.17451612903225808</v>
      </c>
      <c r="G105" s="2886">
        <f>0.8656/G101</f>
        <v>0.17451612903225808</v>
      </c>
      <c r="H105" s="2886">
        <f>0.8656/H101</f>
        <v>0.17451612903225808</v>
      </c>
      <c r="I105" s="2886">
        <f>0.8656/I101</f>
        <v>0.17451612903225808</v>
      </c>
      <c r="J105" s="2886">
        <f>0.7525/J101</f>
        <v>0.15171370967741934</v>
      </c>
      <c r="K105" s="2886">
        <f>0.7525/K101</f>
        <v>0.15171370967741934</v>
      </c>
      <c r="L105" s="2886">
        <f>0.7525/L101</f>
        <v>0.15171370967741934</v>
      </c>
      <c r="M105" s="2886">
        <f>0.7525/M101</f>
        <v>0.15171370967741934</v>
      </c>
      <c r="N105" s="2886">
        <f>0.7525/N101</f>
        <v>0.15171370967741934</v>
      </c>
    </row>
    <row r="106" spans="1:14">
      <c r="A106" s="3263"/>
      <c r="B106" s="2885">
        <v>5</v>
      </c>
      <c r="C106" s="2886">
        <f>0.8417/C101</f>
        <v>0.1696975806451613</v>
      </c>
      <c r="D106" s="2886">
        <f>0.8417/D101</f>
        <v>0.1696975806451613</v>
      </c>
      <c r="E106" s="2886">
        <f>0.7371/E101</f>
        <v>0.14860887096774192</v>
      </c>
      <c r="F106" s="2886">
        <f>0.7371/F101</f>
        <v>0.14860887096774192</v>
      </c>
      <c r="G106" s="2886">
        <f>0.7371/G101</f>
        <v>0.14860887096774192</v>
      </c>
      <c r="H106" s="2886">
        <f>0.7371/H101</f>
        <v>0.14860887096774192</v>
      </c>
      <c r="I106" s="2886">
        <f>0.7371/I101</f>
        <v>0.14860887096774192</v>
      </c>
      <c r="J106" s="2886">
        <f>0.5659/J101</f>
        <v>0.11409274193548387</v>
      </c>
      <c r="K106" s="2886">
        <f>0.5659/K101</f>
        <v>0.11409274193548387</v>
      </c>
      <c r="L106" s="2886">
        <f>0.5659/L101</f>
        <v>0.11409274193548387</v>
      </c>
      <c r="M106" s="2886">
        <f>0.5659/M101</f>
        <v>0.11409274193548387</v>
      </c>
      <c r="N106" s="2886">
        <f>0.5659/N101</f>
        <v>0.11409274193548387</v>
      </c>
    </row>
    <row r="107" spans="1:14">
      <c r="A107" s="3263"/>
      <c r="B107" s="2885">
        <v>6</v>
      </c>
      <c r="C107" s="2886">
        <f>0.7608/C101</f>
        <v>0.15338709677419354</v>
      </c>
      <c r="D107" s="2886">
        <f>0.7608/D101</f>
        <v>0.15338709677419354</v>
      </c>
      <c r="E107" s="2886">
        <f>0.6482/E101</f>
        <v>0.13068548387096773</v>
      </c>
      <c r="F107" s="2886">
        <f>0.6482/F101</f>
        <v>0.13068548387096773</v>
      </c>
      <c r="G107" s="2886">
        <f>0.6482/G101</f>
        <v>0.13068548387096773</v>
      </c>
      <c r="H107" s="2886">
        <f>0.6482/H101</f>
        <v>0.13068548387096773</v>
      </c>
      <c r="I107" s="2886">
        <f>0.6482/I101</f>
        <v>0.13068548387096773</v>
      </c>
      <c r="J107" s="2886">
        <f>0.4525/J101</f>
        <v>9.1229838709677422E-2</v>
      </c>
      <c r="K107" s="2886">
        <f>0.4525/K101</f>
        <v>9.1229838709677422E-2</v>
      </c>
      <c r="L107" s="2886">
        <f>0.4525/L101</f>
        <v>9.1229838709677422E-2</v>
      </c>
      <c r="M107" s="2886">
        <f>0.4525/M101</f>
        <v>9.1229838709677422E-2</v>
      </c>
      <c r="N107" s="2886">
        <f>0.4525/N101</f>
        <v>9.1229838709677422E-2</v>
      </c>
    </row>
    <row r="108" spans="1:14">
      <c r="A108" s="3263"/>
      <c r="B108" s="3091" t="s">
        <v>2869</v>
      </c>
      <c r="C108" s="2887">
        <f>C99</f>
        <v>1</v>
      </c>
      <c r="D108" s="2887">
        <f t="shared" ref="D108:N108" si="32">D99</f>
        <v>1</v>
      </c>
      <c r="E108" s="2887">
        <f t="shared" si="32"/>
        <v>1</v>
      </c>
      <c r="F108" s="2887">
        <f t="shared" si="32"/>
        <v>1</v>
      </c>
      <c r="G108" s="2887">
        <f t="shared" si="32"/>
        <v>1</v>
      </c>
      <c r="H108" s="2887">
        <f t="shared" si="32"/>
        <v>1</v>
      </c>
      <c r="I108" s="2887">
        <f t="shared" si="32"/>
        <v>1</v>
      </c>
      <c r="J108" s="2887">
        <f t="shared" si="32"/>
        <v>1</v>
      </c>
      <c r="K108" s="2887">
        <f t="shared" si="32"/>
        <v>1</v>
      </c>
      <c r="L108" s="2887">
        <f t="shared" si="32"/>
        <v>1</v>
      </c>
      <c r="M108" s="2887">
        <f t="shared" si="32"/>
        <v>1</v>
      </c>
      <c r="N108" s="2887">
        <f t="shared" si="32"/>
        <v>1</v>
      </c>
    </row>
    <row r="109" spans="1:14">
      <c r="A109" s="3264"/>
      <c r="B109" s="3092"/>
      <c r="C109" s="2888">
        <f>(-0.163*(C108^2)-0.59*C108+7617)*(10^(-4))/C101</f>
        <v>0.15355336693548388</v>
      </c>
      <c r="D109" s="2888">
        <f>(-0.163*(D108^2)-0.59*D108+7617)*(10^(-4))/D101</f>
        <v>0.15355336693548388</v>
      </c>
      <c r="E109" s="2888">
        <f>(-0.161*(E108^2)-7.509*E108+6533)*(10^(-4))/E101</f>
        <v>0.13155907258064517</v>
      </c>
      <c r="F109" s="2888">
        <f>(-0.161*(F108^2)-7.509*F108+6533)*(10^(-4))/F101</f>
        <v>0.13155907258064517</v>
      </c>
      <c r="G109" s="2888">
        <f>(-0.161*(G108^2)-7.509*G108+6533)*(10^(-4))/G101</f>
        <v>0.13155907258064517</v>
      </c>
      <c r="H109" s="2888">
        <f>(-0.161*(H108^2)-7.509*H108+6533)*(10^(-4))/H101</f>
        <v>0.13155907258064517</v>
      </c>
      <c r="I109" s="2888">
        <f>(-0.161*(I108^2)-7.509*I108+6533)*(10^(-4))/I101</f>
        <v>0.13155907258064517</v>
      </c>
      <c r="J109" s="2888">
        <f>(-0.214*(J108^2)-21.991*J108+4665)*(10^(-4))/J101</f>
        <v>9.3604737903225807E-2</v>
      </c>
      <c r="K109" s="2888">
        <f>(-0.214*(K108^2)-21.991*K108+4665)*(10^(-4))/K101</f>
        <v>9.3604737903225807E-2</v>
      </c>
      <c r="L109" s="2888">
        <f>(-0.214*(L108^2)-21.991*L108+4665)*(10^(-4))/L101</f>
        <v>9.3604737903225807E-2</v>
      </c>
      <c r="M109" s="2888">
        <f>(-0.214*(M108^2)-21.991*M108+4665)*(10^(-4))/M101</f>
        <v>9.3604737903225807E-2</v>
      </c>
      <c r="N109" s="2888">
        <f>(-0.214*(N108^2)-21.991*N108+4665)*(10^(-4))/N101</f>
        <v>9.3604737903225807E-2</v>
      </c>
    </row>
    <row r="110" spans="1:14">
      <c r="A110" s="3260" t="s">
        <v>2978</v>
      </c>
      <c r="B110" s="3260"/>
      <c r="C110" s="3260"/>
      <c r="D110" s="3260"/>
      <c r="E110" s="3260"/>
      <c r="F110" s="3260"/>
      <c r="G110" s="3260"/>
      <c r="H110" s="3260"/>
      <c r="I110" s="3260"/>
      <c r="J110" s="3260"/>
      <c r="K110" s="2968"/>
      <c r="L110" s="2968"/>
      <c r="M110" s="2968"/>
      <c r="N110" s="2968"/>
    </row>
    <row r="112" spans="1:14" ht="13.5" thickBot="1"/>
    <row r="113" spans="1:13" ht="25.5" thickBot="1">
      <c r="A113" s="899" t="s">
        <v>2979</v>
      </c>
      <c r="B113" s="1283">
        <f>G3</f>
        <v>4.96</v>
      </c>
      <c r="C113" s="900" t="s">
        <v>2980</v>
      </c>
      <c r="D113" s="901">
        <f>SUMPRODUCT((A115:A118=F113)*(B114:M114=H113)*B115:M118)</f>
        <v>0.88690000000000002</v>
      </c>
      <c r="E113" s="2722" t="s">
        <v>2813</v>
      </c>
      <c r="F113" s="2893" t="str">
        <f>E2</f>
        <v>商业</v>
      </c>
      <c r="G113" s="2722" t="s">
        <v>2814</v>
      </c>
      <c r="H113" s="2893" t="str">
        <f>G2</f>
        <v>一级</v>
      </c>
      <c r="I113" s="2722"/>
      <c r="J113" s="2894"/>
      <c r="K113" s="2894"/>
      <c r="L113" s="2894"/>
      <c r="M113" s="2894"/>
    </row>
    <row r="114" spans="1:13">
      <c r="A114" s="904"/>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5" t="s">
        <v>2878</v>
      </c>
      <c r="B115" s="906">
        <f>ROUND(0.9335-0.0094*B113,4)</f>
        <v>0.88690000000000002</v>
      </c>
      <c r="C115" s="906">
        <f>B115</f>
        <v>0.88690000000000002</v>
      </c>
      <c r="D115" s="906">
        <f>ROUND(0.8331-0.0109*B113,4)</f>
        <v>0.77900000000000003</v>
      </c>
      <c r="E115" s="906">
        <f>D115</f>
        <v>0.77900000000000003</v>
      </c>
      <c r="F115" s="906">
        <f>E115</f>
        <v>0.77900000000000003</v>
      </c>
      <c r="G115" s="906">
        <f>F115</f>
        <v>0.77900000000000003</v>
      </c>
      <c r="H115" s="906">
        <f>G115</f>
        <v>0.77900000000000003</v>
      </c>
      <c r="I115" s="906">
        <f>ROUND(0.689-0.0155*B113,4)</f>
        <v>0.61209999999999998</v>
      </c>
      <c r="J115" s="906">
        <f t="shared" ref="J115:M118" si="33">I115</f>
        <v>0.61209999999999998</v>
      </c>
      <c r="K115" s="906">
        <f t="shared" si="33"/>
        <v>0.61209999999999998</v>
      </c>
      <c r="L115" s="906">
        <f t="shared" si="33"/>
        <v>0.61209999999999998</v>
      </c>
      <c r="M115" s="907">
        <f t="shared" si="33"/>
        <v>0.61209999999999998</v>
      </c>
    </row>
    <row r="116" spans="1:13">
      <c r="A116" s="905" t="s">
        <v>2879</v>
      </c>
      <c r="B116" s="906">
        <f>ROUND(0.949-0.012*B113,4)</f>
        <v>0.88949999999999996</v>
      </c>
      <c r="C116" s="906">
        <f>B116</f>
        <v>0.88949999999999996</v>
      </c>
      <c r="D116" s="906">
        <f>ROUND(0.8567-0.013*B113,4)</f>
        <v>0.79220000000000002</v>
      </c>
      <c r="E116" s="906">
        <f t="shared" ref="E116:H117" si="34">D116</f>
        <v>0.79220000000000002</v>
      </c>
      <c r="F116" s="906">
        <f t="shared" si="34"/>
        <v>0.79220000000000002</v>
      </c>
      <c r="G116" s="906">
        <f t="shared" si="34"/>
        <v>0.79220000000000002</v>
      </c>
      <c r="H116" s="906">
        <f t="shared" si="34"/>
        <v>0.79220000000000002</v>
      </c>
      <c r="I116" s="906">
        <f>ROUND(0.7694-0.014*B113,4)</f>
        <v>0.7</v>
      </c>
      <c r="J116" s="906">
        <f t="shared" si="33"/>
        <v>0.7</v>
      </c>
      <c r="K116" s="906">
        <f t="shared" si="33"/>
        <v>0.7</v>
      </c>
      <c r="L116" s="906">
        <f t="shared" si="33"/>
        <v>0.7</v>
      </c>
      <c r="M116" s="907">
        <f t="shared" si="33"/>
        <v>0.7</v>
      </c>
    </row>
    <row r="117" spans="1:13">
      <c r="A117" s="905" t="s">
        <v>2880</v>
      </c>
      <c r="B117" s="906">
        <f>ROUND(0.8808-0.006*B113,4)</f>
        <v>0.85099999999999998</v>
      </c>
      <c r="C117" s="906">
        <f>B117</f>
        <v>0.85099999999999998</v>
      </c>
      <c r="D117" s="906">
        <f>ROUND(0.8748-0.008*B113,4)</f>
        <v>0.83509999999999995</v>
      </c>
      <c r="E117" s="906">
        <f t="shared" si="34"/>
        <v>0.83509999999999995</v>
      </c>
      <c r="F117" s="906">
        <f t="shared" si="34"/>
        <v>0.83509999999999995</v>
      </c>
      <c r="G117" s="906">
        <f t="shared" si="34"/>
        <v>0.83509999999999995</v>
      </c>
      <c r="H117" s="906">
        <f t="shared" si="34"/>
        <v>0.83509999999999995</v>
      </c>
      <c r="I117" s="906">
        <f>ROUND(0.7412-0.0095*B113,4)</f>
        <v>0.69410000000000005</v>
      </c>
      <c r="J117" s="906">
        <f t="shared" si="33"/>
        <v>0.69410000000000005</v>
      </c>
      <c r="K117" s="906">
        <f t="shared" si="33"/>
        <v>0.69410000000000005</v>
      </c>
      <c r="L117" s="906">
        <f t="shared" si="33"/>
        <v>0.69410000000000005</v>
      </c>
      <c r="M117" s="907">
        <f t="shared" si="33"/>
        <v>0.69410000000000005</v>
      </c>
    </row>
    <row r="118" spans="1:13" ht="13.5" thickBot="1">
      <c r="A118" s="714" t="s">
        <v>2881</v>
      </c>
      <c r="B118" s="908">
        <f>ROUND(0.7275-0.01*B113,4)</f>
        <v>0.67789999999999995</v>
      </c>
      <c r="C118" s="908">
        <f>B118</f>
        <v>0.67789999999999995</v>
      </c>
      <c r="D118" s="908">
        <f>ROUND(0.7043-0.012*B113,4)</f>
        <v>0.64480000000000004</v>
      </c>
      <c r="E118" s="908">
        <f>D118</f>
        <v>0.64480000000000004</v>
      </c>
      <c r="F118" s="908">
        <f>E118</f>
        <v>0.64480000000000004</v>
      </c>
      <c r="G118" s="908">
        <f>ROUND(0.6299-0.0122*B113,4)</f>
        <v>0.56940000000000002</v>
      </c>
      <c r="H118" s="908">
        <f>G118</f>
        <v>0.56940000000000002</v>
      </c>
      <c r="I118" s="908">
        <f>ROUND(0.5667-0.0136*B113,4)</f>
        <v>0.49919999999999998</v>
      </c>
      <c r="J118" s="908">
        <f t="shared" si="33"/>
        <v>0.49919999999999998</v>
      </c>
      <c r="K118" s="908">
        <f t="shared" si="33"/>
        <v>0.49919999999999998</v>
      </c>
      <c r="L118" s="908">
        <f t="shared" si="33"/>
        <v>0.49919999999999998</v>
      </c>
      <c r="M118" s="909">
        <f t="shared" si="33"/>
        <v>0.49919999999999998</v>
      </c>
    </row>
  </sheetData>
  <sheetProtection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R34" sqref="R34"/>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8" customWidth="1"/>
    <col min="33" max="36" width="9.375" style="2786" customWidth="1"/>
    <col min="37" max="38" width="9.375" style="2718" customWidth="1"/>
    <col min="39" max="16384" width="12" style="2718"/>
  </cols>
  <sheetData>
    <row r="1" spans="1:36" ht="28.5">
      <c r="A1" s="240" t="s">
        <v>2803</v>
      </c>
      <c r="B1" s="241"/>
      <c r="C1" s="245" t="s">
        <v>2804</v>
      </c>
      <c r="D1" s="388">
        <f>SUM(D29:D30,D33:D39)</f>
        <v>25646.92</v>
      </c>
      <c r="E1" s="2715"/>
      <c r="F1" s="2715"/>
      <c r="G1" s="2715"/>
      <c r="H1" s="2715"/>
      <c r="I1" s="2715"/>
      <c r="J1" s="2715"/>
      <c r="K1" s="1366"/>
      <c r="L1" s="2716" t="s">
        <v>2805</v>
      </c>
      <c r="M1" s="1076">
        <f>SUMPRODUCT((区片价!B5:B9=I2)*(区片价!C3:F3=E2)*(区片价!C5:F9))</f>
        <v>29780</v>
      </c>
      <c r="N1" s="1079">
        <f>SUMPRODUCT((因素修正幅度!B5:B9=I2)*(因素修正幅度!C3:F3=E2)*(因素修正幅度!C5:F9))</f>
        <v>9.8000000000000004E-2</v>
      </c>
      <c r="O1" s="2717"/>
      <c r="P1" s="2717"/>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76066</v>
      </c>
      <c r="C2" s="2719" t="s">
        <v>2812</v>
      </c>
      <c r="D2" s="2720" t="s">
        <v>2813</v>
      </c>
      <c r="E2" s="2721" t="s">
        <v>27</v>
      </c>
      <c r="F2" s="2720" t="s">
        <v>2814</v>
      </c>
      <c r="G2" s="2722" t="str">
        <f>IF(E2="商业",项目基本情况!B37,IF(E2="办公",项目基本情况!C37,IF(E2="住宅",项目基本情况!D37,项目基本情况!E37)))</f>
        <v>一级</v>
      </c>
      <c r="H2" s="2720" t="s">
        <v>2815</v>
      </c>
      <c r="I2" s="2722" t="str">
        <f>IF(E2="商业",项目基本情况!B38,IF(E2="办公",项目基本情况!C38,IF(E2="住宅",项目基本情况!D38,项目基本情况!E38)))</f>
        <v>Ⅰ—04</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1.9361999999999999</v>
      </c>
      <c r="T2" s="1598">
        <f ca="1">ROUND($C$5*$C$18*$C$19*$C$20*S2*$C$24,0)</f>
        <v>75228</v>
      </c>
      <c r="U2" s="1599"/>
      <c r="V2" s="1598">
        <f ca="1">ROUND(T2*U2/10000,0)</f>
        <v>0</v>
      </c>
      <c r="W2" s="1602"/>
      <c r="X2" s="1602"/>
      <c r="Y2" s="1602"/>
      <c r="Z2" s="1602"/>
      <c r="AA2" s="1602"/>
      <c r="AB2" s="1602"/>
      <c r="AC2" s="1603"/>
      <c r="AD2" s="1604"/>
      <c r="AE2" s="1604"/>
      <c r="AF2" s="1604"/>
      <c r="AG2" s="1604"/>
      <c r="AH2" s="1604"/>
      <c r="AI2" s="1604"/>
      <c r="AJ2" s="1605"/>
    </row>
    <row r="3" spans="1:36" ht="25.5">
      <c r="A3" s="247" t="s">
        <v>2817</v>
      </c>
      <c r="B3" s="248">
        <f ca="1">ROUND(B2*10000/D1,0)</f>
        <v>29659</v>
      </c>
      <c r="C3" s="2719" t="s">
        <v>2818</v>
      </c>
      <c r="D3" s="2720" t="s">
        <v>2819</v>
      </c>
      <c r="E3" s="2725" t="s">
        <v>3071</v>
      </c>
      <c r="F3" s="2726" t="s">
        <v>2820</v>
      </c>
      <c r="G3" s="912">
        <f>IF(F3="宗地容积率",'数据-汇总表'!I4,IF(F3="估价对象容积率",'数据-汇总表'!I6,'数据-汇总表'!I7))</f>
        <v>4.96</v>
      </c>
      <c r="H3" s="198"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55164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73"/>
      <c r="B4" s="3274"/>
      <c r="C4" s="3274"/>
      <c r="D4" s="3275"/>
      <c r="E4" s="3275"/>
      <c r="F4" s="3275"/>
      <c r="G4" s="3275"/>
      <c r="H4" s="3275"/>
      <c r="I4" s="3275"/>
      <c r="J4" s="3276"/>
      <c r="K4" s="1366"/>
      <c r="L4" s="2724"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45047</v>
      </c>
      <c r="U4" s="1599"/>
      <c r="V4" s="1598">
        <f t="shared" ca="1" si="1"/>
        <v>0</v>
      </c>
      <c r="W4" s="1602"/>
      <c r="X4" s="1602"/>
      <c r="Y4" s="1602"/>
      <c r="Z4" s="1602"/>
      <c r="AA4" s="1602"/>
      <c r="AB4" s="1602"/>
      <c r="AC4" s="1603"/>
      <c r="AD4" s="1604"/>
      <c r="AE4" s="1604"/>
      <c r="AF4" s="1604"/>
      <c r="AG4" s="1604"/>
      <c r="AH4" s="1604"/>
      <c r="AI4" s="1604"/>
      <c r="AJ4" s="1605"/>
    </row>
    <row r="5" spans="1:36" s="2736" customFormat="1" ht="15.75" thickBot="1">
      <c r="A5" s="2727" t="s">
        <v>807</v>
      </c>
      <c r="B5" s="2728" t="s">
        <v>2825</v>
      </c>
      <c r="C5" s="913">
        <f>ROUND(IF(E2="商业",C6*C7+C16,(IF(E2="住宅",C6*C12+C16,C6+C16))),0)</f>
        <v>29749</v>
      </c>
      <c r="D5" s="1783">
        <f>ROUND(C6+C16,0)</f>
        <v>29749</v>
      </c>
      <c r="E5" s="1783"/>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37385</v>
      </c>
      <c r="U5" s="1599"/>
      <c r="V5" s="1598">
        <f t="shared" ca="1" si="1"/>
        <v>0</v>
      </c>
      <c r="W5" s="1602"/>
      <c r="X5" s="1602"/>
      <c r="Y5" s="1602"/>
      <c r="Z5" s="1602"/>
      <c r="AA5" s="1602"/>
      <c r="AB5" s="1602"/>
      <c r="AC5" s="2733"/>
      <c r="AD5" s="2734"/>
      <c r="AE5" s="2734"/>
      <c r="AF5" s="2734"/>
      <c r="AG5" s="2734"/>
      <c r="AH5" s="2734"/>
      <c r="AI5" s="2734"/>
      <c r="AJ5" s="2735"/>
    </row>
    <row r="6" spans="1:36" ht="15.75" thickBot="1">
      <c r="A6" s="2737" t="s">
        <v>2827</v>
      </c>
      <c r="B6" s="2738" t="s">
        <v>2828</v>
      </c>
      <c r="C6" s="914">
        <f>SUMIF(L1:L12,G2,M1:M12)</f>
        <v>29780</v>
      </c>
      <c r="D6" s="2739" t="s">
        <v>2829</v>
      </c>
      <c r="E6" s="2740"/>
      <c r="F6" s="2740"/>
      <c r="G6" s="2741"/>
      <c r="H6" s="2741"/>
      <c r="I6" s="2741"/>
      <c r="J6" s="2742"/>
      <c r="K6" s="1838"/>
      <c r="L6" s="2724"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32703</v>
      </c>
      <c r="U6" s="1599"/>
      <c r="V6" s="1598">
        <f t="shared" ca="1" si="1"/>
        <v>0</v>
      </c>
      <c r="W6" s="1602"/>
      <c r="X6" s="1602"/>
      <c r="Y6" s="1602"/>
      <c r="Z6" s="1602"/>
      <c r="AA6" s="1602"/>
      <c r="AB6" s="1602"/>
      <c r="AC6" s="2733"/>
      <c r="AD6" s="2734"/>
      <c r="AE6" s="2734"/>
      <c r="AF6" s="2734"/>
      <c r="AG6" s="2734"/>
      <c r="AH6" s="2734"/>
      <c r="AI6" s="2734"/>
      <c r="AJ6" s="2735"/>
    </row>
    <row r="7" spans="1:36" ht="24">
      <c r="A7" s="3257" t="str">
        <f>IF(E2="商业",IF(C8="不临58条商业街","",2),"")</f>
        <v/>
      </c>
      <c r="B7" s="2743" t="s">
        <v>2831</v>
      </c>
      <c r="C7" s="915" t="e">
        <f>IF(C8="不临58条商业街",1,ROUND(1+(1.6*E8+1.2*E9+0.8*E10+0.4*E11)*C9,4))</f>
        <v>#DIV/0!</v>
      </c>
      <c r="D7" s="2744" t="s">
        <v>2832</v>
      </c>
      <c r="E7" s="941"/>
      <c r="F7" s="2745"/>
      <c r="G7" s="2746"/>
      <c r="H7" s="2746"/>
      <c r="I7" s="2746"/>
      <c r="J7" s="2747"/>
      <c r="K7" s="1838"/>
      <c r="L7" s="2724"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29560</v>
      </c>
      <c r="U7" s="1599"/>
      <c r="V7" s="1598">
        <f t="shared" ca="1" si="1"/>
        <v>0</v>
      </c>
      <c r="W7" s="1812" t="s">
        <v>2834</v>
      </c>
      <c r="X7" s="1600" t="str">
        <f>G2</f>
        <v>一级</v>
      </c>
      <c r="Y7" s="1600" t="s">
        <v>2835</v>
      </c>
      <c r="Z7" s="1601">
        <f>G3</f>
        <v>4.96</v>
      </c>
      <c r="AA7" s="1602"/>
      <c r="AB7" s="1602"/>
      <c r="AC7" s="1603"/>
      <c r="AD7" s="1604"/>
      <c r="AE7" s="1604"/>
      <c r="AF7" s="1604"/>
      <c r="AG7" s="1604"/>
      <c r="AH7" s="1604"/>
      <c r="AI7" s="1604"/>
      <c r="AJ7" s="1605"/>
    </row>
    <row r="8" spans="1:36" ht="15">
      <c r="A8" s="3277"/>
      <c r="B8" s="198" t="s">
        <v>2836</v>
      </c>
      <c r="C8" s="2748"/>
      <c r="D8" s="916" t="s">
        <v>139</v>
      </c>
      <c r="E8" s="917"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70" t="s">
        <v>2839</v>
      </c>
      <c r="X8" s="3271"/>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277"/>
      <c r="B9" s="198" t="s">
        <v>2852</v>
      </c>
      <c r="C9" s="918">
        <f>SUMIF(修正!C59:C119,C8,修正!E59:E119)</f>
        <v>0</v>
      </c>
      <c r="D9" s="200" t="s">
        <v>140</v>
      </c>
      <c r="E9" s="200"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72"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7"/>
      <c r="B10" s="198" t="s">
        <v>2857</v>
      </c>
      <c r="C10" s="200">
        <f>SUMIF(修正!C59:C119,C8,修正!F59:F119)</f>
        <v>0</v>
      </c>
      <c r="D10" s="200" t="s">
        <v>141</v>
      </c>
      <c r="E10" s="200"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7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7"/>
      <c r="B11" s="2752" t="s">
        <v>2860</v>
      </c>
      <c r="C11" s="919">
        <f>C10/4</f>
        <v>0</v>
      </c>
      <c r="D11" s="919" t="s">
        <v>142</v>
      </c>
      <c r="E11" s="919"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72" t="s">
        <v>2863</v>
      </c>
      <c r="X11" s="1610" t="s">
        <v>2864</v>
      </c>
      <c r="Y11" s="1611">
        <f>$G$3</f>
        <v>4.96</v>
      </c>
      <c r="Z11" s="1611">
        <f t="shared" ref="Z11:AJ11" si="3">$G$3</f>
        <v>4.96</v>
      </c>
      <c r="AA11" s="1611">
        <f t="shared" si="3"/>
        <v>4.96</v>
      </c>
      <c r="AB11" s="1611">
        <f t="shared" si="3"/>
        <v>4.96</v>
      </c>
      <c r="AC11" s="1611">
        <f t="shared" si="3"/>
        <v>4.96</v>
      </c>
      <c r="AD11" s="1611">
        <f t="shared" si="3"/>
        <v>4.96</v>
      </c>
      <c r="AE11" s="1611">
        <f t="shared" si="3"/>
        <v>4.96</v>
      </c>
      <c r="AF11" s="1611">
        <f t="shared" si="3"/>
        <v>4.96</v>
      </c>
      <c r="AG11" s="1611">
        <f t="shared" si="3"/>
        <v>4.96</v>
      </c>
      <c r="AH11" s="1611">
        <f t="shared" si="3"/>
        <v>4.96</v>
      </c>
      <c r="AI11" s="1611">
        <f t="shared" si="3"/>
        <v>4.96</v>
      </c>
      <c r="AJ11" s="1611">
        <f t="shared" si="3"/>
        <v>4.96</v>
      </c>
    </row>
    <row r="12" spans="1:36" ht="25.5" thickBot="1">
      <c r="A12" s="3257" t="s">
        <v>2865</v>
      </c>
      <c r="B12" s="2756" t="s">
        <v>2866</v>
      </c>
      <c r="C12" s="915">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72"/>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8"/>
      <c r="B13" s="2762" t="s">
        <v>2870</v>
      </c>
      <c r="C13" s="2763" t="s">
        <v>2871</v>
      </c>
      <c r="D13" s="1804" t="s">
        <v>2872</v>
      </c>
      <c r="E13" s="1804" t="s">
        <v>2873</v>
      </c>
      <c r="F13" s="30" t="s">
        <v>2874</v>
      </c>
      <c r="G13" s="2764" t="s">
        <v>2875</v>
      </c>
      <c r="H13" s="2764" t="s">
        <v>2875</v>
      </c>
      <c r="I13" s="2764" t="s">
        <v>2875</v>
      </c>
      <c r="J13" s="2765" t="s">
        <v>2875</v>
      </c>
      <c r="K13" s="1366"/>
      <c r="L13" s="1366"/>
      <c r="M13" s="1366"/>
      <c r="N13" s="1366"/>
      <c r="O13" s="1366"/>
      <c r="P13" s="1366"/>
      <c r="Q13" s="1366"/>
      <c r="R13" s="1598">
        <v>12</v>
      </c>
      <c r="S13" s="1599"/>
      <c r="T13" s="1598">
        <f t="shared" ca="1" si="0"/>
        <v>0</v>
      </c>
      <c r="U13" s="1599"/>
      <c r="V13" s="1598">
        <f t="shared" ca="1" si="1"/>
        <v>0</v>
      </c>
      <c r="W13" s="3272"/>
      <c r="X13" s="1612"/>
      <c r="Y13" s="1609">
        <f>(-0.163*(Y12^2)-0.59*Y12+7617)*(10^(-4))/Y11</f>
        <v>0.15356854838709677</v>
      </c>
      <c r="Z13" s="1609">
        <f t="shared" ref="Z13:AJ13" si="5">(-0.163*(Z12^2)-0.59*Z12+7617)*(10^(-4))/Z11</f>
        <v>0.15356854838709677</v>
      </c>
      <c r="AA13" s="1609">
        <f t="shared" si="5"/>
        <v>0.15356854838709677</v>
      </c>
      <c r="AB13" s="1609">
        <f t="shared" si="5"/>
        <v>0.15356854838709677</v>
      </c>
      <c r="AC13" s="1609">
        <f t="shared" si="5"/>
        <v>0.15356854838709677</v>
      </c>
      <c r="AD13" s="1609">
        <f t="shared" si="5"/>
        <v>0.15356854838709677</v>
      </c>
      <c r="AE13" s="1609">
        <f t="shared" si="5"/>
        <v>0.15356854838709677</v>
      </c>
      <c r="AF13" s="1609">
        <f t="shared" si="5"/>
        <v>0.15356854838709677</v>
      </c>
      <c r="AG13" s="1609">
        <f t="shared" si="5"/>
        <v>0.15356854838709677</v>
      </c>
      <c r="AH13" s="1609">
        <f t="shared" si="5"/>
        <v>0.15356854838709677</v>
      </c>
      <c r="AI13" s="1609">
        <f t="shared" si="5"/>
        <v>0.15356854838709677</v>
      </c>
      <c r="AJ13" s="1609">
        <f t="shared" si="5"/>
        <v>0.15356854838709677</v>
      </c>
    </row>
    <row r="14" spans="1:36" ht="15">
      <c r="A14" s="3278"/>
      <c r="B14" s="2766"/>
      <c r="C14" s="2767"/>
      <c r="D14" s="2768"/>
      <c r="E14" s="2768"/>
      <c r="F14" s="2769"/>
      <c r="G14" s="2770" t="s">
        <v>2876</v>
      </c>
      <c r="H14" s="2771"/>
      <c r="I14" s="2772"/>
      <c r="J14" s="2773"/>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9"/>
      <c r="B15" s="2774" t="s">
        <v>2877</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57" t="s">
        <v>2882</v>
      </c>
      <c r="B16" s="2743" t="s">
        <v>2883</v>
      </c>
      <c r="C16" s="2930">
        <f>ROUND(IF(F17="与级别开发程度一致",0,(G17-E17)/C17),0)</f>
        <v>-31</v>
      </c>
      <c r="D16" s="3268" t="s">
        <v>2887</v>
      </c>
      <c r="E16" s="3269"/>
      <c r="F16" s="3268" t="s">
        <v>2884</v>
      </c>
      <c r="G16" s="3269"/>
      <c r="H16" s="2777" t="s">
        <v>3072</v>
      </c>
      <c r="I16" s="2777" t="s">
        <v>3073</v>
      </c>
      <c r="J16" s="2934" t="s">
        <v>3074</v>
      </c>
      <c r="K16" s="2777" t="s">
        <v>3075</v>
      </c>
      <c r="L16" s="2777" t="s">
        <v>3076</v>
      </c>
      <c r="M16" s="2777" t="s">
        <v>3077</v>
      </c>
      <c r="N16" s="2777"/>
      <c r="O16" s="2778"/>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8"/>
      <c r="B17" s="2941" t="s">
        <v>2886</v>
      </c>
      <c r="C17" s="2942">
        <f>SUMPRODUCT((修正!A2:A5=E2)*(修正!B1:M1=G2)*(修正!B2:M5))</f>
        <v>3.5</v>
      </c>
      <c r="D17" s="229" t="str">
        <f>IF(OR(G2="八级",G2="九级",G2="十级",G2="十一级",G2="十二级"),"五通一平","七通一平")</f>
        <v>七通一平</v>
      </c>
      <c r="E17" s="2931">
        <f>SUMPRODUCT((修正!B1:M1=G2)*(修正!B15:M15))</f>
        <v>375</v>
      </c>
      <c r="F17" s="2932" t="s">
        <v>3078</v>
      </c>
      <c r="G17" s="2933">
        <f>SUM(H17:O17)</f>
        <v>265</v>
      </c>
      <c r="H17" s="2942">
        <f>SUMPRODUCT((七通一平=H16)*(修正!B1:M1=G2)*(修正!B6:M14))</f>
        <v>80</v>
      </c>
      <c r="I17" s="2942">
        <f>SUMPRODUCT((七通一平=I16)*(修正!B1:M1=G2)*(修正!B6:M14))</f>
        <v>70</v>
      </c>
      <c r="J17" s="2943">
        <f>SUMPRODUCT((七通一平=J16)*(修正!B1:M1=G2)*(修正!B6:M14))</f>
        <v>20</v>
      </c>
      <c r="K17" s="2942">
        <f>SUMPRODUCT((七通一平=K16)*(修正!B1:M1=G2)*(修正!B6:M14))</f>
        <v>30</v>
      </c>
      <c r="L17" s="2942">
        <f>SUMPRODUCT((七通一平=L16)*(修正!B1:M1=G2)*(修正!B6:M14))</f>
        <v>45</v>
      </c>
      <c r="M17" s="2942">
        <f>SUMPRODUCT((七通一平=M16)*(修正!B1:M1=G2)*(修正!B6:M14))</f>
        <v>20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81"/>
      <c r="AF17" s="2781"/>
      <c r="AG17" s="2718"/>
      <c r="AH17" s="2718"/>
      <c r="AI17" s="2718"/>
      <c r="AJ17" s="2718"/>
    </row>
    <row r="18" spans="1:37" s="2736" customFormat="1" ht="15.75" thickBot="1">
      <c r="A18" s="2935" t="s">
        <v>808</v>
      </c>
      <c r="B18" s="2936" t="s">
        <v>2889</v>
      </c>
      <c r="C18" s="2937">
        <f>SUMIF(修正!C18:C39,E3,修正!E18:E39)</f>
        <v>1</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6"/>
      <c r="AH18" s="2786"/>
      <c r="AI18" s="2786"/>
    </row>
    <row r="19" spans="1:37" s="2736" customFormat="1" ht="29.25" thickBot="1">
      <c r="A19" s="2782" t="s">
        <v>809</v>
      </c>
      <c r="B19" s="2783" t="s">
        <v>2890</v>
      </c>
      <c r="C19" s="920">
        <f>ROUND(IF(H19="按公示增长率计算",SUMPRODUCT((地价!A3:A28=YEAR(G19)&amp;"-"&amp;ROUNDUP(MONTH(G19)/3,0))*(地价!X2:AB2=E2)*(地价!X3:AB28)),IF(H19="地价指数",M20/M19,(1+I19)^O19)),4)</f>
        <v>1.3557999999999999</v>
      </c>
      <c r="D19" s="2787" t="s">
        <v>2891</v>
      </c>
      <c r="E19" s="921">
        <v>41640</v>
      </c>
      <c r="F19" s="2787" t="s">
        <v>2892</v>
      </c>
      <c r="G19" s="922">
        <f>'数据-取费表'!B2</f>
        <v>43754</v>
      </c>
      <c r="H19" s="2788" t="s">
        <v>3079</v>
      </c>
      <c r="I19" s="923" t="str">
        <f>IF(H19="季度增幅（自定义）",SUMIF(N21:N24,E2,O21:O24),"")</f>
        <v/>
      </c>
      <c r="J19" s="2785"/>
      <c r="K19" s="1373"/>
      <c r="L19" s="2789" t="s">
        <v>2893</v>
      </c>
      <c r="M19" s="1730">
        <f>ROUND(SUMIF(地价!B2:F2,E2,地价!B28:F28),0)</f>
        <v>258</v>
      </c>
      <c r="N19" s="2790" t="s">
        <v>2894</v>
      </c>
      <c r="O19" s="924">
        <f>ROUNDDOWN(DATEDIF(E19,G19,"M")/3,0)</f>
        <v>23</v>
      </c>
      <c r="P19" s="1370"/>
      <c r="Q19" s="1372"/>
      <c r="R19" s="1372"/>
      <c r="S19" s="1372"/>
      <c r="T19" s="1367"/>
      <c r="U19" s="1367"/>
      <c r="V19" s="1367"/>
      <c r="W19" s="1366"/>
      <c r="X19" s="1366"/>
      <c r="Y19" s="1366"/>
      <c r="Z19" s="1373"/>
      <c r="AA19" s="1374"/>
      <c r="AB19" s="1374"/>
      <c r="AC19" s="1374"/>
      <c r="AD19" s="1374"/>
      <c r="AE19" s="1374"/>
      <c r="AF19" s="2791"/>
      <c r="AG19" s="2792"/>
      <c r="AH19" s="2786"/>
      <c r="AI19" s="2793"/>
      <c r="AJ19" s="2793"/>
      <c r="AK19" s="2793"/>
    </row>
    <row r="20" spans="1:37" s="2736" customFormat="1" ht="27.75" thickBot="1">
      <c r="A20" s="2794" t="s">
        <v>810</v>
      </c>
      <c r="B20" s="2795" t="s">
        <v>2895</v>
      </c>
      <c r="C20" s="925">
        <f ca="1">ROUND(POWER(1+G20,J20-I20)*(POWER(1+G20,I20)-1)/(POWER(1+G20,J20)-1),4)</f>
        <v>0.91359999999999997</v>
      </c>
      <c r="D20" s="2796" t="s">
        <v>2896</v>
      </c>
      <c r="E20" s="1764">
        <f ca="1">存贷款利率!D4/100</f>
        <v>4.3499999999999997E-2</v>
      </c>
      <c r="F20" s="2796" t="s">
        <v>2888</v>
      </c>
      <c r="G20" s="930">
        <f ca="1">SUMIF(M26:P26,E2,M28:P28)</f>
        <v>5.1999999999999998E-2</v>
      </c>
      <c r="H20" s="2796" t="s">
        <v>2897</v>
      </c>
      <c r="I20" s="931">
        <f>SUMIF('数据-取费表'!C6:C15,E2,'数据-取费表'!F6:F15)/COUNTIF('数据-取费表'!C6:C15,E2)</f>
        <v>36.29</v>
      </c>
      <c r="J20" s="932">
        <f>IF(E2="住宅",70,IF(E2="商业",40,50))</f>
        <v>50</v>
      </c>
      <c r="K20" s="1373"/>
      <c r="L20" s="2797" t="s">
        <v>2898</v>
      </c>
      <c r="M20" s="1731">
        <f>ROUND(SUMPRODUCT((地价!A4:A28=YEAR(G19)&amp;"-"&amp;ROUNDUP(MONTH(G19)/3,0))*(地价!B2:F2=E2)*(地价!B4:F28)),0)</f>
        <v>350</v>
      </c>
      <c r="N20" s="2798" t="s">
        <v>2899</v>
      </c>
      <c r="O20" s="2799" t="s">
        <v>2900</v>
      </c>
      <c r="P20" s="2800" t="s">
        <v>2901</v>
      </c>
      <c r="R20" s="1372"/>
      <c r="S20" s="1372"/>
      <c r="T20" s="1367"/>
      <c r="U20" s="1367"/>
      <c r="V20" s="1367"/>
      <c r="W20" s="1366"/>
      <c r="X20" s="1366"/>
      <c r="Y20" s="1366"/>
      <c r="Z20" s="1373"/>
      <c r="AA20" s="1374"/>
      <c r="AB20" s="1374"/>
      <c r="AC20" s="1374"/>
      <c r="AD20" s="1374"/>
      <c r="AE20" s="1374"/>
      <c r="AF20" s="1374"/>
    </row>
    <row r="21" spans="1:37" s="2736" customFormat="1" ht="15">
      <c r="A21" s="2801" t="s">
        <v>811</v>
      </c>
      <c r="B21" s="2802" t="s">
        <v>3080</v>
      </c>
      <c r="C21" s="933">
        <f>IF(B21="容积率修正",IF(G3&lt;=10,D22,J22),C23)</f>
        <v>0.91990000000000005</v>
      </c>
      <c r="D21" s="2803"/>
      <c r="E21" s="2803"/>
      <c r="F21" s="2803"/>
      <c r="G21" s="2803"/>
      <c r="H21" s="2803"/>
      <c r="I21" s="2803"/>
      <c r="J21" s="2804"/>
      <c r="K21" s="1373"/>
      <c r="N21" s="2805" t="s">
        <v>2902</v>
      </c>
      <c r="O21" s="1557"/>
      <c r="P21" s="1558">
        <f>SUMPRODUCT((地价!A3:A28=YEAR(G19)&amp;"-"&amp;ROUNDUP(MONTH(G19)/3,0))*(地价!AD2:AH2=N21)*(地价!AD3:AH28))</f>
        <v>1.38E-2</v>
      </c>
      <c r="R21" s="1372"/>
      <c r="S21" s="1372"/>
      <c r="T21" s="1367"/>
      <c r="U21" s="1367"/>
      <c r="V21" s="1367"/>
      <c r="W21" s="1366"/>
      <c r="X21" s="1366"/>
      <c r="Y21" s="1366"/>
      <c r="Z21" s="1373"/>
      <c r="AA21" s="1374"/>
      <c r="AB21" s="1374"/>
      <c r="AC21" s="1374"/>
      <c r="AD21" s="1374"/>
      <c r="AE21" s="1374"/>
      <c r="AF21" s="1374"/>
    </row>
    <row r="22" spans="1:37" s="2736" customFormat="1" ht="14.25">
      <c r="A22" s="2662" t="s">
        <v>2903</v>
      </c>
      <c r="B22" s="2806" t="s">
        <v>2904</v>
      </c>
      <c r="C22" s="1806" t="s">
        <v>2905</v>
      </c>
      <c r="D22" s="1806">
        <f>IF(E22=G22,F22,IF(G3&lt;=10,ROUND(F22+(H22-F22)*(G3-E22)/(G22-E22),4),"——"))</f>
        <v>0.91990000000000005</v>
      </c>
      <c r="E22" s="912">
        <f>ROUNDDOWN(G3,1)</f>
        <v>4.9000000000000004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0.92210000000000003</v>
      </c>
      <c r="G22" s="912">
        <f>ROUNDUP(G3,1)</f>
        <v>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0.91849999999999998</v>
      </c>
      <c r="I22" s="1806" t="s">
        <v>155</v>
      </c>
      <c r="J22" s="934" t="str">
        <f>IF(G3&gt;10,D113,"——")</f>
        <v>——</v>
      </c>
      <c r="K22" s="1373"/>
      <c r="N22" s="2805" t="s">
        <v>2906</v>
      </c>
      <c r="O22" s="1557"/>
      <c r="P22" s="1558">
        <f>SUMPRODUCT((地价!A3:A28=YEAR(G19)&amp;"-"&amp;ROUNDUP(MONTH(G19)/3,0))*(地价!AD2:AH2=N22)*(地价!AD3:AH28))</f>
        <v>1.38E-2</v>
      </c>
      <c r="R22" s="1372"/>
      <c r="S22" s="1372"/>
      <c r="T22" s="1367"/>
      <c r="U22" s="1367"/>
      <c r="V22" s="1367"/>
      <c r="W22" s="1366"/>
      <c r="X22" s="1366"/>
      <c r="Y22" s="1366"/>
      <c r="Z22" s="1373"/>
      <c r="AA22" s="1374"/>
      <c r="AB22" s="1374"/>
      <c r="AC22" s="1374"/>
      <c r="AD22" s="1374"/>
      <c r="AE22" s="1374"/>
      <c r="AF22" s="1374"/>
    </row>
    <row r="23" spans="1:37" ht="27.75" thickBot="1">
      <c r="A23" s="2662" t="s">
        <v>2907</v>
      </c>
      <c r="B23" s="2807" t="s">
        <v>2908</v>
      </c>
      <c r="C23" s="1009">
        <f>ROUND(IF(G3&gt;1,IF(I3&lt;7,SUMPRODUCT((B93:B98=I3)*(C92:N92=G2)*(C93:N98)),SUMIF(C92:N92,G2,C100:N100)),IF(I3&lt;7,SUMPRODUCT((B102:B107=I3)*(C92:N92=G2)*(C102:N107)),SUMIF(C92:N92,G2,C109:N109))),4)</f>
        <v>0</v>
      </c>
      <c r="D23" s="2771"/>
      <c r="E23" s="2771"/>
      <c r="F23" s="2808"/>
      <c r="G23" s="2809"/>
      <c r="H23" s="2810"/>
      <c r="I23" s="2811"/>
      <c r="J23" s="2812"/>
      <c r="K23" s="1366"/>
      <c r="N23" s="2805" t="s">
        <v>2909</v>
      </c>
      <c r="O23" s="1557"/>
      <c r="P23" s="1558">
        <f>SUMPRODUCT((地价!A3:A28=YEAR(G19)&amp;"-"&amp;ROUNDUP(MONTH(G19)/3,0))*(地价!AD2:AH2=N23)*(地价!AD3:AH28))</f>
        <v>2.1399999999999999E-2</v>
      </c>
      <c r="R23" s="1372"/>
      <c r="S23" s="1372"/>
      <c r="T23" s="1367"/>
      <c r="U23" s="1367"/>
      <c r="V23" s="1367"/>
      <c r="W23" s="1366"/>
      <c r="X23" s="1366"/>
      <c r="Y23" s="1366"/>
      <c r="Z23" s="1373"/>
      <c r="AA23" s="1374"/>
      <c r="AB23" s="1374"/>
      <c r="AC23" s="1374"/>
      <c r="AD23" s="1374"/>
      <c r="AK23" s="2786"/>
    </row>
    <row r="24" spans="1:37" s="2736" customFormat="1" ht="15.75" thickBot="1">
      <c r="A24" s="2794" t="s">
        <v>812</v>
      </c>
      <c r="B24" s="2783" t="s">
        <v>2910</v>
      </c>
      <c r="C24" s="920">
        <f>SUMIF(A45:A88,E2,B45:B88)</f>
        <v>1.0544</v>
      </c>
      <c r="D24" s="2784"/>
      <c r="E24" s="2813"/>
      <c r="F24" s="2813"/>
      <c r="G24" s="2813"/>
      <c r="H24" s="2813"/>
      <c r="I24" s="2813"/>
      <c r="J24" s="2814"/>
      <c r="K24" s="1373"/>
      <c r="N24" s="2815" t="s">
        <v>2911</v>
      </c>
      <c r="O24" s="1559"/>
      <c r="P24" s="1560">
        <f>SUMPRODUCT((地价!A3:A28=YEAR(G19)&amp;"-"&amp;ROUNDUP(MONTH(G19)/3,0))*(地价!AD2:AH2=N24)*(地价!AD3:AH28))</f>
        <v>1.34E-2</v>
      </c>
      <c r="R24" s="1372"/>
      <c r="S24" s="1372"/>
      <c r="T24" s="1367"/>
      <c r="U24" s="1367"/>
      <c r="V24" s="1367"/>
      <c r="W24" s="1366"/>
      <c r="X24" s="1366"/>
      <c r="Y24" s="1366"/>
      <c r="Z24" s="1373"/>
      <c r="AA24" s="1374"/>
      <c r="AB24" s="1374"/>
      <c r="AC24" s="1374"/>
      <c r="AD24" s="1374"/>
      <c r="AE24" s="1374"/>
      <c r="AF24" s="1374"/>
    </row>
    <row r="25" spans="1:37" ht="15.75" thickBot="1">
      <c r="A25" s="2794" t="s">
        <v>813</v>
      </c>
      <c r="B25" s="2816" t="s">
        <v>2912</v>
      </c>
      <c r="C25" s="926"/>
      <c r="D25" s="2746"/>
      <c r="E25" s="2746"/>
      <c r="F25" s="2817"/>
      <c r="G25" s="2746"/>
      <c r="H25" s="2746"/>
      <c r="I25" s="2746"/>
      <c r="J25" s="2747"/>
      <c r="K25" s="1366"/>
      <c r="N25" s="2818" t="s">
        <v>2913</v>
      </c>
      <c r="O25" s="1561"/>
      <c r="P25" s="1560">
        <f>SUMPRODUCT((地价!A3:A28=YEAR(G19)&amp;"-"&amp;ROUNDUP(MONTH(G19)/3,0))*(地价!AD2:AH2=N25)*(地价!AD3:AH28))</f>
        <v>1.9599999999999999E-2</v>
      </c>
      <c r="R25" s="1372"/>
      <c r="S25" s="1372"/>
      <c r="T25" s="1367"/>
      <c r="U25" s="1367"/>
      <c r="V25" s="1367"/>
      <c r="W25" s="1366"/>
      <c r="X25" s="1366"/>
      <c r="Y25" s="1366"/>
      <c r="Z25" s="1373"/>
      <c r="AA25" s="1374"/>
      <c r="AB25" s="1374"/>
      <c r="AC25" s="1374"/>
      <c r="AD25" s="1374"/>
    </row>
    <row r="26" spans="1:37" ht="15">
      <c r="A26" s="2819"/>
      <c r="B26" s="2806" t="s">
        <v>2914</v>
      </c>
      <c r="C26" s="206">
        <f ca="1">E29+SUM(E33:E39)</f>
        <v>76066</v>
      </c>
      <c r="D26" s="2820"/>
      <c r="E26" s="2771"/>
      <c r="F26" s="2821"/>
      <c r="G26" s="2771"/>
      <c r="H26" s="2771"/>
      <c r="I26" s="2771"/>
      <c r="J26" s="2822"/>
      <c r="K26" s="1366"/>
      <c r="L26" s="2775" t="s">
        <v>2813</v>
      </c>
      <c r="M26" s="916" t="s">
        <v>2878</v>
      </c>
      <c r="N26" s="916" t="s">
        <v>2879</v>
      </c>
      <c r="O26" s="916" t="s">
        <v>2880</v>
      </c>
      <c r="P26" s="2776" t="s">
        <v>2881</v>
      </c>
      <c r="R26" s="1372"/>
      <c r="S26" s="1372"/>
      <c r="T26" s="1367"/>
      <c r="U26" s="1367"/>
      <c r="V26" s="1367"/>
      <c r="W26" s="1366"/>
      <c r="X26" s="1366"/>
      <c r="Y26" s="1366"/>
      <c r="Z26" s="1373"/>
      <c r="AA26" s="1374"/>
      <c r="AB26" s="1374"/>
      <c r="AC26" s="1374"/>
      <c r="AD26" s="1374"/>
    </row>
    <row r="27" spans="1:37" ht="15.75" thickBot="1">
      <c r="A27" s="2819"/>
      <c r="B27" s="2823" t="s">
        <v>2915</v>
      </c>
      <c r="C27" s="927">
        <f ca="1">E30+SUM(I33:I39)</f>
        <v>1605</v>
      </c>
      <c r="D27" s="2824"/>
      <c r="E27" s="2825"/>
      <c r="F27" s="2826"/>
      <c r="G27" s="2825"/>
      <c r="H27" s="2825"/>
      <c r="I27" s="2825"/>
      <c r="J27" s="2827"/>
      <c r="K27" s="1366"/>
      <c r="L27" s="2779" t="s">
        <v>2885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8"/>
      <c r="B28" s="2829" t="s">
        <v>2916</v>
      </c>
      <c r="C28" s="2830" t="s">
        <v>2917</v>
      </c>
      <c r="D28" s="2830" t="s">
        <v>2918</v>
      </c>
      <c r="E28" s="2831" t="s">
        <v>2919</v>
      </c>
      <c r="F28" s="2832"/>
      <c r="G28" s="2759"/>
      <c r="H28" s="2759"/>
      <c r="I28" s="2759"/>
      <c r="J28" s="2760"/>
      <c r="K28" s="1366"/>
      <c r="L28" s="2780" t="s">
        <v>2888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3"/>
      <c r="B29" s="2834" t="s">
        <v>2920</v>
      </c>
      <c r="C29" s="206">
        <f ca="1">ROUND(C5*C18*C19*C20*C21*C24,0)</f>
        <v>35741</v>
      </c>
      <c r="D29" s="2835">
        <f>'数据-汇总表'!F20</f>
        <v>19486.22</v>
      </c>
      <c r="E29" s="938">
        <f ca="1">ROUND(C29*D29/10000,0)</f>
        <v>69646</v>
      </c>
      <c r="F29" s="2836" t="s">
        <v>2921</v>
      </c>
      <c r="G29" s="2837"/>
      <c r="H29" s="2837"/>
      <c r="I29" s="2837"/>
      <c r="J29" s="2838"/>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8"/>
      <c r="AH29" s="2718"/>
      <c r="AI29" s="2718"/>
      <c r="AJ29" s="2718"/>
    </row>
    <row r="30" spans="1:37" ht="25.5" thickBot="1">
      <c r="A30" s="2839"/>
      <c r="B30" s="2840" t="s">
        <v>2922</v>
      </c>
      <c r="C30" s="229">
        <f ca="1">ROUND(IF(E2="工业",C29*M39,C29*M38),0)</f>
        <v>8935</v>
      </c>
      <c r="D30" s="2841"/>
      <c r="E30" s="938">
        <f ca="1">ROUND(C30*D30/10000,0)</f>
        <v>0</v>
      </c>
      <c r="F30" s="2842" t="s">
        <v>2923</v>
      </c>
      <c r="G30" s="2843"/>
      <c r="H30" s="2843"/>
      <c r="I30" s="2843"/>
      <c r="J30" s="2844"/>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8"/>
      <c r="AH30" s="2718"/>
      <c r="AI30" s="2718"/>
      <c r="AJ30" s="2718"/>
    </row>
    <row r="31" spans="1:37" ht="14.25">
      <c r="A31" s="2845"/>
      <c r="B31" s="2846" t="s">
        <v>2924</v>
      </c>
      <c r="C31" s="2847" t="s">
        <v>2925</v>
      </c>
      <c r="D31" s="2759"/>
      <c r="E31" s="2847"/>
      <c r="F31" s="2847"/>
      <c r="G31" s="2757" t="s">
        <v>2926</v>
      </c>
      <c r="H31" s="2759"/>
      <c r="I31" s="2848"/>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8"/>
      <c r="AH31" s="2718"/>
      <c r="AI31" s="2718"/>
      <c r="AJ31" s="2718"/>
    </row>
    <row r="32" spans="1:37" ht="24">
      <c r="A32" s="2833"/>
      <c r="B32" s="2849"/>
      <c r="C32" s="501" t="s">
        <v>2917</v>
      </c>
      <c r="D32" s="498" t="s">
        <v>2918</v>
      </c>
      <c r="E32" s="498" t="s">
        <v>2919</v>
      </c>
      <c r="F32" s="388" t="s">
        <v>2927</v>
      </c>
      <c r="G32" s="2850" t="s">
        <v>2917</v>
      </c>
      <c r="H32" s="2850" t="s">
        <v>2918</v>
      </c>
      <c r="I32" s="2850"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8"/>
      <c r="AH32" s="2718"/>
      <c r="AI32" s="2718"/>
      <c r="AJ32" s="2718"/>
    </row>
    <row r="33" spans="1:37" ht="36" customHeight="1">
      <c r="A33" s="3265" t="s">
        <v>2928</v>
      </c>
      <c r="B33" s="2851" t="s">
        <v>2929</v>
      </c>
      <c r="C33" s="206">
        <f ca="1">ROUND(D5*C19*C20*C24*F33,0)</f>
        <v>31083</v>
      </c>
      <c r="D33" s="2835"/>
      <c r="E33" s="200">
        <f ca="1">ROUND(C33*D33/10000,0)</f>
        <v>0</v>
      </c>
      <c r="F33" s="200">
        <f>SUMIF(修正!A45:A56,G2,修正!B45:B56)</f>
        <v>0.8</v>
      </c>
      <c r="G33" s="200">
        <f t="shared" ref="G33" ca="1" si="6">ROUND(IF(E2="工业",C33*$M$39,C33*$M$38),0)</f>
        <v>7771</v>
      </c>
      <c r="H33" s="200">
        <f>D33</f>
        <v>0</v>
      </c>
      <c r="I33" s="200">
        <f ca="1">ROUND(G33*H33/10000,0)</f>
        <v>0</v>
      </c>
      <c r="J33" s="2852"/>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6"/>
      <c r="B34" s="2763" t="s">
        <v>2930</v>
      </c>
      <c r="C34" s="206">
        <f ca="1">ROUND(D5*C19*C20*C24*F34,0)</f>
        <v>19427</v>
      </c>
      <c r="D34" s="2835"/>
      <c r="E34" s="200">
        <f t="shared" ref="E34:E39" ca="1" si="7">ROUND(C34*D34/10000,0)</f>
        <v>0</v>
      </c>
      <c r="F34" s="200">
        <f>SUMIF(修正!A45:A56,G2,修正!C45:C56)</f>
        <v>0.5</v>
      </c>
      <c r="G34" s="200">
        <f ca="1">ROUND(IF(E2="工业",C34*$M$39,C34*$M$38),0)</f>
        <v>4857</v>
      </c>
      <c r="H34" s="200">
        <f t="shared" ref="H34:H39" si="8">D34</f>
        <v>0</v>
      </c>
      <c r="I34" s="200">
        <f t="shared" ref="I34:I39" ca="1" si="9">ROUND(G34*H34/10000,0)</f>
        <v>0</v>
      </c>
      <c r="J34" s="2852"/>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6"/>
      <c r="B35" s="2763" t="s">
        <v>2931</v>
      </c>
      <c r="C35" s="206">
        <f ca="1">ROUND(D5*C19*C20*C24*F35,0)</f>
        <v>13987</v>
      </c>
      <c r="D35" s="2835"/>
      <c r="E35" s="200">
        <f t="shared" ca="1" si="7"/>
        <v>0</v>
      </c>
      <c r="F35" s="200">
        <f>SUMIF(修正!A45:A56,G2,修正!D45:D56)</f>
        <v>0.36</v>
      </c>
      <c r="G35" s="200">
        <f ca="1">ROUND(IF(E2="工业",C35*$M$39,C35*$M$38),0)</f>
        <v>3497</v>
      </c>
      <c r="H35" s="200">
        <f t="shared" si="8"/>
        <v>0</v>
      </c>
      <c r="I35" s="200">
        <f t="shared" ca="1" si="9"/>
        <v>0</v>
      </c>
      <c r="J35" s="2852"/>
      <c r="K35" s="1366"/>
      <c r="L35" s="1366"/>
      <c r="M35" s="1366"/>
      <c r="N35" s="1366"/>
      <c r="O35" s="1366"/>
      <c r="P35" s="1366"/>
      <c r="Q35" s="1366"/>
      <c r="R35" s="1366"/>
      <c r="S35" s="1366"/>
      <c r="T35" s="1366"/>
      <c r="U35" s="1366"/>
      <c r="V35" s="1366"/>
      <c r="W35" s="1366"/>
      <c r="X35" s="1366"/>
      <c r="Y35" s="1366"/>
      <c r="Z35" s="1367"/>
    </row>
    <row r="36" spans="1:37" ht="13.5" thickBot="1">
      <c r="A36" s="3267"/>
      <c r="B36" s="2763" t="s">
        <v>2932</v>
      </c>
      <c r="C36" s="206">
        <f ca="1">ROUND(D5*C19*C20*C24*F36,0)</f>
        <v>11656</v>
      </c>
      <c r="D36" s="2835"/>
      <c r="E36" s="200">
        <f t="shared" ca="1" si="7"/>
        <v>0</v>
      </c>
      <c r="F36" s="200">
        <f>SUMIF(修正!A45:A56,G2,修正!E45:E56)</f>
        <v>0.3</v>
      </c>
      <c r="G36" s="200">
        <f ca="1">ROUND(IF(E2="工业",C36*$M$39,C36*$M$38),0)</f>
        <v>2914</v>
      </c>
      <c r="H36" s="200">
        <f t="shared" si="8"/>
        <v>0</v>
      </c>
      <c r="I36" s="200">
        <f t="shared" ca="1" si="9"/>
        <v>0</v>
      </c>
      <c r="J36" s="2852"/>
      <c r="K36" s="1366"/>
      <c r="L36" s="2717"/>
      <c r="M36" s="2717"/>
      <c r="N36" s="1366"/>
      <c r="O36" s="1366"/>
      <c r="P36" s="1366"/>
      <c r="Q36" s="1366"/>
      <c r="R36" s="1366"/>
      <c r="S36" s="1366"/>
      <c r="T36" s="1366"/>
      <c r="U36" s="1366"/>
      <c r="V36" s="1366"/>
      <c r="W36" s="1366"/>
      <c r="X36" s="1366"/>
      <c r="Y36" s="1366"/>
      <c r="Z36" s="1367"/>
    </row>
    <row r="37" spans="1:37">
      <c r="A37" s="2853"/>
      <c r="B37" s="2763" t="s">
        <v>2933</v>
      </c>
      <c r="C37" s="200">
        <f ca="1">ROUND(D5*C19*C20*C24*F37,0)</f>
        <v>11656</v>
      </c>
      <c r="D37" s="2835"/>
      <c r="E37" s="200">
        <f t="shared" ca="1" si="7"/>
        <v>0</v>
      </c>
      <c r="F37" s="206">
        <f>SUMIF(修正!A45:A56,G2,修正!F45:F56)</f>
        <v>0.3</v>
      </c>
      <c r="G37" s="200">
        <f ca="1">ROUND(IF(E2="工业",C37*$M$39,C37*$M$38),0)</f>
        <v>2914</v>
      </c>
      <c r="H37" s="200">
        <f t="shared" si="8"/>
        <v>0</v>
      </c>
      <c r="I37" s="200">
        <f t="shared" ca="1" si="9"/>
        <v>0</v>
      </c>
      <c r="J37" s="2852"/>
      <c r="K37" s="1366"/>
      <c r="L37" s="2854" t="s">
        <v>2934</v>
      </c>
      <c r="M37" s="2855"/>
      <c r="N37" s="1366"/>
      <c r="O37" s="1366"/>
      <c r="P37" s="1366"/>
      <c r="Q37" s="1366"/>
      <c r="R37" s="1366"/>
      <c r="S37" s="1366"/>
      <c r="T37" s="1366"/>
      <c r="U37" s="1366"/>
      <c r="V37" s="1366"/>
      <c r="W37" s="1366"/>
      <c r="X37" s="1366"/>
      <c r="Y37" s="1366"/>
      <c r="Z37" s="1367"/>
    </row>
    <row r="38" spans="1:37">
      <c r="A38" s="2853"/>
      <c r="B38" s="2763" t="s">
        <v>2935</v>
      </c>
      <c r="C38" s="200">
        <f ca="1">ROUND(D5*C19*C41*C24*F38,0)</f>
        <v>11656</v>
      </c>
      <c r="D38" s="2835">
        <f>'数据-汇总表'!G22</f>
        <v>2241.69</v>
      </c>
      <c r="E38" s="200">
        <f t="shared" ca="1" si="7"/>
        <v>2613</v>
      </c>
      <c r="F38" s="206">
        <f>SUMIF(修正!A45:A56,G2,修正!G45:G56)</f>
        <v>0.3</v>
      </c>
      <c r="G38" s="200">
        <f ca="1">ROUND(IF(E2="工业",C38*$M$39,C38*$M$38),0)</f>
        <v>2914</v>
      </c>
      <c r="H38" s="200">
        <f t="shared" si="8"/>
        <v>2241.69</v>
      </c>
      <c r="I38" s="200">
        <f t="shared" ca="1" si="9"/>
        <v>653</v>
      </c>
      <c r="J38" s="2852"/>
      <c r="K38" s="1366"/>
      <c r="L38" s="1883" t="s">
        <v>2936</v>
      </c>
      <c r="M38" s="2856">
        <v>0.25</v>
      </c>
      <c r="N38" s="1366"/>
      <c r="O38" s="1366"/>
      <c r="P38" s="1366"/>
      <c r="Q38" s="1366"/>
      <c r="R38" s="1366"/>
      <c r="S38" s="1366"/>
      <c r="T38" s="1366"/>
      <c r="U38" s="1366"/>
      <c r="V38" s="1366"/>
      <c r="W38" s="1366"/>
      <c r="X38" s="1366"/>
      <c r="Y38" s="1366"/>
      <c r="Z38" s="1367"/>
    </row>
    <row r="39" spans="1:37" ht="13.5" thickBot="1">
      <c r="A39" s="2839"/>
      <c r="B39" s="2857" t="s">
        <v>2937</v>
      </c>
      <c r="C39" s="229">
        <f ca="1">ROUND(D5*C19*C41*C24*F39,0)</f>
        <v>9713</v>
      </c>
      <c r="D39" s="2841">
        <f>'数据-汇总表'!G21</f>
        <v>3919.01</v>
      </c>
      <c r="E39" s="229">
        <f t="shared" ca="1" si="7"/>
        <v>3807</v>
      </c>
      <c r="F39" s="928">
        <f>SUMIF(修正!A45:A56,G2,修正!H45:H56)</f>
        <v>0.25</v>
      </c>
      <c r="G39" s="229">
        <f ca="1">ROUND(IF(E2="工业",C39*$M$39,C39*$M$38),0)</f>
        <v>2428</v>
      </c>
      <c r="H39" s="229">
        <f t="shared" si="8"/>
        <v>3919.01</v>
      </c>
      <c r="I39" s="229">
        <f t="shared" ca="1" si="9"/>
        <v>952</v>
      </c>
      <c r="J39" s="2858"/>
      <c r="K39" s="1366"/>
      <c r="L39" s="2859" t="s">
        <v>2881</v>
      </c>
      <c r="M39" s="2860">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8" t="s">
        <v>3048</v>
      </c>
      <c r="C41" s="388">
        <f ca="1">ROUND(POWER(1+E41,H41-G41)*(POWER(1+E41,G41)-1)/(POWER(1+E41,H41)-1),4)</f>
        <v>0.91359999999999997</v>
      </c>
      <c r="D41" s="200" t="s">
        <v>2888</v>
      </c>
      <c r="E41" s="2927">
        <f ca="1">G20</f>
        <v>5.1999999999999998E-2</v>
      </c>
      <c r="F41" s="200" t="s">
        <v>2897</v>
      </c>
      <c r="G41" s="218">
        <f>项目基本情况!G15</f>
        <v>36.29</v>
      </c>
      <c r="H41" s="200">
        <v>50</v>
      </c>
      <c r="Z41" s="1367"/>
      <c r="AA41" s="1367"/>
      <c r="AB41" s="1367"/>
      <c r="AC41" s="1367"/>
      <c r="AD41" s="1367"/>
      <c r="AE41" s="1367"/>
      <c r="AF41" s="1367"/>
      <c r="AG41" s="1367"/>
      <c r="AH41" s="1367"/>
      <c r="AI41" s="1367"/>
      <c r="AJ41" s="1367"/>
    </row>
    <row r="42" spans="1:37" s="1366" customFormat="1">
      <c r="A42" s="1367"/>
      <c r="B42" s="2861"/>
      <c r="Z42" s="1367"/>
      <c r="AA42" s="1367"/>
      <c r="AB42" s="1367"/>
      <c r="AC42" s="1367"/>
      <c r="AD42" s="1367"/>
      <c r="AE42" s="1367"/>
      <c r="AF42" s="1367"/>
      <c r="AG42" s="1367"/>
      <c r="AH42" s="1367"/>
      <c r="AI42" s="1367"/>
      <c r="AJ42" s="1367"/>
    </row>
    <row r="43" spans="1:37" s="1366" customFormat="1">
      <c r="A43" s="1367"/>
      <c r="B43" s="2861"/>
      <c r="Z43" s="1367"/>
      <c r="AA43" s="1367"/>
      <c r="AB43" s="1367"/>
      <c r="AC43" s="1367"/>
      <c r="AD43" s="1367"/>
      <c r="AE43" s="1367"/>
      <c r="AF43" s="1367"/>
      <c r="AG43" s="1367"/>
      <c r="AH43" s="1367"/>
      <c r="AI43" s="1367"/>
      <c r="AJ43" s="1367"/>
    </row>
    <row r="44" spans="1:37" s="1366" customFormat="1">
      <c r="A44" s="1367"/>
      <c r="B44" s="2861"/>
      <c r="Z44" s="1367"/>
      <c r="AA44" s="1367"/>
      <c r="AB44" s="1367"/>
      <c r="AC44" s="1367"/>
      <c r="AD44" s="1367"/>
      <c r="AE44" s="1367"/>
      <c r="AF44" s="1367"/>
      <c r="AG44" s="1367"/>
      <c r="AH44" s="1367"/>
      <c r="AI44" s="1367"/>
      <c r="AJ44" s="1367"/>
    </row>
    <row r="45" spans="1:37" s="1366" customFormat="1" ht="15.75" thickBot="1">
      <c r="A45" s="2862" t="s">
        <v>2938</v>
      </c>
      <c r="B45" s="2863"/>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4" t="s">
        <v>2939</v>
      </c>
      <c r="B46" s="2865">
        <f>1+E48</f>
        <v>1</v>
      </c>
      <c r="C46" s="2866"/>
      <c r="D46" s="810"/>
      <c r="E46" s="811"/>
      <c r="F46" s="2867"/>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68" t="s">
        <v>2940</v>
      </c>
      <c r="B47" s="1805" t="s">
        <v>2941</v>
      </c>
      <c r="C47" s="1805" t="s">
        <v>2942</v>
      </c>
      <c r="D47" s="1805" t="s">
        <v>2943</v>
      </c>
      <c r="E47" s="815" t="s">
        <v>2944</v>
      </c>
      <c r="F47" s="2869" t="s">
        <v>2945</v>
      </c>
      <c r="G47" s="1805" t="s">
        <v>754</v>
      </c>
      <c r="H47" s="2870" t="s">
        <v>2946</v>
      </c>
      <c r="I47" s="1805" t="s">
        <v>2947</v>
      </c>
      <c r="J47" s="603" t="s">
        <v>2596</v>
      </c>
      <c r="K47" s="603" t="s">
        <v>2597</v>
      </c>
      <c r="L47" s="603" t="s">
        <v>2598</v>
      </c>
      <c r="M47" s="603" t="s">
        <v>2599</v>
      </c>
      <c r="N47" s="603" t="s">
        <v>2600</v>
      </c>
      <c r="AA47" s="1367"/>
      <c r="AB47" s="1367"/>
      <c r="AC47" s="1367"/>
      <c r="AD47" s="1367"/>
      <c r="AE47" s="1367"/>
      <c r="AF47" s="1367"/>
      <c r="AG47" s="1367"/>
      <c r="AH47" s="1367"/>
      <c r="AI47" s="1367"/>
      <c r="AJ47" s="1367"/>
      <c r="AK47" s="1367"/>
    </row>
    <row r="48" spans="1:37" s="1366" customFormat="1" ht="38.25">
      <c r="A48" s="2868" t="s">
        <v>2948</v>
      </c>
      <c r="B48" s="2871" t="str">
        <f>估价对象房地状况!C4</f>
        <v>估价对象位于XX商圈，周边商业氛围成熟，人流量大，商业繁华度好</v>
      </c>
      <c r="C48" s="2768"/>
      <c r="D48" s="1282">
        <f t="shared" ref="D48:D56" si="10">SUMIF($J$47:$N$47,C48,J48:N48)</f>
        <v>0</v>
      </c>
      <c r="E48" s="817">
        <f>ROUND(SUM(D48:D56),4)</f>
        <v>0</v>
      </c>
      <c r="F48" s="2499"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8" t="s">
        <v>2949</v>
      </c>
      <c r="B49" s="2872" t="str">
        <f>估价对象房地状况!C18</f>
        <v>估价对象周边道路状况、公共交通通达情况、停车便捷程度，综合评价交通便捷度较好</v>
      </c>
      <c r="C49" s="2768"/>
      <c r="D49" s="1282">
        <f t="shared" si="10"/>
        <v>0</v>
      </c>
      <c r="E49" s="818"/>
      <c r="F49" s="2499"/>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8" t="s">
        <v>2950</v>
      </c>
      <c r="B50" s="2872">
        <f>估价对象房地状况!C19</f>
        <v>0</v>
      </c>
      <c r="C50" s="2768"/>
      <c r="D50" s="1282">
        <f t="shared" si="10"/>
        <v>0</v>
      </c>
      <c r="E50" s="818"/>
      <c r="F50" s="2499"/>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8" t="s">
        <v>2951</v>
      </c>
      <c r="B51" s="2873" t="s">
        <v>2952</v>
      </c>
      <c r="C51" s="2768"/>
      <c r="D51" s="1282">
        <f t="shared" si="10"/>
        <v>0</v>
      </c>
      <c r="E51" s="818"/>
      <c r="F51" s="2499"/>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8" t="s">
        <v>2953</v>
      </c>
      <c r="B52" s="2872">
        <f>估价对象房地状况!C24</f>
        <v>0</v>
      </c>
      <c r="C52" s="2768"/>
      <c r="D52" s="1282">
        <f t="shared" si="10"/>
        <v>0</v>
      </c>
      <c r="E52" s="818"/>
      <c r="F52" s="2499"/>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8" t="s">
        <v>2954</v>
      </c>
      <c r="B53" s="2874" t="s">
        <v>2955</v>
      </c>
      <c r="C53" s="2768"/>
      <c r="D53" s="1282">
        <f t="shared" si="10"/>
        <v>0</v>
      </c>
      <c r="E53" s="818"/>
      <c r="F53" s="2499"/>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5" t="s">
        <v>2956</v>
      </c>
      <c r="B54" s="1721" t="str">
        <f>估价对象房地状况!C21</f>
        <v>估价对象所在区域公共配套设施齐备情况</v>
      </c>
      <c r="C54" s="2768"/>
      <c r="D54" s="1282">
        <f t="shared" si="10"/>
        <v>0</v>
      </c>
      <c r="E54" s="818"/>
      <c r="F54" s="2499"/>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5" t="s">
        <v>2957</v>
      </c>
      <c r="B55" s="2872" t="str">
        <f>估价对象房地状况!C22</f>
        <v>估价对象所在区域基础设施水平</v>
      </c>
      <c r="C55" s="2768"/>
      <c r="D55" s="1282">
        <f t="shared" si="10"/>
        <v>0</v>
      </c>
      <c r="E55" s="818"/>
      <c r="F55" s="2499"/>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6" t="s">
        <v>2958</v>
      </c>
      <c r="B56" s="2877" t="str">
        <f>估价对象房地状况!C20</f>
        <v>区域自然环境：；人文环境；综合评价环境状况一般</v>
      </c>
      <c r="C56" s="2768"/>
      <c r="D56" s="1282">
        <f t="shared" si="10"/>
        <v>0</v>
      </c>
      <c r="E56" s="821"/>
      <c r="F56" s="2499"/>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4" t="s">
        <v>2959</v>
      </c>
      <c r="B57" s="2865">
        <f>1+E59</f>
        <v>1.0544</v>
      </c>
      <c r="C57" s="810"/>
      <c r="D57" s="810"/>
      <c r="E57" s="811"/>
      <c r="F57" s="2867"/>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8" t="s">
        <v>2940</v>
      </c>
      <c r="B58" s="1805"/>
      <c r="C58" s="1805" t="s">
        <v>2942</v>
      </c>
      <c r="D58" s="1805" t="s">
        <v>2943</v>
      </c>
      <c r="E58" s="815" t="s">
        <v>2944</v>
      </c>
      <c r="F58" s="2869" t="s">
        <v>2960</v>
      </c>
      <c r="G58" s="1805" t="s">
        <v>754</v>
      </c>
      <c r="H58" s="2870" t="s">
        <v>2946</v>
      </c>
      <c r="I58" s="1805" t="s">
        <v>2947</v>
      </c>
      <c r="J58" s="603" t="s">
        <v>2596</v>
      </c>
      <c r="K58" s="603" t="s">
        <v>2597</v>
      </c>
      <c r="L58" s="603" t="s">
        <v>2598</v>
      </c>
      <c r="M58" s="603" t="s">
        <v>2599</v>
      </c>
      <c r="N58" s="603" t="s">
        <v>2600</v>
      </c>
      <c r="AA58" s="1367"/>
      <c r="AB58" s="1367"/>
      <c r="AC58" s="1367"/>
      <c r="AD58" s="1367"/>
      <c r="AE58" s="1367"/>
      <c r="AF58" s="1367"/>
      <c r="AG58" s="1367"/>
      <c r="AH58" s="1367"/>
      <c r="AI58" s="1367"/>
      <c r="AJ58" s="1367"/>
      <c r="AK58" s="1367"/>
    </row>
    <row r="59" spans="1:37" s="1366" customFormat="1" ht="38.25">
      <c r="A59" s="2868" t="s">
        <v>2961</v>
      </c>
      <c r="B59" s="2871" t="str">
        <f>估价对象房地状况!C17</f>
        <v>估价对象位于XX商圈，周边办公楼项目较多，入驻率高，办公集聚程度较好</v>
      </c>
      <c r="C59" s="2768" t="s">
        <v>3081</v>
      </c>
      <c r="D59" s="1282">
        <f t="shared" ref="D59:D67" si="15">SUMIF($J$58:$N$58,C59,J59:N59)</f>
        <v>1.17E-2</v>
      </c>
      <c r="E59" s="817">
        <f>ROUND(SUM(D59:D67),4)</f>
        <v>5.4399999999999997E-2</v>
      </c>
      <c r="F59" s="2499">
        <f>IF(E2="办公",SUMIF(L1:L12,G2,N1:N12),"——")</f>
        <v>9.8000000000000004E-2</v>
      </c>
      <c r="G59" s="1280">
        <v>1.17E-2</v>
      </c>
      <c r="H59" s="1284">
        <f t="shared" ref="G59:H67" si="16">IFERROR(ROUNDDOWN($F$59*I59/2,4),"——")</f>
        <v>1.17E-2</v>
      </c>
      <c r="I59" s="816">
        <v>0.24</v>
      </c>
      <c r="J59" s="1281">
        <f t="shared" ref="J59:J67" si="17">K59+$G59</f>
        <v>2.3400000000000001E-2</v>
      </c>
      <c r="K59" s="1281">
        <f t="shared" ref="K59:K67" si="18">$L59+$G59</f>
        <v>1.17E-2</v>
      </c>
      <c r="L59" s="1281">
        <v>0</v>
      </c>
      <c r="M59" s="1281">
        <f t="shared" ref="M59:N67" si="19">L59-$G59</f>
        <v>-1.17E-2</v>
      </c>
      <c r="N59" s="1281">
        <f t="shared" si="19"/>
        <v>-2.3400000000000001E-2</v>
      </c>
      <c r="AA59" s="1367"/>
      <c r="AB59" s="1367"/>
      <c r="AC59" s="1367"/>
      <c r="AD59" s="1367"/>
      <c r="AE59" s="1367"/>
      <c r="AF59" s="1367"/>
      <c r="AG59" s="1367"/>
      <c r="AH59" s="1367"/>
      <c r="AI59" s="1367"/>
      <c r="AJ59" s="1367"/>
      <c r="AK59" s="1367"/>
    </row>
    <row r="60" spans="1:37" s="1366" customFormat="1" ht="51">
      <c r="A60" s="2868" t="s">
        <v>2949</v>
      </c>
      <c r="B60" s="2872" t="str">
        <f>估价对象房地状况!C18</f>
        <v>估价对象周边道路状况、公共交通通达情况、停车便捷程度，综合评价交通便捷度较好</v>
      </c>
      <c r="C60" s="2768" t="s">
        <v>3081</v>
      </c>
      <c r="D60" s="1282">
        <f t="shared" si="15"/>
        <v>1.47E-2</v>
      </c>
      <c r="E60" s="818"/>
      <c r="F60" s="2499"/>
      <c r="G60" s="1280">
        <v>1.47E-2</v>
      </c>
      <c r="H60" s="1284">
        <f t="shared" si="16"/>
        <v>1.47E-2</v>
      </c>
      <c r="I60" s="816">
        <v>0.3</v>
      </c>
      <c r="J60" s="1281">
        <f t="shared" si="17"/>
        <v>2.9399999999999999E-2</v>
      </c>
      <c r="K60" s="1281">
        <f t="shared" si="18"/>
        <v>1.47E-2</v>
      </c>
      <c r="L60" s="1281">
        <v>0</v>
      </c>
      <c r="M60" s="1281">
        <f t="shared" si="19"/>
        <v>-1.47E-2</v>
      </c>
      <c r="N60" s="1281">
        <f t="shared" si="19"/>
        <v>-2.9399999999999999E-2</v>
      </c>
      <c r="AA60" s="1367"/>
      <c r="AB60" s="1367"/>
      <c r="AC60" s="1367"/>
      <c r="AD60" s="1367"/>
      <c r="AE60" s="1367"/>
      <c r="AF60" s="1367"/>
      <c r="AG60" s="1367"/>
      <c r="AH60" s="1367"/>
      <c r="AI60" s="1367"/>
      <c r="AJ60" s="1367"/>
      <c r="AK60" s="1367"/>
    </row>
    <row r="61" spans="1:37" s="1366" customFormat="1" ht="24">
      <c r="A61" s="2868" t="s">
        <v>2950</v>
      </c>
      <c r="B61" s="2872">
        <f>估价对象房地状况!C19</f>
        <v>0</v>
      </c>
      <c r="C61" s="2768" t="s">
        <v>3081</v>
      </c>
      <c r="D61" s="1282">
        <f t="shared" si="15"/>
        <v>3.8999999999999998E-3</v>
      </c>
      <c r="E61" s="818"/>
      <c r="F61" s="2499"/>
      <c r="G61" s="128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68" t="s">
        <v>2951</v>
      </c>
      <c r="B62" s="2873" t="s">
        <v>2952</v>
      </c>
      <c r="C62" s="2768" t="s">
        <v>3081</v>
      </c>
      <c r="D62" s="1282">
        <f t="shared" si="15"/>
        <v>1.9E-3</v>
      </c>
      <c r="E62" s="818"/>
      <c r="F62" s="2499"/>
      <c r="G62" s="128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68" t="s">
        <v>2953</v>
      </c>
      <c r="B63" s="2872">
        <f>估价对象房地状况!C24</f>
        <v>0</v>
      </c>
      <c r="C63" s="2768" t="s">
        <v>3081</v>
      </c>
      <c r="D63" s="1282">
        <f t="shared" si="15"/>
        <v>2.3999999999999998E-3</v>
      </c>
      <c r="E63" s="818"/>
      <c r="F63" s="2499"/>
      <c r="G63" s="128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68" t="s">
        <v>2954</v>
      </c>
      <c r="B64" s="2874" t="s">
        <v>2955</v>
      </c>
      <c r="C64" s="2768" t="s">
        <v>3081</v>
      </c>
      <c r="D64" s="1282">
        <f t="shared" si="15"/>
        <v>2.3999999999999998E-3</v>
      </c>
      <c r="E64" s="818"/>
      <c r="F64" s="2499"/>
      <c r="G64" s="128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68" t="s">
        <v>2956</v>
      </c>
      <c r="B65" s="1721" t="str">
        <f>估价对象房地状况!C21</f>
        <v>估价对象所在区域公共配套设施齐备情况</v>
      </c>
      <c r="C65" s="2768" t="s">
        <v>3081</v>
      </c>
      <c r="D65" s="1282">
        <f t="shared" si="15"/>
        <v>2.8999999999999998E-3</v>
      </c>
      <c r="E65" s="818"/>
      <c r="F65" s="2499"/>
      <c r="G65" s="128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68" t="s">
        <v>2957</v>
      </c>
      <c r="B66" s="1721" t="str">
        <f>估价对象房地状况!C22</f>
        <v>估价对象所在区域基础设施水平</v>
      </c>
      <c r="C66" s="2768" t="s">
        <v>3082</v>
      </c>
      <c r="D66" s="1282">
        <f t="shared" si="15"/>
        <v>1.1599999999999999E-2</v>
      </c>
      <c r="E66" s="818"/>
      <c r="F66" s="2499"/>
      <c r="G66" s="1280">
        <v>5.7999999999999996E-3</v>
      </c>
      <c r="H66" s="1284">
        <f t="shared" si="16"/>
        <v>5.7999999999999996E-3</v>
      </c>
      <c r="I66" s="816">
        <v>0.12</v>
      </c>
      <c r="J66" s="1281">
        <f t="shared" si="17"/>
        <v>1.1599999999999999E-2</v>
      </c>
      <c r="K66" s="1281">
        <f t="shared" si="18"/>
        <v>5.7999999999999996E-3</v>
      </c>
      <c r="L66" s="1281">
        <v>0</v>
      </c>
      <c r="M66" s="1281">
        <f t="shared" si="19"/>
        <v>-5.7999999999999996E-3</v>
      </c>
      <c r="N66" s="1281">
        <f t="shared" si="19"/>
        <v>-1.1599999999999999E-2</v>
      </c>
      <c r="AA66" s="1367"/>
      <c r="AB66" s="1367"/>
      <c r="AC66" s="1367"/>
      <c r="AD66" s="1367"/>
      <c r="AE66" s="1367"/>
      <c r="AF66" s="1367"/>
      <c r="AG66" s="1367"/>
      <c r="AH66" s="1367"/>
      <c r="AI66" s="1367"/>
      <c r="AJ66" s="1367"/>
      <c r="AK66" s="1367"/>
    </row>
    <row r="67" spans="1:37" s="1366" customFormat="1" ht="39" thickBot="1">
      <c r="A67" s="2876" t="s">
        <v>2958</v>
      </c>
      <c r="B67" s="2878" t="str">
        <f>估价对象房地状况!C20</f>
        <v>区域自然环境：；人文环境；综合评价环境状况一般</v>
      </c>
      <c r="C67" s="2768" t="s">
        <v>3081</v>
      </c>
      <c r="D67" s="1282">
        <f t="shared" si="15"/>
        <v>2.8999999999999998E-3</v>
      </c>
      <c r="E67" s="821"/>
      <c r="F67" s="2499"/>
      <c r="G67" s="128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4" t="s">
        <v>2962</v>
      </c>
      <c r="B68" s="2865">
        <f>1+E70</f>
        <v>1</v>
      </c>
      <c r="C68" s="810"/>
      <c r="D68" s="810"/>
      <c r="E68" s="811"/>
      <c r="F68" s="2867"/>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8" t="s">
        <v>2940</v>
      </c>
      <c r="B69" s="1805"/>
      <c r="C69" s="1805" t="s">
        <v>2942</v>
      </c>
      <c r="D69" s="1805" t="s">
        <v>2943</v>
      </c>
      <c r="E69" s="815" t="s">
        <v>2944</v>
      </c>
      <c r="F69" s="2869" t="s">
        <v>2960</v>
      </c>
      <c r="G69" s="1805" t="s">
        <v>754</v>
      </c>
      <c r="H69" s="2870" t="s">
        <v>2946</v>
      </c>
      <c r="I69" s="1805" t="s">
        <v>2947</v>
      </c>
      <c r="J69" s="603" t="s">
        <v>2596</v>
      </c>
      <c r="K69" s="603" t="s">
        <v>2597</v>
      </c>
      <c r="L69" s="603" t="s">
        <v>2598</v>
      </c>
      <c r="M69" s="603" t="s">
        <v>2599</v>
      </c>
      <c r="N69" s="603" t="s">
        <v>2600</v>
      </c>
      <c r="AA69" s="1367"/>
      <c r="AB69" s="1367"/>
      <c r="AC69" s="1367"/>
      <c r="AD69" s="1367"/>
      <c r="AE69" s="1367"/>
      <c r="AF69" s="1367"/>
      <c r="AG69" s="1367"/>
      <c r="AH69" s="1367"/>
      <c r="AI69" s="1367"/>
      <c r="AJ69" s="1367"/>
      <c r="AK69" s="1367"/>
    </row>
    <row r="70" spans="1:37" s="1366" customFormat="1" ht="51">
      <c r="A70" s="2868" t="s">
        <v>2963</v>
      </c>
      <c r="B70" s="2871" t="str">
        <f>估价对象房地状况!C15</f>
        <v>估价对象周边居住用地比例、居住小区规模和社区发展完善程度，综合评价居住社区成熟度一般</v>
      </c>
      <c r="C70" s="2768"/>
      <c r="D70" s="1282">
        <f t="shared" ref="D70:D78" si="20">SUMIF($J$69:$N$69,C70,J70:N70)</f>
        <v>0</v>
      </c>
      <c r="E70" s="817">
        <f>ROUND(SUM(D70:D78),4)</f>
        <v>0</v>
      </c>
      <c r="F70" s="2499"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8" t="s">
        <v>2949</v>
      </c>
      <c r="B71" s="2872" t="str">
        <f>估价对象房地状况!C18</f>
        <v>估价对象周边道路状况、公共交通通达情况、停车便捷程度，综合评价交通便捷度较好</v>
      </c>
      <c r="C71" s="2768"/>
      <c r="D71" s="1282">
        <f t="shared" si="20"/>
        <v>0</v>
      </c>
      <c r="E71" s="822"/>
      <c r="F71" s="2499"/>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8" t="s">
        <v>2950</v>
      </c>
      <c r="B72" s="2872">
        <f>估价对象房地状况!C19</f>
        <v>0</v>
      </c>
      <c r="C72" s="2768"/>
      <c r="D72" s="1282">
        <f t="shared" si="20"/>
        <v>0</v>
      </c>
      <c r="E72" s="822"/>
      <c r="F72" s="2499"/>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8" t="s">
        <v>2964</v>
      </c>
      <c r="B73" s="2872">
        <f>估价对象房地状况!C24</f>
        <v>0</v>
      </c>
      <c r="C73" s="2768"/>
      <c r="D73" s="1282">
        <f t="shared" si="20"/>
        <v>0</v>
      </c>
      <c r="E73" s="822"/>
      <c r="F73" s="2499"/>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8" t="s">
        <v>2956</v>
      </c>
      <c r="B74" s="1721" t="str">
        <f>估价对象房地状况!C21</f>
        <v>估价对象所在区域公共配套设施齐备情况</v>
      </c>
      <c r="C74" s="2768"/>
      <c r="D74" s="1282">
        <f t="shared" si="20"/>
        <v>0</v>
      </c>
      <c r="E74" s="822"/>
      <c r="F74" s="2499"/>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8" t="s">
        <v>2957</v>
      </c>
      <c r="B75" s="1721" t="str">
        <f>估价对象房地状况!C22</f>
        <v>估价对象所在区域基础设施水平</v>
      </c>
      <c r="C75" s="2768"/>
      <c r="D75" s="1282">
        <f t="shared" si="20"/>
        <v>0</v>
      </c>
      <c r="E75" s="822"/>
      <c r="F75" s="2499"/>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7" customFormat="1" ht="24">
      <c r="A76" s="2868" t="s">
        <v>2954</v>
      </c>
      <c r="B76" s="2874" t="s">
        <v>2955</v>
      </c>
      <c r="C76" s="2768"/>
      <c r="D76" s="1282">
        <f t="shared" si="20"/>
        <v>0</v>
      </c>
      <c r="E76" s="822"/>
      <c r="F76" s="2499"/>
      <c r="G76" s="1280"/>
      <c r="H76" s="1284" t="str">
        <f t="shared" si="21"/>
        <v>——</v>
      </c>
      <c r="I76" s="816">
        <v>0.05</v>
      </c>
      <c r="J76" s="1281">
        <f t="shared" si="22"/>
        <v>0</v>
      </c>
      <c r="K76" s="1281">
        <f t="shared" si="23"/>
        <v>0</v>
      </c>
      <c r="L76" s="1281">
        <v>0</v>
      </c>
      <c r="M76" s="1281">
        <f t="shared" si="24"/>
        <v>0</v>
      </c>
      <c r="N76" s="1281">
        <f t="shared" si="24"/>
        <v>0</v>
      </c>
      <c r="AA76" s="2879"/>
      <c r="AB76" s="1367"/>
      <c r="AC76" s="1367"/>
      <c r="AD76" s="1367"/>
      <c r="AE76" s="1367"/>
      <c r="AF76" s="1367"/>
      <c r="AG76" s="1367"/>
      <c r="AH76" s="2879"/>
      <c r="AI76" s="2879"/>
      <c r="AJ76" s="2879"/>
      <c r="AK76" s="2879"/>
    </row>
    <row r="77" spans="1:37" ht="38.25">
      <c r="A77" s="2868" t="s">
        <v>2958</v>
      </c>
      <c r="B77" s="2871" t="str">
        <f>估价对象房地状况!C20</f>
        <v>区域自然环境：；人文环境；综合评价环境状况一般</v>
      </c>
      <c r="C77" s="2768"/>
      <c r="D77" s="1282">
        <f t="shared" si="20"/>
        <v>0</v>
      </c>
      <c r="E77" s="822"/>
      <c r="F77" s="2499"/>
      <c r="G77" s="1280"/>
      <c r="H77" s="1284" t="str">
        <f t="shared" si="21"/>
        <v>——</v>
      </c>
      <c r="I77" s="816">
        <v>0.15</v>
      </c>
      <c r="J77" s="1281">
        <f t="shared" si="22"/>
        <v>0</v>
      </c>
      <c r="K77" s="1281">
        <f t="shared" si="23"/>
        <v>0</v>
      </c>
      <c r="L77" s="1281">
        <v>0</v>
      </c>
      <c r="M77" s="1281">
        <f t="shared" si="24"/>
        <v>0</v>
      </c>
      <c r="N77" s="1281">
        <f t="shared" si="24"/>
        <v>0</v>
      </c>
      <c r="Z77" s="2718"/>
      <c r="AA77" s="2786"/>
      <c r="AG77" s="1368"/>
      <c r="AK77" s="2786"/>
    </row>
    <row r="78" spans="1:37" ht="24.75" thickBot="1">
      <c r="A78" s="2876" t="s">
        <v>2965</v>
      </c>
      <c r="B78" s="2880"/>
      <c r="C78" s="2768"/>
      <c r="D78" s="1282">
        <f t="shared" si="20"/>
        <v>0</v>
      </c>
      <c r="E78" s="823"/>
      <c r="F78" s="2499"/>
      <c r="G78" s="1280"/>
      <c r="H78" s="1284" t="str">
        <f t="shared" si="21"/>
        <v>——</v>
      </c>
      <c r="I78" s="820">
        <v>0.04</v>
      </c>
      <c r="J78" s="1281">
        <f t="shared" si="22"/>
        <v>0</v>
      </c>
      <c r="K78" s="1281">
        <f t="shared" si="23"/>
        <v>0</v>
      </c>
      <c r="L78" s="1281">
        <v>0</v>
      </c>
      <c r="M78" s="1281">
        <f t="shared" si="24"/>
        <v>0</v>
      </c>
      <c r="N78" s="1281">
        <f t="shared" si="24"/>
        <v>0</v>
      </c>
      <c r="Z78" s="2718"/>
      <c r="AA78" s="2786"/>
      <c r="AG78" s="1368"/>
      <c r="AK78" s="2786"/>
    </row>
    <row r="79" spans="1:37" ht="15">
      <c r="A79" s="2864" t="s">
        <v>2966</v>
      </c>
      <c r="B79" s="2865">
        <f>1+E81</f>
        <v>1</v>
      </c>
      <c r="C79" s="810"/>
      <c r="D79" s="810"/>
      <c r="E79" s="811"/>
      <c r="F79" s="2867"/>
      <c r="G79" s="6"/>
      <c r="H79" s="6"/>
      <c r="I79" s="6"/>
      <c r="J79" s="7"/>
      <c r="K79" s="7"/>
      <c r="L79" s="7"/>
      <c r="M79" s="7"/>
      <c r="N79" s="7"/>
      <c r="Z79" s="2718"/>
      <c r="AA79" s="2786"/>
      <c r="AG79" s="1368"/>
      <c r="AK79" s="2786"/>
    </row>
    <row r="80" spans="1:37" ht="24.75">
      <c r="A80" s="2868" t="s">
        <v>2940</v>
      </c>
      <c r="B80" s="1805"/>
      <c r="C80" s="1805" t="s">
        <v>2942</v>
      </c>
      <c r="D80" s="1805" t="s">
        <v>2943</v>
      </c>
      <c r="E80" s="815" t="s">
        <v>2944</v>
      </c>
      <c r="F80" s="2869" t="s">
        <v>2960</v>
      </c>
      <c r="G80" s="1805" t="s">
        <v>754</v>
      </c>
      <c r="H80" s="2870" t="s">
        <v>2946</v>
      </c>
      <c r="I80" s="1805" t="s">
        <v>2947</v>
      </c>
      <c r="J80" s="603" t="s">
        <v>2596</v>
      </c>
      <c r="K80" s="603" t="s">
        <v>2597</v>
      </c>
      <c r="L80" s="603" t="s">
        <v>2598</v>
      </c>
      <c r="M80" s="603" t="s">
        <v>2599</v>
      </c>
      <c r="N80" s="603" t="s">
        <v>2600</v>
      </c>
      <c r="Z80" s="2718"/>
      <c r="AA80" s="2786"/>
      <c r="AG80" s="1368"/>
      <c r="AK80" s="2786"/>
    </row>
    <row r="81" spans="1:37" ht="38.25">
      <c r="A81" s="2868" t="s">
        <v>2967</v>
      </c>
      <c r="B81" s="2872" t="str">
        <f>估价对象房地状况!G15</f>
        <v>估价对象位于XX开发区，园区建设成熟度XX，产业集聚程度XX</v>
      </c>
      <c r="C81" s="2768"/>
      <c r="D81" s="1282">
        <f t="shared" ref="D81:D88" si="25">SUMIF($J$80:$N$80,C81,J81:N81)</f>
        <v>0</v>
      </c>
      <c r="E81" s="817">
        <f>ROUND(SUM(D81:D88),4)</f>
        <v>0</v>
      </c>
      <c r="F81" s="2499"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8"/>
      <c r="AA81" s="2786"/>
      <c r="AG81" s="1368"/>
      <c r="AK81" s="2786"/>
    </row>
    <row r="82" spans="1:37" ht="51">
      <c r="A82" s="2868" t="s">
        <v>2949</v>
      </c>
      <c r="B82" s="2872" t="str">
        <f>估价对象房地状况!G16</f>
        <v>估价对象周边道路状况、公共交通通达情况、停车便捷程度，综合评价交通便捷度较好</v>
      </c>
      <c r="C82" s="2768"/>
      <c r="D82" s="1282">
        <f t="shared" si="25"/>
        <v>0</v>
      </c>
      <c r="E82" s="822"/>
      <c r="F82" s="2499"/>
      <c r="G82" s="1280"/>
      <c r="H82" s="1284" t="str">
        <f t="shared" si="26"/>
        <v>——</v>
      </c>
      <c r="I82" s="816">
        <v>0.33</v>
      </c>
      <c r="J82" s="1281">
        <f t="shared" si="27"/>
        <v>0</v>
      </c>
      <c r="K82" s="1281">
        <f t="shared" si="28"/>
        <v>0</v>
      </c>
      <c r="L82" s="1281">
        <v>0</v>
      </c>
      <c r="M82" s="1281">
        <f t="shared" si="29"/>
        <v>0</v>
      </c>
      <c r="N82" s="1281">
        <f t="shared" si="29"/>
        <v>0</v>
      </c>
      <c r="Z82" s="2718"/>
      <c r="AA82" s="2786"/>
      <c r="AG82" s="1368"/>
      <c r="AK82" s="2786"/>
    </row>
    <row r="83" spans="1:37" ht="24">
      <c r="A83" s="2868" t="s">
        <v>2950</v>
      </c>
      <c r="B83" s="2872">
        <f>估价对象房地状况!G17</f>
        <v>0</v>
      </c>
      <c r="C83" s="2768"/>
      <c r="D83" s="1282">
        <f t="shared" si="25"/>
        <v>0</v>
      </c>
      <c r="E83" s="822"/>
      <c r="F83" s="2499"/>
      <c r="G83" s="1280"/>
      <c r="H83" s="1284" t="str">
        <f t="shared" si="26"/>
        <v>——</v>
      </c>
      <c r="I83" s="816">
        <v>0.05</v>
      </c>
      <c r="J83" s="1281">
        <f t="shared" si="27"/>
        <v>0</v>
      </c>
      <c r="K83" s="1281">
        <f t="shared" si="28"/>
        <v>0</v>
      </c>
      <c r="L83" s="1281">
        <v>0</v>
      </c>
      <c r="M83" s="1281">
        <f t="shared" si="29"/>
        <v>0</v>
      </c>
      <c r="N83" s="1281">
        <f t="shared" si="29"/>
        <v>0</v>
      </c>
      <c r="Z83" s="2718"/>
      <c r="AA83" s="2786"/>
      <c r="AG83" s="1368"/>
      <c r="AK83" s="2786"/>
    </row>
    <row r="84" spans="1:37" ht="14.25">
      <c r="A84" s="2868" t="s">
        <v>2964</v>
      </c>
      <c r="B84" s="2872">
        <f>估价对象房地状况!G22</f>
        <v>0</v>
      </c>
      <c r="C84" s="2768"/>
      <c r="D84" s="1282">
        <f t="shared" si="25"/>
        <v>0</v>
      </c>
      <c r="E84" s="822"/>
      <c r="F84" s="2499"/>
      <c r="G84" s="1280"/>
      <c r="H84" s="1284" t="str">
        <f t="shared" si="26"/>
        <v>——</v>
      </c>
      <c r="I84" s="816">
        <v>0.04</v>
      </c>
      <c r="J84" s="1281">
        <f t="shared" si="27"/>
        <v>0</v>
      </c>
      <c r="K84" s="1281">
        <f t="shared" si="28"/>
        <v>0</v>
      </c>
      <c r="L84" s="1281">
        <v>0</v>
      </c>
      <c r="M84" s="1281">
        <f t="shared" si="29"/>
        <v>0</v>
      </c>
      <c r="N84" s="1281">
        <f t="shared" si="29"/>
        <v>0</v>
      </c>
      <c r="Z84" s="2718"/>
      <c r="AA84" s="2786"/>
      <c r="AG84" s="1368"/>
      <c r="AK84" s="2786"/>
    </row>
    <row r="85" spans="1:37" ht="25.5">
      <c r="A85" s="2868" t="s">
        <v>2956</v>
      </c>
      <c r="B85" s="1721" t="str">
        <f>估价对象房地状况!G19</f>
        <v>估价对象所在区域公共配套设施齐备情况</v>
      </c>
      <c r="C85" s="2768"/>
      <c r="D85" s="1282">
        <f t="shared" si="25"/>
        <v>0</v>
      </c>
      <c r="E85" s="822"/>
      <c r="F85" s="2499"/>
      <c r="G85" s="1280"/>
      <c r="H85" s="1284" t="str">
        <f t="shared" si="26"/>
        <v>——</v>
      </c>
      <c r="I85" s="816">
        <v>0.06</v>
      </c>
      <c r="J85" s="1281">
        <f t="shared" si="27"/>
        <v>0</v>
      </c>
      <c r="K85" s="1281">
        <f t="shared" si="28"/>
        <v>0</v>
      </c>
      <c r="L85" s="1281">
        <v>0</v>
      </c>
      <c r="M85" s="1281">
        <f t="shared" si="29"/>
        <v>0</v>
      </c>
      <c r="N85" s="1281">
        <f t="shared" si="29"/>
        <v>0</v>
      </c>
      <c r="Z85" s="2718"/>
      <c r="AA85" s="2786"/>
      <c r="AG85" s="1368"/>
      <c r="AK85" s="2786"/>
    </row>
    <row r="86" spans="1:37" ht="25.5">
      <c r="A86" s="2868" t="s">
        <v>2957</v>
      </c>
      <c r="B86" s="1721" t="str">
        <f>估价对象房地状况!G20</f>
        <v>估价对象所在区域基础设施水平</v>
      </c>
      <c r="C86" s="2768"/>
      <c r="D86" s="1282">
        <f t="shared" si="25"/>
        <v>0</v>
      </c>
      <c r="E86" s="822"/>
      <c r="F86" s="2499"/>
      <c r="G86" s="1280"/>
      <c r="H86" s="1284" t="str">
        <f t="shared" si="26"/>
        <v>——</v>
      </c>
      <c r="I86" s="816">
        <v>0.15</v>
      </c>
      <c r="J86" s="1281">
        <f t="shared" si="27"/>
        <v>0</v>
      </c>
      <c r="K86" s="1281">
        <f t="shared" si="28"/>
        <v>0</v>
      </c>
      <c r="L86" s="1281">
        <v>0</v>
      </c>
      <c r="M86" s="1281">
        <f t="shared" si="29"/>
        <v>0</v>
      </c>
      <c r="N86" s="1281">
        <f t="shared" si="29"/>
        <v>0</v>
      </c>
      <c r="Z86" s="2718"/>
      <c r="AA86" s="2786"/>
      <c r="AG86" s="1368"/>
      <c r="AK86" s="2786"/>
    </row>
    <row r="87" spans="1:37" ht="24">
      <c r="A87" s="2868" t="s">
        <v>2954</v>
      </c>
      <c r="B87" s="2874" t="s">
        <v>2968</v>
      </c>
      <c r="C87" s="2768"/>
      <c r="D87" s="1282">
        <f t="shared" si="25"/>
        <v>0</v>
      </c>
      <c r="E87" s="822"/>
      <c r="F87" s="2499"/>
      <c r="G87" s="1280"/>
      <c r="H87" s="1284" t="str">
        <f t="shared" si="26"/>
        <v>——</v>
      </c>
      <c r="I87" s="816">
        <v>0.05</v>
      </c>
      <c r="J87" s="1281">
        <f t="shared" si="27"/>
        <v>0</v>
      </c>
      <c r="K87" s="1281">
        <f t="shared" si="28"/>
        <v>0</v>
      </c>
      <c r="L87" s="1281">
        <v>0</v>
      </c>
      <c r="M87" s="1281">
        <f t="shared" si="29"/>
        <v>0</v>
      </c>
      <c r="N87" s="1281">
        <f t="shared" si="29"/>
        <v>0</v>
      </c>
      <c r="Z87" s="2718"/>
      <c r="AA87" s="2786"/>
      <c r="AG87" s="1368"/>
      <c r="AK87" s="2786"/>
    </row>
    <row r="88" spans="1:37" ht="39" thickBot="1">
      <c r="A88" s="2876" t="s">
        <v>2969</v>
      </c>
      <c r="B88" s="2881" t="str">
        <f>估价对象房地状况!G18</f>
        <v>该园区内是否有污染型企业，绿化情况，卫生条件，整体环境状况判断</v>
      </c>
      <c r="C88" s="2768"/>
      <c r="D88" s="1282">
        <f t="shared" si="25"/>
        <v>0</v>
      </c>
      <c r="E88" s="823"/>
      <c r="F88" s="2499"/>
      <c r="G88" s="1280"/>
      <c r="H88" s="1284" t="str">
        <f t="shared" si="26"/>
        <v>——</v>
      </c>
      <c r="I88" s="820">
        <v>0.06</v>
      </c>
      <c r="J88" s="1281">
        <f t="shared" si="27"/>
        <v>0</v>
      </c>
      <c r="K88" s="1281">
        <f t="shared" si="28"/>
        <v>0</v>
      </c>
      <c r="L88" s="1281">
        <v>0</v>
      </c>
      <c r="M88" s="1281">
        <f t="shared" si="29"/>
        <v>0</v>
      </c>
      <c r="N88" s="1281">
        <f t="shared" si="29"/>
        <v>0</v>
      </c>
      <c r="Z88" s="2718"/>
      <c r="AA88" s="2786"/>
      <c r="AG88" s="1368"/>
      <c r="AK88" s="2786"/>
    </row>
    <row r="90" spans="1:37">
      <c r="A90" s="3259" t="s">
        <v>2970</v>
      </c>
      <c r="B90" s="3259"/>
      <c r="C90" s="3259"/>
      <c r="D90" s="3259"/>
      <c r="E90" s="3259"/>
      <c r="F90" s="3259"/>
      <c r="G90" s="3259"/>
      <c r="H90" s="3259"/>
      <c r="I90" s="3259"/>
      <c r="J90" s="3259"/>
      <c r="K90" s="2882"/>
      <c r="L90" s="2882"/>
      <c r="M90" s="2882"/>
      <c r="N90" s="2882"/>
    </row>
    <row r="91" spans="1:37">
      <c r="A91" s="3261" t="s">
        <v>2971</v>
      </c>
      <c r="B91" s="3261" t="s">
        <v>2972</v>
      </c>
      <c r="C91" s="2836" t="s">
        <v>2973</v>
      </c>
      <c r="D91" s="2837"/>
      <c r="E91" s="2837"/>
      <c r="F91" s="2837"/>
      <c r="G91" s="2837"/>
      <c r="H91" s="2837"/>
      <c r="I91" s="2837"/>
      <c r="J91" s="2883"/>
      <c r="K91" s="2884"/>
      <c r="L91" s="2884"/>
      <c r="M91" s="2884"/>
      <c r="N91" s="2884"/>
    </row>
    <row r="92" spans="1:37">
      <c r="A92" s="3261"/>
      <c r="B92" s="3261"/>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262"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3"/>
      <c r="B99" s="2885" t="s">
        <v>2856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2" t="s">
        <v>2975</v>
      </c>
      <c r="B101" s="2889" t="s">
        <v>2976</v>
      </c>
      <c r="C101" s="2890">
        <f>$G$3</f>
        <v>4.96</v>
      </c>
      <c r="D101" s="2890">
        <f t="shared" ref="D101:N101" si="31">$G$3</f>
        <v>4.96</v>
      </c>
      <c r="E101" s="2890">
        <f t="shared" si="31"/>
        <v>4.96</v>
      </c>
      <c r="F101" s="2890">
        <f t="shared" si="31"/>
        <v>4.96</v>
      </c>
      <c r="G101" s="2890">
        <f t="shared" si="31"/>
        <v>4.96</v>
      </c>
      <c r="H101" s="2890">
        <f t="shared" si="31"/>
        <v>4.96</v>
      </c>
      <c r="I101" s="2890">
        <f t="shared" si="31"/>
        <v>4.96</v>
      </c>
      <c r="J101" s="2890">
        <f t="shared" si="31"/>
        <v>4.96</v>
      </c>
      <c r="K101" s="2890">
        <f t="shared" si="31"/>
        <v>4.96</v>
      </c>
      <c r="L101" s="2890">
        <f t="shared" si="31"/>
        <v>4.96</v>
      </c>
      <c r="M101" s="2890">
        <f t="shared" si="31"/>
        <v>4.96</v>
      </c>
      <c r="N101" s="2890">
        <f t="shared" si="31"/>
        <v>4.96</v>
      </c>
    </row>
    <row r="102" spans="1:14">
      <c r="A102" s="3263"/>
      <c r="B102" s="2885">
        <v>1</v>
      </c>
      <c r="C102" s="2886">
        <f>1.9362/C101</f>
        <v>0.39036290322580641</v>
      </c>
      <c r="D102" s="2886">
        <f>1.9362/D101</f>
        <v>0.39036290322580641</v>
      </c>
      <c r="E102" s="2886">
        <f>1.8629/E101</f>
        <v>0.37558467741935486</v>
      </c>
      <c r="F102" s="2886">
        <f>1.8629/F101</f>
        <v>0.37558467741935486</v>
      </c>
      <c r="G102" s="2886">
        <f>1.8629/G101</f>
        <v>0.37558467741935486</v>
      </c>
      <c r="H102" s="2886">
        <f>1.8629/H101</f>
        <v>0.37558467741935486</v>
      </c>
      <c r="I102" s="2886">
        <f>1.8629/I101</f>
        <v>0.37558467741935486</v>
      </c>
      <c r="J102" s="2886">
        <f>1.942/J101</f>
        <v>0.39153225806451614</v>
      </c>
      <c r="K102" s="2886">
        <f>1.942/K101</f>
        <v>0.39153225806451614</v>
      </c>
      <c r="L102" s="2886">
        <f>1.942/L101</f>
        <v>0.39153225806451614</v>
      </c>
      <c r="M102" s="2886">
        <f>1.942/M101</f>
        <v>0.39153225806451614</v>
      </c>
      <c r="N102" s="2886">
        <f>1.942/N101</f>
        <v>0.39153225806451614</v>
      </c>
    </row>
    <row r="103" spans="1:14">
      <c r="A103" s="3263"/>
      <c r="B103" s="2885">
        <v>2</v>
      </c>
      <c r="C103" s="2886">
        <f>1.4198/C101</f>
        <v>0.28625</v>
      </c>
      <c r="D103" s="2886">
        <f>1.4198/D101</f>
        <v>0.28625</v>
      </c>
      <c r="E103" s="2886">
        <f>1.3372/E101</f>
        <v>0.26959677419354838</v>
      </c>
      <c r="F103" s="2886">
        <f>1.3372/F101</f>
        <v>0.26959677419354838</v>
      </c>
      <c r="G103" s="2886">
        <f>1.3372/G101</f>
        <v>0.26959677419354838</v>
      </c>
      <c r="H103" s="2886">
        <f>1.3372/H101</f>
        <v>0.26959677419354838</v>
      </c>
      <c r="I103" s="2886">
        <f>1.3372/I101</f>
        <v>0.26959677419354838</v>
      </c>
      <c r="J103" s="2886">
        <f>1.2799/J101</f>
        <v>0.25804435483870969</v>
      </c>
      <c r="K103" s="2886">
        <f>1.2799/K101</f>
        <v>0.25804435483870969</v>
      </c>
      <c r="L103" s="2886">
        <f>1.2799/L101</f>
        <v>0.25804435483870969</v>
      </c>
      <c r="M103" s="2886">
        <f>1.2799/M101</f>
        <v>0.25804435483870969</v>
      </c>
      <c r="N103" s="2886">
        <f>1.2799/N101</f>
        <v>0.25804435483870969</v>
      </c>
    </row>
    <row r="104" spans="1:14">
      <c r="A104" s="3263"/>
      <c r="B104" s="2885">
        <v>3</v>
      </c>
      <c r="C104" s="2886">
        <f>1.1594/C101</f>
        <v>0.23374999999999999</v>
      </c>
      <c r="D104" s="2886">
        <f>1.1594/D101</f>
        <v>0.23374999999999999</v>
      </c>
      <c r="E104" s="2886">
        <f>1.0788/E101</f>
        <v>0.2175</v>
      </c>
      <c r="F104" s="2886">
        <f>1.0788/F101</f>
        <v>0.2175</v>
      </c>
      <c r="G104" s="2886">
        <f>1.0788/G101</f>
        <v>0.2175</v>
      </c>
      <c r="H104" s="2886">
        <f>1.0788/H101</f>
        <v>0.2175</v>
      </c>
      <c r="I104" s="2886">
        <f>1.0788/I101</f>
        <v>0.2175</v>
      </c>
      <c r="J104" s="2886">
        <f>1.0072/J101</f>
        <v>0.20306451612903229</v>
      </c>
      <c r="K104" s="2886">
        <f>1.0072/K101</f>
        <v>0.20306451612903229</v>
      </c>
      <c r="L104" s="2886">
        <f>1.0072/L101</f>
        <v>0.20306451612903229</v>
      </c>
      <c r="M104" s="2886">
        <f>1.0072/M101</f>
        <v>0.20306451612903229</v>
      </c>
      <c r="N104" s="2886">
        <f>1.0072/N101</f>
        <v>0.20306451612903229</v>
      </c>
    </row>
    <row r="105" spans="1:14">
      <c r="A105" s="3263"/>
      <c r="B105" s="2885">
        <v>4</v>
      </c>
      <c r="C105" s="2886">
        <f>0.9622/C101</f>
        <v>0.19399193548387098</v>
      </c>
      <c r="D105" s="2886">
        <f>0.9622/D101</f>
        <v>0.19399193548387098</v>
      </c>
      <c r="E105" s="2886">
        <f>0.8656/E101</f>
        <v>0.17451612903225808</v>
      </c>
      <c r="F105" s="2886">
        <f>0.8656/F101</f>
        <v>0.17451612903225808</v>
      </c>
      <c r="G105" s="2886">
        <f>0.8656/G101</f>
        <v>0.17451612903225808</v>
      </c>
      <c r="H105" s="2886">
        <f>0.8656/H101</f>
        <v>0.17451612903225808</v>
      </c>
      <c r="I105" s="2886">
        <f>0.8656/I101</f>
        <v>0.17451612903225808</v>
      </c>
      <c r="J105" s="2886">
        <f>0.7525/J101</f>
        <v>0.15171370967741934</v>
      </c>
      <c r="K105" s="2886">
        <f>0.7525/K101</f>
        <v>0.15171370967741934</v>
      </c>
      <c r="L105" s="2886">
        <f>0.7525/L101</f>
        <v>0.15171370967741934</v>
      </c>
      <c r="M105" s="2886">
        <f>0.7525/M101</f>
        <v>0.15171370967741934</v>
      </c>
      <c r="N105" s="2886">
        <f>0.7525/N101</f>
        <v>0.15171370967741934</v>
      </c>
    </row>
    <row r="106" spans="1:14">
      <c r="A106" s="3263"/>
      <c r="B106" s="2885">
        <v>5</v>
      </c>
      <c r="C106" s="2886">
        <f>0.8417/C101</f>
        <v>0.1696975806451613</v>
      </c>
      <c r="D106" s="2886">
        <f>0.8417/D101</f>
        <v>0.1696975806451613</v>
      </c>
      <c r="E106" s="2886">
        <f>0.7371/E101</f>
        <v>0.14860887096774192</v>
      </c>
      <c r="F106" s="2886">
        <f>0.7371/F101</f>
        <v>0.14860887096774192</v>
      </c>
      <c r="G106" s="2886">
        <f>0.7371/G101</f>
        <v>0.14860887096774192</v>
      </c>
      <c r="H106" s="2886">
        <f>0.7371/H101</f>
        <v>0.14860887096774192</v>
      </c>
      <c r="I106" s="2886">
        <f>0.7371/I101</f>
        <v>0.14860887096774192</v>
      </c>
      <c r="J106" s="2886">
        <f>0.5659/J101</f>
        <v>0.11409274193548387</v>
      </c>
      <c r="K106" s="2886">
        <f>0.5659/K101</f>
        <v>0.11409274193548387</v>
      </c>
      <c r="L106" s="2886">
        <f>0.5659/L101</f>
        <v>0.11409274193548387</v>
      </c>
      <c r="M106" s="2886">
        <f>0.5659/M101</f>
        <v>0.11409274193548387</v>
      </c>
      <c r="N106" s="2886">
        <f>0.5659/N101</f>
        <v>0.11409274193548387</v>
      </c>
    </row>
    <row r="107" spans="1:14">
      <c r="A107" s="3263"/>
      <c r="B107" s="2885">
        <v>6</v>
      </c>
      <c r="C107" s="2886">
        <f>0.7608/C101</f>
        <v>0.15338709677419354</v>
      </c>
      <c r="D107" s="2886">
        <f>0.7608/D101</f>
        <v>0.15338709677419354</v>
      </c>
      <c r="E107" s="2886">
        <f>0.6482/E101</f>
        <v>0.13068548387096773</v>
      </c>
      <c r="F107" s="2886">
        <f>0.6482/F101</f>
        <v>0.13068548387096773</v>
      </c>
      <c r="G107" s="2886">
        <f>0.6482/G101</f>
        <v>0.13068548387096773</v>
      </c>
      <c r="H107" s="2886">
        <f>0.6482/H101</f>
        <v>0.13068548387096773</v>
      </c>
      <c r="I107" s="2886">
        <f>0.6482/I101</f>
        <v>0.13068548387096773</v>
      </c>
      <c r="J107" s="2886">
        <f>0.4525/J101</f>
        <v>9.1229838709677422E-2</v>
      </c>
      <c r="K107" s="2886">
        <f>0.4525/K101</f>
        <v>9.1229838709677422E-2</v>
      </c>
      <c r="L107" s="2886">
        <f>0.4525/L101</f>
        <v>9.1229838709677422E-2</v>
      </c>
      <c r="M107" s="2886">
        <f>0.4525/M101</f>
        <v>9.1229838709677422E-2</v>
      </c>
      <c r="N107" s="2886">
        <f>0.4525/N101</f>
        <v>9.1229838709677422E-2</v>
      </c>
    </row>
    <row r="108" spans="1:14">
      <c r="A108" s="3263"/>
      <c r="B108" s="3091"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4"/>
      <c r="B109" s="3092"/>
      <c r="C109" s="2888">
        <f>(-0.163*(C108^2)-0.59*C108+7617)*(10^(-4))/C101</f>
        <v>0.15356854838709677</v>
      </c>
      <c r="D109" s="2888">
        <f>(-0.163*(D108^2)-0.59*D108+7617)*(10^(-4))/D101</f>
        <v>0.15356854838709677</v>
      </c>
      <c r="E109" s="2888">
        <f>(-0.161*(E108^2)-7.509*E108+6533)*(10^(-4))/E101</f>
        <v>0.13171370967741935</v>
      </c>
      <c r="F109" s="2888">
        <f>(-0.161*(F108^2)-7.509*F108+6533)*(10^(-4))/F101</f>
        <v>0.13171370967741935</v>
      </c>
      <c r="G109" s="2888">
        <f>(-0.161*(G108^2)-7.509*G108+6533)*(10^(-4))/G101</f>
        <v>0.13171370967741935</v>
      </c>
      <c r="H109" s="2888">
        <f>(-0.161*(H108^2)-7.509*H108+6533)*(10^(-4))/H101</f>
        <v>0.13171370967741935</v>
      </c>
      <c r="I109" s="2888">
        <f>(-0.161*(I108^2)-7.509*I108+6533)*(10^(-4))/I101</f>
        <v>0.13171370967741935</v>
      </c>
      <c r="J109" s="2888">
        <f>(-0.214*(J108^2)-21.991*J108+4665)*(10^(-4))/J101</f>
        <v>9.4052419354838712E-2</v>
      </c>
      <c r="K109" s="2888">
        <f>(-0.214*(K108^2)-21.991*K108+4665)*(10^(-4))/K101</f>
        <v>9.4052419354838712E-2</v>
      </c>
      <c r="L109" s="2888">
        <f>(-0.214*(L108^2)-21.991*L108+4665)*(10^(-4))/L101</f>
        <v>9.4052419354838712E-2</v>
      </c>
      <c r="M109" s="2888">
        <f>(-0.214*(M108^2)-21.991*M108+4665)*(10^(-4))/M101</f>
        <v>9.4052419354838712E-2</v>
      </c>
      <c r="N109" s="2888">
        <f>(-0.214*(N108^2)-21.991*N108+4665)*(10^(-4))/N101</f>
        <v>9.4052419354838712E-2</v>
      </c>
    </row>
    <row r="110" spans="1:14">
      <c r="A110" s="3260" t="s">
        <v>2978</v>
      </c>
      <c r="B110" s="3260"/>
      <c r="C110" s="3260"/>
      <c r="D110" s="3260"/>
      <c r="E110" s="3260"/>
      <c r="F110" s="3260"/>
      <c r="G110" s="3260"/>
      <c r="H110" s="3260"/>
      <c r="I110" s="3260"/>
      <c r="J110" s="3260"/>
      <c r="K110" s="2891"/>
      <c r="L110" s="2891"/>
      <c r="M110" s="2891"/>
      <c r="N110" s="2891"/>
    </row>
    <row r="112" spans="1:14" ht="13.5" thickBot="1"/>
    <row r="113" spans="1:13" ht="25.5" thickBot="1">
      <c r="A113" s="899" t="s">
        <v>2979</v>
      </c>
      <c r="B113" s="1283">
        <f>G3</f>
        <v>4.96</v>
      </c>
      <c r="C113" s="900" t="s">
        <v>2980</v>
      </c>
      <c r="D113" s="901">
        <f>SUMPRODUCT((A115:A118=F113)*(B114:M114=H113)*B115:M118)</f>
        <v>0.88949999999999996</v>
      </c>
      <c r="E113" s="2722" t="s">
        <v>2813</v>
      </c>
      <c r="F113" s="2893" t="str">
        <f>E2</f>
        <v>办公</v>
      </c>
      <c r="G113" s="2722" t="s">
        <v>2814</v>
      </c>
      <c r="H113" s="2893" t="str">
        <f>G2</f>
        <v>一级</v>
      </c>
      <c r="I113" s="2722"/>
      <c r="J113" s="2894"/>
      <c r="K113" s="2894"/>
      <c r="L113" s="2894"/>
      <c r="M113" s="2894"/>
    </row>
    <row r="114" spans="1:13">
      <c r="A114" s="904"/>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5" t="s">
        <v>2878</v>
      </c>
      <c r="B115" s="906">
        <f>ROUND(0.9335-0.0094*B113,4)</f>
        <v>0.88690000000000002</v>
      </c>
      <c r="C115" s="906">
        <f>B115</f>
        <v>0.88690000000000002</v>
      </c>
      <c r="D115" s="906">
        <f>ROUND(0.8331-0.0109*B113,4)</f>
        <v>0.77900000000000003</v>
      </c>
      <c r="E115" s="906">
        <f>D115</f>
        <v>0.77900000000000003</v>
      </c>
      <c r="F115" s="906">
        <f>E115</f>
        <v>0.77900000000000003</v>
      </c>
      <c r="G115" s="906">
        <f>F115</f>
        <v>0.77900000000000003</v>
      </c>
      <c r="H115" s="906">
        <f>G115</f>
        <v>0.77900000000000003</v>
      </c>
      <c r="I115" s="906">
        <f>ROUND(0.689-0.0155*B113,4)</f>
        <v>0.61209999999999998</v>
      </c>
      <c r="J115" s="906">
        <f t="shared" ref="J115:M118" si="33">I115</f>
        <v>0.61209999999999998</v>
      </c>
      <c r="K115" s="906">
        <f t="shared" si="33"/>
        <v>0.61209999999999998</v>
      </c>
      <c r="L115" s="906">
        <f t="shared" si="33"/>
        <v>0.61209999999999998</v>
      </c>
      <c r="M115" s="907">
        <f t="shared" si="33"/>
        <v>0.61209999999999998</v>
      </c>
    </row>
    <row r="116" spans="1:13">
      <c r="A116" s="905" t="s">
        <v>2879</v>
      </c>
      <c r="B116" s="906">
        <f>ROUND(0.949-0.012*B113,4)</f>
        <v>0.88949999999999996</v>
      </c>
      <c r="C116" s="906">
        <f>B116</f>
        <v>0.88949999999999996</v>
      </c>
      <c r="D116" s="906">
        <f>ROUND(0.8567-0.013*B113,4)</f>
        <v>0.79220000000000002</v>
      </c>
      <c r="E116" s="906">
        <f t="shared" ref="E116:H117" si="34">D116</f>
        <v>0.79220000000000002</v>
      </c>
      <c r="F116" s="906">
        <f t="shared" si="34"/>
        <v>0.79220000000000002</v>
      </c>
      <c r="G116" s="906">
        <f t="shared" si="34"/>
        <v>0.79220000000000002</v>
      </c>
      <c r="H116" s="906">
        <f t="shared" si="34"/>
        <v>0.79220000000000002</v>
      </c>
      <c r="I116" s="906">
        <f>ROUND(0.7694-0.014*B113,4)</f>
        <v>0.7</v>
      </c>
      <c r="J116" s="906">
        <f t="shared" si="33"/>
        <v>0.7</v>
      </c>
      <c r="K116" s="906">
        <f t="shared" si="33"/>
        <v>0.7</v>
      </c>
      <c r="L116" s="906">
        <f t="shared" si="33"/>
        <v>0.7</v>
      </c>
      <c r="M116" s="907">
        <f t="shared" si="33"/>
        <v>0.7</v>
      </c>
    </row>
    <row r="117" spans="1:13">
      <c r="A117" s="905" t="s">
        <v>2880</v>
      </c>
      <c r="B117" s="906">
        <f>ROUND(0.8808-0.006*B113,4)</f>
        <v>0.85099999999999998</v>
      </c>
      <c r="C117" s="906">
        <f>B117</f>
        <v>0.85099999999999998</v>
      </c>
      <c r="D117" s="906">
        <f>ROUND(0.8748-0.008*B113,4)</f>
        <v>0.83509999999999995</v>
      </c>
      <c r="E117" s="906">
        <f t="shared" si="34"/>
        <v>0.83509999999999995</v>
      </c>
      <c r="F117" s="906">
        <f t="shared" si="34"/>
        <v>0.83509999999999995</v>
      </c>
      <c r="G117" s="906">
        <f t="shared" si="34"/>
        <v>0.83509999999999995</v>
      </c>
      <c r="H117" s="906">
        <f t="shared" si="34"/>
        <v>0.83509999999999995</v>
      </c>
      <c r="I117" s="906">
        <f>ROUND(0.7412-0.0095*B113,4)</f>
        <v>0.69410000000000005</v>
      </c>
      <c r="J117" s="906">
        <f t="shared" si="33"/>
        <v>0.69410000000000005</v>
      </c>
      <c r="K117" s="906">
        <f t="shared" si="33"/>
        <v>0.69410000000000005</v>
      </c>
      <c r="L117" s="906">
        <f t="shared" si="33"/>
        <v>0.69410000000000005</v>
      </c>
      <c r="M117" s="907">
        <f t="shared" si="33"/>
        <v>0.69410000000000005</v>
      </c>
    </row>
    <row r="118" spans="1:13" ht="13.5" thickBot="1">
      <c r="A118" s="714" t="s">
        <v>2881</v>
      </c>
      <c r="B118" s="908">
        <f>ROUND(0.7275-0.01*B113,4)</f>
        <v>0.67789999999999995</v>
      </c>
      <c r="C118" s="908">
        <f>B118</f>
        <v>0.67789999999999995</v>
      </c>
      <c r="D118" s="908">
        <f>ROUND(0.7043-0.012*B113,4)</f>
        <v>0.64480000000000004</v>
      </c>
      <c r="E118" s="908">
        <f>D118</f>
        <v>0.64480000000000004</v>
      </c>
      <c r="F118" s="908">
        <f>E118</f>
        <v>0.64480000000000004</v>
      </c>
      <c r="G118" s="908">
        <f>ROUND(0.6299-0.0122*B113,4)</f>
        <v>0.56940000000000002</v>
      </c>
      <c r="H118" s="908">
        <f>G118</f>
        <v>0.56940000000000002</v>
      </c>
      <c r="I118" s="908">
        <f>ROUND(0.5667-0.0136*B113,4)</f>
        <v>0.49919999999999998</v>
      </c>
      <c r="J118" s="908">
        <f t="shared" si="33"/>
        <v>0.49919999999999998</v>
      </c>
      <c r="K118" s="908">
        <f t="shared" si="33"/>
        <v>0.49919999999999998</v>
      </c>
      <c r="L118" s="908">
        <f t="shared" si="33"/>
        <v>0.49919999999999998</v>
      </c>
      <c r="M118" s="909">
        <f t="shared" si="33"/>
        <v>0.49919999999999998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6" priority="5" stopIfTrue="1" operator="notEqual">
      <formula>"——"</formula>
    </cfRule>
  </conditionalFormatting>
  <conditionalFormatting sqref="F59">
    <cfRule type="cellIs" dxfId="25" priority="4" stopIfTrue="1" operator="notEqual">
      <formula>"——"</formula>
    </cfRule>
  </conditionalFormatting>
  <conditionalFormatting sqref="F70">
    <cfRule type="cellIs" dxfId="24" priority="3" stopIfTrue="1" operator="notEqual">
      <formula>"——"</formula>
    </cfRule>
  </conditionalFormatting>
  <conditionalFormatting sqref="F81">
    <cfRule type="cellIs" dxfId="23" priority="2" stopIfTrue="1" operator="notEqual">
      <formula>"——"</formula>
    </cfRule>
  </conditionalFormatting>
  <conditionalFormatting sqref="H48:H56 H59:H67 H70:H78 H81:H88">
    <cfRule type="cellIs" dxfId="2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3050</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80" t="s">
        <v>183</v>
      </c>
      <c r="B18" s="878" t="s">
        <v>560</v>
      </c>
      <c r="C18" s="879" t="s">
        <v>561</v>
      </c>
      <c r="D18" s="880"/>
      <c r="E18" s="878">
        <v>1</v>
      </c>
      <c r="F18" s="881" t="s">
        <v>562</v>
      </c>
      <c r="G18" s="882"/>
      <c r="H18" s="874"/>
      <c r="I18" s="874"/>
    </row>
    <row r="19" spans="1:9" s="883" customFormat="1" ht="19.5" customHeight="1">
      <c r="A19" s="3280"/>
      <c r="B19" s="3280" t="s">
        <v>563</v>
      </c>
      <c r="C19" s="879" t="s">
        <v>564</v>
      </c>
      <c r="D19" s="880"/>
      <c r="E19" s="878">
        <v>0.9</v>
      </c>
      <c r="F19" s="881" t="s">
        <v>565</v>
      </c>
      <c r="G19" s="882"/>
      <c r="H19" s="874"/>
      <c r="I19" s="874"/>
    </row>
    <row r="20" spans="1:9" s="883" customFormat="1" ht="19.5" customHeight="1">
      <c r="A20" s="3280"/>
      <c r="B20" s="3280"/>
      <c r="C20" s="879" t="s">
        <v>566</v>
      </c>
      <c r="D20" s="880"/>
      <c r="E20" s="878">
        <v>1.1000000000000001</v>
      </c>
      <c r="F20" s="881" t="s">
        <v>567</v>
      </c>
      <c r="G20" s="882"/>
      <c r="H20" s="874"/>
      <c r="I20" s="874"/>
    </row>
    <row r="21" spans="1:9" s="883" customFormat="1" ht="19.5" customHeight="1">
      <c r="A21" s="3280"/>
      <c r="B21" s="3280"/>
      <c r="C21" s="879" t="s">
        <v>568</v>
      </c>
      <c r="D21" s="880"/>
      <c r="E21" s="878">
        <v>0.8</v>
      </c>
      <c r="F21" s="881" t="s">
        <v>569</v>
      </c>
      <c r="G21" s="882"/>
      <c r="H21" s="874"/>
      <c r="I21" s="874"/>
    </row>
    <row r="22" spans="1:9" s="883" customFormat="1" ht="19.5" customHeight="1">
      <c r="A22" s="3280"/>
      <c r="B22" s="3280"/>
      <c r="C22" s="879" t="s">
        <v>570</v>
      </c>
      <c r="D22" s="880"/>
      <c r="E22" s="878">
        <v>0.5</v>
      </c>
      <c r="F22" s="881"/>
      <c r="G22" s="882"/>
      <c r="H22" s="874"/>
      <c r="I22" s="874"/>
    </row>
    <row r="23" spans="1:9" s="883" customFormat="1" ht="19.5" customHeight="1">
      <c r="A23" s="3280" t="s">
        <v>184</v>
      </c>
      <c r="B23" s="878" t="s">
        <v>560</v>
      </c>
      <c r="C23" s="879" t="s">
        <v>571</v>
      </c>
      <c r="D23" s="880"/>
      <c r="E23" s="878">
        <v>1</v>
      </c>
      <c r="F23" s="881" t="s">
        <v>572</v>
      </c>
      <c r="G23" s="882"/>
      <c r="H23" s="874"/>
      <c r="I23" s="874"/>
    </row>
    <row r="24" spans="1:9" s="883" customFormat="1" ht="19.5" customHeight="1">
      <c r="A24" s="3280"/>
      <c r="B24" s="3280" t="s">
        <v>563</v>
      </c>
      <c r="C24" s="879" t="s">
        <v>573</v>
      </c>
      <c r="D24" s="880"/>
      <c r="E24" s="878">
        <v>0.5</v>
      </c>
      <c r="F24" s="881"/>
      <c r="G24" s="882"/>
      <c r="H24" s="874"/>
      <c r="I24" s="874"/>
    </row>
    <row r="25" spans="1:9" s="883" customFormat="1" ht="19.5" customHeight="1">
      <c r="A25" s="3280"/>
      <c r="B25" s="3280"/>
      <c r="C25" s="879" t="s">
        <v>574</v>
      </c>
      <c r="D25" s="880"/>
      <c r="E25" s="878">
        <v>1.1000000000000001</v>
      </c>
      <c r="F25" s="881"/>
      <c r="G25" s="882"/>
      <c r="H25" s="874"/>
      <c r="I25" s="874"/>
    </row>
    <row r="26" spans="1:9" s="883" customFormat="1" ht="19.5" customHeight="1">
      <c r="A26" s="3280"/>
      <c r="B26" s="3280"/>
      <c r="C26" s="879" t="s">
        <v>575</v>
      </c>
      <c r="D26" s="880"/>
      <c r="E26" s="878">
        <v>1.1000000000000001</v>
      </c>
      <c r="F26" s="881"/>
      <c r="G26" s="882"/>
      <c r="H26" s="874"/>
      <c r="I26" s="874"/>
    </row>
    <row r="27" spans="1:9" s="883" customFormat="1" ht="19.5" customHeight="1">
      <c r="A27" s="3280"/>
      <c r="B27" s="3280"/>
      <c r="C27" s="879" t="s">
        <v>576</v>
      </c>
      <c r="D27" s="880"/>
      <c r="E27" s="878">
        <v>0.9</v>
      </c>
      <c r="F27" s="881" t="s">
        <v>577</v>
      </c>
      <c r="G27" s="882"/>
      <c r="H27" s="874"/>
      <c r="I27" s="874"/>
    </row>
    <row r="28" spans="1:9" s="883" customFormat="1" ht="19.5" customHeight="1">
      <c r="A28" s="3280"/>
      <c r="B28" s="3280"/>
      <c r="C28" s="879" t="s">
        <v>578</v>
      </c>
      <c r="D28" s="880"/>
      <c r="E28" s="878">
        <v>0.9</v>
      </c>
      <c r="F28" s="881" t="s">
        <v>579</v>
      </c>
      <c r="G28" s="882"/>
      <c r="H28" s="874"/>
      <c r="I28" s="874"/>
    </row>
    <row r="29" spans="1:9" s="883" customFormat="1" ht="19.5" customHeight="1">
      <c r="A29" s="3280"/>
      <c r="B29" s="3280"/>
      <c r="C29" s="879" t="s">
        <v>580</v>
      </c>
      <c r="D29" s="880"/>
      <c r="E29" s="878">
        <v>0.9</v>
      </c>
      <c r="F29" s="881" t="s">
        <v>581</v>
      </c>
      <c r="G29" s="882"/>
      <c r="H29" s="874"/>
      <c r="I29" s="874"/>
    </row>
    <row r="30" spans="1:9" s="883" customFormat="1" ht="19.5" customHeight="1">
      <c r="A30" s="3280"/>
      <c r="B30" s="3280"/>
      <c r="C30" s="879" t="s">
        <v>582</v>
      </c>
      <c r="D30" s="880"/>
      <c r="E30" s="878">
        <v>0.9</v>
      </c>
      <c r="F30" s="881" t="s">
        <v>583</v>
      </c>
      <c r="G30" s="882"/>
      <c r="H30" s="874"/>
      <c r="I30" s="874"/>
    </row>
    <row r="31" spans="1:9" s="883" customFormat="1" ht="19.5" customHeight="1">
      <c r="A31" s="3280"/>
      <c r="B31" s="3280"/>
      <c r="C31" s="879" t="s">
        <v>584</v>
      </c>
      <c r="D31" s="880"/>
      <c r="E31" s="878">
        <v>0.8</v>
      </c>
      <c r="F31" s="881" t="s">
        <v>585</v>
      </c>
      <c r="G31" s="882"/>
      <c r="H31" s="874"/>
      <c r="I31" s="874"/>
    </row>
    <row r="32" spans="1:9" s="883" customFormat="1" ht="19.5" customHeight="1">
      <c r="A32" s="3280"/>
      <c r="B32" s="3280"/>
      <c r="C32" s="879" t="s">
        <v>586</v>
      </c>
      <c r="D32" s="880"/>
      <c r="E32" s="878">
        <v>0.8</v>
      </c>
      <c r="F32" s="881" t="s">
        <v>587</v>
      </c>
      <c r="G32" s="882"/>
      <c r="H32" s="874"/>
      <c r="I32" s="874"/>
    </row>
    <row r="33" spans="1:9" s="883" customFormat="1" ht="19.5" customHeight="1">
      <c r="A33" s="3280" t="s">
        <v>185</v>
      </c>
      <c r="B33" s="878" t="s">
        <v>560</v>
      </c>
      <c r="C33" s="879" t="s">
        <v>588</v>
      </c>
      <c r="D33" s="880"/>
      <c r="E33" s="878">
        <v>1</v>
      </c>
      <c r="F33" s="881" t="s">
        <v>589</v>
      </c>
      <c r="G33" s="882"/>
      <c r="H33" s="874"/>
      <c r="I33" s="874"/>
    </row>
    <row r="34" spans="1:9" s="883" customFormat="1" ht="19.5" customHeight="1">
      <c r="A34" s="3280"/>
      <c r="B34" s="878" t="s">
        <v>563</v>
      </c>
      <c r="C34" s="879" t="s">
        <v>590</v>
      </c>
      <c r="D34" s="880"/>
      <c r="E34" s="878">
        <v>1.5</v>
      </c>
      <c r="F34" s="881" t="s">
        <v>591</v>
      </c>
      <c r="G34" s="882"/>
      <c r="H34" s="874"/>
      <c r="I34" s="874"/>
    </row>
    <row r="35" spans="1:9" s="883" customFormat="1" ht="19.5" customHeight="1">
      <c r="A35" s="3280" t="s">
        <v>186</v>
      </c>
      <c r="B35" s="878" t="s">
        <v>560</v>
      </c>
      <c r="C35" s="879" t="s">
        <v>592</v>
      </c>
      <c r="D35" s="880"/>
      <c r="E35" s="878">
        <v>1</v>
      </c>
      <c r="F35" s="881" t="s">
        <v>593</v>
      </c>
      <c r="G35" s="882"/>
      <c r="H35" s="874"/>
      <c r="I35" s="874"/>
    </row>
    <row r="36" spans="1:9" s="883" customFormat="1" ht="19.5" customHeight="1">
      <c r="A36" s="3280"/>
      <c r="B36" s="3280" t="s">
        <v>563</v>
      </c>
      <c r="C36" s="879" t="s">
        <v>594</v>
      </c>
      <c r="D36" s="880"/>
      <c r="E36" s="878">
        <v>1</v>
      </c>
      <c r="F36" s="881" t="s">
        <v>595</v>
      </c>
      <c r="G36" s="882"/>
      <c r="H36" s="874"/>
      <c r="I36" s="874"/>
    </row>
    <row r="37" spans="1:9" s="883" customFormat="1" ht="19.5" customHeight="1">
      <c r="A37" s="3280"/>
      <c r="B37" s="3280"/>
      <c r="C37" s="879" t="s">
        <v>596</v>
      </c>
      <c r="D37" s="880"/>
      <c r="E37" s="878">
        <v>1.5</v>
      </c>
      <c r="F37" s="881" t="s">
        <v>597</v>
      </c>
      <c r="G37" s="882"/>
      <c r="H37" s="874"/>
      <c r="I37" s="874"/>
    </row>
    <row r="38" spans="1:9" s="883" customFormat="1" ht="19.5" customHeight="1">
      <c r="A38" s="3280"/>
      <c r="B38" s="3280"/>
      <c r="C38" s="879" t="s">
        <v>598</v>
      </c>
      <c r="D38" s="880"/>
      <c r="E38" s="878">
        <v>1</v>
      </c>
      <c r="F38" s="881" t="s">
        <v>599</v>
      </c>
      <c r="G38" s="882"/>
      <c r="H38" s="874"/>
      <c r="I38" s="874"/>
    </row>
    <row r="39" spans="1:9" s="883" customFormat="1" ht="19.5" customHeight="1">
      <c r="A39" s="3280"/>
      <c r="B39" s="328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80" t="s">
        <v>614</v>
      </c>
      <c r="C61" s="814" t="s">
        <v>615</v>
      </c>
      <c r="D61" s="814" t="s">
        <v>616</v>
      </c>
      <c r="E61" s="891">
        <v>0.5</v>
      </c>
      <c r="F61" s="878">
        <v>80</v>
      </c>
    </row>
    <row r="62" spans="1:8" s="874" customFormat="1" ht="24">
      <c r="A62" s="878">
        <v>2</v>
      </c>
      <c r="B62" s="3280"/>
      <c r="C62" s="814" t="s">
        <v>617</v>
      </c>
      <c r="D62" s="814" t="s">
        <v>618</v>
      </c>
      <c r="E62" s="891">
        <v>0.5</v>
      </c>
      <c r="F62" s="878">
        <v>80</v>
      </c>
    </row>
    <row r="63" spans="1:8" s="874" customFormat="1" ht="36">
      <c r="A63" s="878">
        <v>3</v>
      </c>
      <c r="B63" s="3280"/>
      <c r="C63" s="814" t="s">
        <v>619</v>
      </c>
      <c r="D63" s="814" t="s">
        <v>620</v>
      </c>
      <c r="E63" s="891">
        <v>0.5</v>
      </c>
      <c r="F63" s="878">
        <v>80</v>
      </c>
    </row>
    <row r="64" spans="1:8" s="874" customFormat="1" ht="36">
      <c r="A64" s="878">
        <v>4</v>
      </c>
      <c r="B64" s="3280"/>
      <c r="C64" s="814" t="s">
        <v>621</v>
      </c>
      <c r="D64" s="814" t="s">
        <v>622</v>
      </c>
      <c r="E64" s="891">
        <v>0.4</v>
      </c>
      <c r="F64" s="878">
        <v>60</v>
      </c>
    </row>
    <row r="65" spans="1:6" s="874" customFormat="1" ht="36">
      <c r="A65" s="878">
        <v>5</v>
      </c>
      <c r="B65" s="3280"/>
      <c r="C65" s="814" t="s">
        <v>623</v>
      </c>
      <c r="D65" s="814" t="s">
        <v>624</v>
      </c>
      <c r="E65" s="891">
        <v>0.2</v>
      </c>
      <c r="F65" s="878">
        <v>30</v>
      </c>
    </row>
    <row r="66" spans="1:6" s="874" customFormat="1" ht="36">
      <c r="A66" s="878">
        <v>6</v>
      </c>
      <c r="B66" s="3280"/>
      <c r="C66" s="814" t="s">
        <v>625</v>
      </c>
      <c r="D66" s="814" t="s">
        <v>626</v>
      </c>
      <c r="E66" s="891">
        <v>0.3</v>
      </c>
      <c r="F66" s="878">
        <v>50</v>
      </c>
    </row>
    <row r="67" spans="1:6" s="874" customFormat="1" ht="36">
      <c r="A67" s="878">
        <v>7</v>
      </c>
      <c r="B67" s="3280"/>
      <c r="C67" s="814" t="s">
        <v>627</v>
      </c>
      <c r="D67" s="814" t="s">
        <v>628</v>
      </c>
      <c r="E67" s="891">
        <v>0.2</v>
      </c>
      <c r="F67" s="878">
        <v>30</v>
      </c>
    </row>
    <row r="68" spans="1:6" s="874" customFormat="1" ht="36">
      <c r="A68" s="878">
        <v>8</v>
      </c>
      <c r="B68" s="3280"/>
      <c r="C68" s="814" t="s">
        <v>629</v>
      </c>
      <c r="D68" s="814" t="s">
        <v>630</v>
      </c>
      <c r="E68" s="891">
        <v>0.2</v>
      </c>
      <c r="F68" s="878">
        <v>30</v>
      </c>
    </row>
    <row r="69" spans="1:6" s="874" customFormat="1" ht="36">
      <c r="A69" s="878">
        <v>9</v>
      </c>
      <c r="B69" s="3280"/>
      <c r="C69" s="814" t="s">
        <v>631</v>
      </c>
      <c r="D69" s="814" t="s">
        <v>632</v>
      </c>
      <c r="E69" s="891">
        <v>0.2</v>
      </c>
      <c r="F69" s="878">
        <v>30</v>
      </c>
    </row>
    <row r="70" spans="1:6" s="874" customFormat="1" ht="48">
      <c r="A70" s="878">
        <v>10</v>
      </c>
      <c r="B70" s="3280"/>
      <c r="C70" s="814" t="s">
        <v>633</v>
      </c>
      <c r="D70" s="814" t="s">
        <v>634</v>
      </c>
      <c r="E70" s="891">
        <v>0.2</v>
      </c>
      <c r="F70" s="878">
        <v>30</v>
      </c>
    </row>
    <row r="71" spans="1:6" s="874" customFormat="1" ht="48">
      <c r="A71" s="878">
        <v>11</v>
      </c>
      <c r="B71" s="3280"/>
      <c r="C71" s="814" t="s">
        <v>635</v>
      </c>
      <c r="D71" s="814" t="s">
        <v>636</v>
      </c>
      <c r="E71" s="891">
        <v>0.2</v>
      </c>
      <c r="F71" s="878">
        <v>30</v>
      </c>
    </row>
    <row r="72" spans="1:6" s="874" customFormat="1" ht="36">
      <c r="A72" s="878">
        <v>12</v>
      </c>
      <c r="B72" s="3280"/>
      <c r="C72" s="814" t="s">
        <v>637</v>
      </c>
      <c r="D72" s="814" t="s">
        <v>638</v>
      </c>
      <c r="E72" s="891">
        <v>0.5</v>
      </c>
      <c r="F72" s="878">
        <v>80</v>
      </c>
    </row>
    <row r="73" spans="1:6" s="874" customFormat="1" ht="24">
      <c r="A73" s="878">
        <v>13</v>
      </c>
      <c r="B73" s="3280"/>
      <c r="C73" s="814" t="s">
        <v>639</v>
      </c>
      <c r="D73" s="814" t="s">
        <v>640</v>
      </c>
      <c r="E73" s="891">
        <v>0.4</v>
      </c>
      <c r="F73" s="878">
        <v>60</v>
      </c>
    </row>
    <row r="74" spans="1:6" s="874" customFormat="1" ht="24">
      <c r="A74" s="878">
        <v>14</v>
      </c>
      <c r="B74" s="3280"/>
      <c r="C74" s="814" t="s">
        <v>641</v>
      </c>
      <c r="D74" s="814" t="s">
        <v>642</v>
      </c>
      <c r="E74" s="891">
        <v>0.2</v>
      </c>
      <c r="F74" s="878">
        <v>30</v>
      </c>
    </row>
    <row r="75" spans="1:6" s="874" customFormat="1" ht="24">
      <c r="A75" s="878">
        <v>15</v>
      </c>
      <c r="B75" s="3280"/>
      <c r="C75" s="814" t="s">
        <v>643</v>
      </c>
      <c r="D75" s="814" t="s">
        <v>644</v>
      </c>
      <c r="E75" s="891">
        <v>0.2</v>
      </c>
      <c r="F75" s="878">
        <v>30</v>
      </c>
    </row>
    <row r="76" spans="1:6" s="874" customFormat="1" ht="24">
      <c r="A76" s="878">
        <v>16</v>
      </c>
      <c r="B76" s="3280" t="s">
        <v>645</v>
      </c>
      <c r="C76" s="814" t="s">
        <v>646</v>
      </c>
      <c r="D76" s="814" t="s">
        <v>647</v>
      </c>
      <c r="E76" s="891">
        <v>0.5</v>
      </c>
      <c r="F76" s="878">
        <v>80</v>
      </c>
    </row>
    <row r="77" spans="1:6" s="874" customFormat="1" ht="24">
      <c r="A77" s="878">
        <v>17</v>
      </c>
      <c r="B77" s="3280"/>
      <c r="C77" s="814" t="s">
        <v>648</v>
      </c>
      <c r="D77" s="814" t="s">
        <v>649</v>
      </c>
      <c r="E77" s="891">
        <v>0.5</v>
      </c>
      <c r="F77" s="878">
        <v>80</v>
      </c>
    </row>
    <row r="78" spans="1:6" s="874" customFormat="1" ht="24">
      <c r="A78" s="878">
        <v>18</v>
      </c>
      <c r="B78" s="3280"/>
      <c r="C78" s="814" t="s">
        <v>650</v>
      </c>
      <c r="D78" s="814" t="s">
        <v>651</v>
      </c>
      <c r="E78" s="891">
        <v>0.2</v>
      </c>
      <c r="F78" s="878">
        <v>30</v>
      </c>
    </row>
    <row r="79" spans="1:6" s="874" customFormat="1" ht="24">
      <c r="A79" s="878">
        <v>19</v>
      </c>
      <c r="B79" s="3280"/>
      <c r="C79" s="814" t="s">
        <v>652</v>
      </c>
      <c r="D79" s="814" t="s">
        <v>653</v>
      </c>
      <c r="E79" s="891">
        <v>0.5</v>
      </c>
      <c r="F79" s="878">
        <v>80</v>
      </c>
    </row>
    <row r="80" spans="1:6" s="874" customFormat="1" ht="36">
      <c r="A80" s="878">
        <v>20</v>
      </c>
      <c r="B80" s="3280"/>
      <c r="C80" s="814" t="s">
        <v>654</v>
      </c>
      <c r="D80" s="814" t="s">
        <v>655</v>
      </c>
      <c r="E80" s="891">
        <v>0.2</v>
      </c>
      <c r="F80" s="878">
        <v>30</v>
      </c>
    </row>
    <row r="81" spans="1:6" s="874" customFormat="1" ht="36">
      <c r="A81" s="878">
        <v>21</v>
      </c>
      <c r="B81" s="3280"/>
      <c r="C81" s="814" t="s">
        <v>656</v>
      </c>
      <c r="D81" s="814" t="s">
        <v>657</v>
      </c>
      <c r="E81" s="891">
        <v>0.2</v>
      </c>
      <c r="F81" s="878">
        <v>30</v>
      </c>
    </row>
    <row r="82" spans="1:6" s="874" customFormat="1" ht="48">
      <c r="A82" s="878">
        <v>22</v>
      </c>
      <c r="B82" s="3280"/>
      <c r="C82" s="814" t="s">
        <v>658</v>
      </c>
      <c r="D82" s="814" t="s">
        <v>659</v>
      </c>
      <c r="E82" s="891">
        <v>0.2</v>
      </c>
      <c r="F82" s="878">
        <v>30</v>
      </c>
    </row>
    <row r="83" spans="1:6" s="874" customFormat="1" ht="48">
      <c r="A83" s="878">
        <v>23</v>
      </c>
      <c r="B83" s="3280"/>
      <c r="C83" s="814" t="s">
        <v>660</v>
      </c>
      <c r="D83" s="814" t="s">
        <v>661</v>
      </c>
      <c r="E83" s="891">
        <v>0.2</v>
      </c>
      <c r="F83" s="878">
        <v>30</v>
      </c>
    </row>
    <row r="84" spans="1:6" s="874" customFormat="1" ht="36">
      <c r="A84" s="878">
        <v>24</v>
      </c>
      <c r="B84" s="3280"/>
      <c r="C84" s="814" t="s">
        <v>662</v>
      </c>
      <c r="D84" s="814" t="s">
        <v>663</v>
      </c>
      <c r="E84" s="891">
        <v>0.2</v>
      </c>
      <c r="F84" s="878">
        <v>30</v>
      </c>
    </row>
    <row r="85" spans="1:6" s="874" customFormat="1" ht="36">
      <c r="A85" s="878">
        <v>25</v>
      </c>
      <c r="B85" s="3280"/>
      <c r="C85" s="814" t="s">
        <v>664</v>
      </c>
      <c r="D85" s="814" t="s">
        <v>665</v>
      </c>
      <c r="E85" s="891">
        <v>0.5</v>
      </c>
      <c r="F85" s="878">
        <v>80</v>
      </c>
    </row>
    <row r="86" spans="1:6" s="874" customFormat="1" ht="36">
      <c r="A86" s="878">
        <v>26</v>
      </c>
      <c r="B86" s="3280"/>
      <c r="C86" s="814" t="s">
        <v>666</v>
      </c>
      <c r="D86" s="814" t="s">
        <v>667</v>
      </c>
      <c r="E86" s="891">
        <v>0.2</v>
      </c>
      <c r="F86" s="878">
        <v>30</v>
      </c>
    </row>
    <row r="87" spans="1:6" s="874" customFormat="1" ht="36">
      <c r="A87" s="878">
        <v>27</v>
      </c>
      <c r="B87" s="3280"/>
      <c r="C87" s="814" t="s">
        <v>668</v>
      </c>
      <c r="D87" s="814" t="s">
        <v>669</v>
      </c>
      <c r="E87" s="891">
        <v>0.2</v>
      </c>
      <c r="F87" s="878">
        <v>30</v>
      </c>
    </row>
    <row r="88" spans="1:6" s="874" customFormat="1" ht="36">
      <c r="A88" s="878">
        <v>28</v>
      </c>
      <c r="B88" s="3280"/>
      <c r="C88" s="814" t="s">
        <v>670</v>
      </c>
      <c r="D88" s="814" t="s">
        <v>671</v>
      </c>
      <c r="E88" s="891">
        <v>0.2</v>
      </c>
      <c r="F88" s="878">
        <v>30</v>
      </c>
    </row>
    <row r="89" spans="1:6" s="874" customFormat="1" ht="24">
      <c r="A89" s="878">
        <v>29</v>
      </c>
      <c r="B89" s="3280"/>
      <c r="C89" s="814" t="s">
        <v>672</v>
      </c>
      <c r="D89" s="814" t="s">
        <v>673</v>
      </c>
      <c r="E89" s="891">
        <v>0.2</v>
      </c>
      <c r="F89" s="878">
        <v>30</v>
      </c>
    </row>
    <row r="90" spans="1:6" s="874" customFormat="1" ht="24">
      <c r="A90" s="878">
        <v>30</v>
      </c>
      <c r="B90" s="3280"/>
      <c r="C90" s="814" t="s">
        <v>674</v>
      </c>
      <c r="D90" s="814" t="s">
        <v>675</v>
      </c>
      <c r="E90" s="891">
        <v>0.2</v>
      </c>
      <c r="F90" s="878">
        <v>30</v>
      </c>
    </row>
    <row r="91" spans="1:6" s="874" customFormat="1" ht="36">
      <c r="A91" s="878">
        <v>31</v>
      </c>
      <c r="B91" s="3280"/>
      <c r="C91" s="814" t="s">
        <v>676</v>
      </c>
      <c r="D91" s="814" t="s">
        <v>677</v>
      </c>
      <c r="E91" s="891">
        <v>0.2</v>
      </c>
      <c r="F91" s="878">
        <v>30</v>
      </c>
    </row>
    <row r="92" spans="1:6" s="874" customFormat="1" ht="24">
      <c r="A92" s="878">
        <v>32</v>
      </c>
      <c r="B92" s="3280" t="s">
        <v>678</v>
      </c>
      <c r="C92" s="878" t="s">
        <v>679</v>
      </c>
      <c r="D92" s="814" t="s">
        <v>680</v>
      </c>
      <c r="E92" s="891">
        <v>0.2</v>
      </c>
      <c r="F92" s="878">
        <v>30</v>
      </c>
    </row>
    <row r="93" spans="1:6" s="874" customFormat="1" ht="36">
      <c r="A93" s="878">
        <v>33</v>
      </c>
      <c r="B93" s="3280"/>
      <c r="C93" s="878" t="s">
        <v>681</v>
      </c>
      <c r="D93" s="814" t="s">
        <v>682</v>
      </c>
      <c r="E93" s="891">
        <v>0.2</v>
      </c>
      <c r="F93" s="878">
        <v>30</v>
      </c>
    </row>
    <row r="94" spans="1:6" s="874" customFormat="1" ht="48">
      <c r="A94" s="878">
        <v>34</v>
      </c>
      <c r="B94" s="3280"/>
      <c r="C94" s="878" t="s">
        <v>683</v>
      </c>
      <c r="D94" s="814" t="s">
        <v>684</v>
      </c>
      <c r="E94" s="891">
        <v>0.2</v>
      </c>
      <c r="F94" s="878">
        <v>30</v>
      </c>
    </row>
    <row r="95" spans="1:6" s="874" customFormat="1" ht="36">
      <c r="A95" s="878">
        <v>35</v>
      </c>
      <c r="B95" s="3280"/>
      <c r="C95" s="878" t="s">
        <v>685</v>
      </c>
      <c r="D95" s="814" t="s">
        <v>686</v>
      </c>
      <c r="E95" s="891">
        <v>0.2</v>
      </c>
      <c r="F95" s="878">
        <v>30</v>
      </c>
    </row>
    <row r="96" spans="1:6" s="874" customFormat="1" ht="48">
      <c r="A96" s="878">
        <v>36</v>
      </c>
      <c r="B96" s="3280"/>
      <c r="C96" s="814" t="s">
        <v>687</v>
      </c>
      <c r="D96" s="814" t="s">
        <v>688</v>
      </c>
      <c r="E96" s="891">
        <v>0.2</v>
      </c>
      <c r="F96" s="878">
        <v>30</v>
      </c>
    </row>
    <row r="97" spans="1:6" s="874" customFormat="1" ht="36">
      <c r="A97" s="878">
        <v>37</v>
      </c>
      <c r="B97" s="3280"/>
      <c r="C97" s="878" t="s">
        <v>689</v>
      </c>
      <c r="D97" s="814" t="s">
        <v>690</v>
      </c>
      <c r="E97" s="891">
        <v>0.2</v>
      </c>
      <c r="F97" s="878">
        <v>30</v>
      </c>
    </row>
    <row r="98" spans="1:6" s="874" customFormat="1" ht="36">
      <c r="A98" s="878">
        <v>38</v>
      </c>
      <c r="B98" s="3280"/>
      <c r="C98" s="878" t="s">
        <v>691</v>
      </c>
      <c r="D98" s="814" t="s">
        <v>692</v>
      </c>
      <c r="E98" s="891">
        <v>0.2</v>
      </c>
      <c r="F98" s="878">
        <v>30</v>
      </c>
    </row>
    <row r="99" spans="1:6" s="874" customFormat="1" ht="36">
      <c r="A99" s="878">
        <v>39</v>
      </c>
      <c r="B99" s="3280" t="s">
        <v>693</v>
      </c>
      <c r="C99" s="878" t="s">
        <v>694</v>
      </c>
      <c r="D99" s="814" t="s">
        <v>695</v>
      </c>
      <c r="E99" s="891">
        <v>0.3</v>
      </c>
      <c r="F99" s="878">
        <v>50</v>
      </c>
    </row>
    <row r="100" spans="1:6" s="874" customFormat="1" ht="24">
      <c r="A100" s="878">
        <v>40</v>
      </c>
      <c r="B100" s="3280"/>
      <c r="C100" s="878" t="s">
        <v>696</v>
      </c>
      <c r="D100" s="814" t="s">
        <v>697</v>
      </c>
      <c r="E100" s="891">
        <v>0.2</v>
      </c>
      <c r="F100" s="878">
        <v>30</v>
      </c>
    </row>
    <row r="101" spans="1:6" s="874" customFormat="1" ht="36">
      <c r="A101" s="878">
        <v>41</v>
      </c>
      <c r="B101" s="328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0" t="s">
        <v>708</v>
      </c>
      <c r="C105" s="878" t="s">
        <v>709</v>
      </c>
      <c r="D105" s="814" t="s">
        <v>710</v>
      </c>
      <c r="E105" s="891">
        <v>0.2</v>
      </c>
      <c r="F105" s="878">
        <v>30</v>
      </c>
    </row>
    <row r="106" spans="1:6" s="874" customFormat="1" ht="36">
      <c r="A106" s="878">
        <v>46</v>
      </c>
      <c r="B106" s="3280"/>
      <c r="C106" s="878" t="s">
        <v>711</v>
      </c>
      <c r="D106" s="814" t="s">
        <v>712</v>
      </c>
      <c r="E106" s="891">
        <v>0.2</v>
      </c>
      <c r="F106" s="878">
        <v>30</v>
      </c>
    </row>
    <row r="107" spans="1:6" s="874" customFormat="1" ht="36">
      <c r="A107" s="878">
        <v>47</v>
      </c>
      <c r="B107" s="3280" t="s">
        <v>713</v>
      </c>
      <c r="C107" s="878" t="s">
        <v>714</v>
      </c>
      <c r="D107" s="814" t="s">
        <v>715</v>
      </c>
      <c r="E107" s="891">
        <v>0.3</v>
      </c>
      <c r="F107" s="878">
        <v>50</v>
      </c>
    </row>
    <row r="108" spans="1:6" s="874" customFormat="1" ht="36">
      <c r="A108" s="878">
        <v>48</v>
      </c>
      <c r="B108" s="328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0" t="s">
        <v>724</v>
      </c>
      <c r="C111" s="878" t="s">
        <v>725</v>
      </c>
      <c r="D111" s="814" t="s">
        <v>726</v>
      </c>
      <c r="E111" s="891">
        <v>0.2</v>
      </c>
      <c r="F111" s="878">
        <v>30</v>
      </c>
    </row>
    <row r="112" spans="1:6" s="874" customFormat="1" ht="24">
      <c r="A112" s="878">
        <v>52</v>
      </c>
      <c r="B112" s="3280"/>
      <c r="C112" s="878" t="s">
        <v>727</v>
      </c>
      <c r="D112" s="814" t="s">
        <v>728</v>
      </c>
      <c r="E112" s="891">
        <v>0.2</v>
      </c>
      <c r="F112" s="878">
        <v>30</v>
      </c>
    </row>
    <row r="113" spans="1:6" s="874" customFormat="1" ht="24">
      <c r="A113" s="878">
        <v>53</v>
      </c>
      <c r="B113" s="328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0" t="s">
        <v>737</v>
      </c>
      <c r="C116" s="878" t="s">
        <v>738</v>
      </c>
      <c r="D116" s="814" t="s">
        <v>739</v>
      </c>
      <c r="E116" s="891">
        <v>0.2</v>
      </c>
      <c r="F116" s="878">
        <v>30</v>
      </c>
    </row>
    <row r="117" spans="1:6" ht="36">
      <c r="A117" s="878">
        <v>57</v>
      </c>
      <c r="B117" s="328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6"/>
      <c r="B4" s="2975" t="s">
        <v>1625</v>
      </c>
      <c r="C4" s="2975"/>
      <c r="D4" s="2975"/>
      <c r="E4" s="1956"/>
    </row>
    <row r="5" spans="1:5" ht="16.5" thickTop="1">
      <c r="A5" s="1954"/>
      <c r="B5" s="2973" t="s">
        <v>1617</v>
      </c>
      <c r="C5" s="1957" t="s">
        <v>1618</v>
      </c>
      <c r="D5" s="1036">
        <f ca="1">结果表!H101</f>
        <v>106238</v>
      </c>
      <c r="E5" s="1954"/>
    </row>
    <row r="6" spans="1:5" ht="15.75">
      <c r="A6" s="1954"/>
      <c r="B6" s="2973"/>
      <c r="C6" s="1957" t="s">
        <v>1619</v>
      </c>
      <c r="D6" s="1036" t="str">
        <f ca="1">NUMBERSTRING(INT(D5*10000),2)&amp;"元整"</f>
        <v>壹拾亿陆仟贰佰叁拾捌万元整</v>
      </c>
      <c r="E6" s="1954"/>
    </row>
    <row r="7" spans="1:5" ht="15.75">
      <c r="A7" s="1954"/>
      <c r="B7" s="2978"/>
      <c r="C7" s="1958" t="s">
        <v>1620</v>
      </c>
      <c r="D7" s="1037">
        <f ca="1">结果表!H102</f>
        <v>38356</v>
      </c>
      <c r="E7" s="1954"/>
    </row>
    <row r="8" spans="1:5" ht="15.75">
      <c r="A8" s="1954"/>
      <c r="B8" s="2979" t="str">
        <f>结果表!E103</f>
        <v>2.估价师知悉的法定优先受偿款</v>
      </c>
      <c r="C8" s="1959" t="s">
        <v>1621</v>
      </c>
      <c r="D8" s="1037">
        <f>结果表!H103</f>
        <v>0</v>
      </c>
      <c r="E8" s="1954"/>
    </row>
    <row r="9" spans="1:5" ht="15.75">
      <c r="A9" s="1954"/>
      <c r="B9" s="2981"/>
      <c r="C9" s="1957" t="s">
        <v>1619</v>
      </c>
      <c r="D9" s="1036" t="str">
        <f>NUMBERSTRING(INT(D8*10000),2)&amp;"元整"</f>
        <v>零元整</v>
      </c>
      <c r="E9" s="1954"/>
    </row>
    <row r="10" spans="1:5" ht="15">
      <c r="A10" s="1954"/>
      <c r="B10" s="1960" t="s">
        <v>1624</v>
      </c>
      <c r="C10" s="1961" t="s">
        <v>1622</v>
      </c>
      <c r="D10" s="1038">
        <f>结果表!H104</f>
        <v>0</v>
      </c>
      <c r="E10" s="1954"/>
    </row>
    <row r="11" spans="1:5" ht="15">
      <c r="A11" s="1954"/>
      <c r="B11" s="1960" t="s">
        <v>1626</v>
      </c>
      <c r="C11" s="1961" t="s">
        <v>1627</v>
      </c>
      <c r="D11" s="1038">
        <f>结果表!H105</f>
        <v>0</v>
      </c>
      <c r="E11" s="1954"/>
    </row>
    <row r="12" spans="1:5" ht="15">
      <c r="A12" s="1954"/>
      <c r="B12" s="1960" t="s">
        <v>1628</v>
      </c>
      <c r="C12" s="1961" t="s">
        <v>1627</v>
      </c>
      <c r="D12" s="1038">
        <f>结果表!H106</f>
        <v>0</v>
      </c>
      <c r="E12" s="1954"/>
    </row>
    <row r="13" spans="1:5" ht="15.75">
      <c r="A13" s="1954"/>
      <c r="B13" s="2972" t="str">
        <f>结果表!E107</f>
        <v>3.房地产抵押价值</v>
      </c>
      <c r="C13" s="1962" t="s">
        <v>1618</v>
      </c>
      <c r="D13" s="1039">
        <f ca="1">结果表!H107</f>
        <v>106238</v>
      </c>
      <c r="E13" s="1954"/>
    </row>
    <row r="14" spans="1:5" ht="15.75">
      <c r="A14" s="1954"/>
      <c r="B14" s="2973"/>
      <c r="C14" s="1957" t="s">
        <v>1619</v>
      </c>
      <c r="D14" s="1036" t="str">
        <f ca="1">NUMBERSTRING(INT(D13*10000),2)&amp;"元整"</f>
        <v>壹拾亿陆仟贰佰叁拾捌万元整</v>
      </c>
      <c r="E14" s="1954"/>
    </row>
    <row r="15" spans="1:5" ht="15">
      <c r="A15" s="1954"/>
      <c r="B15" s="2978"/>
      <c r="C15" s="1958" t="s">
        <v>1629</v>
      </c>
      <c r="D15" s="1048">
        <f ca="1">结果表!H108</f>
        <v>38356</v>
      </c>
      <c r="E15" s="1954"/>
    </row>
    <row r="16" spans="1:5" ht="15">
      <c r="A16" s="1954"/>
      <c r="B16" s="2979" t="str">
        <f>结果表!E109</f>
        <v>——</v>
      </c>
      <c r="C16" s="1962" t="s">
        <v>1630</v>
      </c>
      <c r="D16" s="1963" t="str">
        <f>结果表!H109</f>
        <v>——</v>
      </c>
      <c r="E16" s="1954"/>
    </row>
    <row r="17" spans="1:5" ht="15.75">
      <c r="A17" s="1954"/>
      <c r="B17" s="2980"/>
      <c r="C17" s="1957" t="s">
        <v>1631</v>
      </c>
      <c r="D17" s="1036" t="e">
        <f>NUMBERSTRING(INT(D16*10000),2)&amp;"元整"</f>
        <v>#VALUE!</v>
      </c>
      <c r="E17" s="1954"/>
    </row>
    <row r="18" spans="1:5" ht="15">
      <c r="A18" s="1954"/>
      <c r="B18" s="2981"/>
      <c r="C18" s="1958" t="s">
        <v>1620</v>
      </c>
      <c r="D18" s="1048" t="str">
        <f>结果表!H110</f>
        <v>——</v>
      </c>
      <c r="E18" s="1954"/>
    </row>
    <row r="19" spans="1:5" ht="15.75">
      <c r="A19" s="1954"/>
      <c r="B19" s="2972" t="str">
        <f>结果表!E111</f>
        <v>——</v>
      </c>
      <c r="C19" s="1962" t="s">
        <v>1618</v>
      </c>
      <c r="D19" s="1037" t="str">
        <f>结果表!H111</f>
        <v>——</v>
      </c>
      <c r="E19" s="1954"/>
    </row>
    <row r="20" spans="1:5" ht="15.75">
      <c r="A20" s="1954"/>
      <c r="B20" s="2973"/>
      <c r="C20" s="1957" t="s">
        <v>1631</v>
      </c>
      <c r="D20" s="1036" t="e">
        <f>NUMBERSTRING(INT(D19*10000),2)&amp;"元整"</f>
        <v>#VALUE!</v>
      </c>
      <c r="E20" s="1954"/>
    </row>
    <row r="21" spans="1:5" ht="15.75" thickBot="1">
      <c r="A21" s="1954"/>
      <c r="B21" s="2974"/>
      <c r="C21" s="1964" t="s">
        <v>1629</v>
      </c>
      <c r="D21" s="1049"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0.92210000000000003</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18" sqref="K18"/>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3001</v>
      </c>
    </row>
    <row r="2" spans="1:5" ht="15.75">
      <c r="A2" s="2900" t="s">
        <v>2993</v>
      </c>
      <c r="B2" s="2901">
        <f ca="1">SUMIF(B6:B13,"&lt;&gt;#ref!",B6:B13)</f>
        <v>78657</v>
      </c>
      <c r="C2" s="2900" t="s">
        <v>2994</v>
      </c>
      <c r="D2" s="2900" t="s">
        <v>2995</v>
      </c>
      <c r="E2" s="2901">
        <f ca="1">SUMIF(E6:E13,"&lt;&gt;#ref!",E6:E13)</f>
        <v>26002.699999999997</v>
      </c>
    </row>
    <row r="3" spans="1:5" ht="15.75">
      <c r="A3" s="2900" t="s">
        <v>2996</v>
      </c>
      <c r="B3" s="2901">
        <f ca="1">ROUND(B2*10000/E2,0)</f>
        <v>30250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f ca="1">SUMIF(INDIRECT("'"&amp;A6&amp;"'"&amp;"!A:A"),"总价",INDIRECT("'"&amp;A6&amp;"'"&amp;"!B:B"))</f>
        <v>76066</v>
      </c>
      <c r="C6" s="2900" t="s">
        <v>2994</v>
      </c>
      <c r="D6" s="2902"/>
      <c r="E6" s="2573">
        <f ca="1">SUMIF(INDIRECT("'"&amp;A6&amp;"'"&amp;"!C:C"),"建筑面积",INDIRECT("'"&amp;A6&amp;"'"&amp;"!D:D"))</f>
        <v>25646.92</v>
      </c>
    </row>
    <row r="7" spans="1:5" ht="15.75">
      <c r="A7" s="2905" t="s">
        <v>3086</v>
      </c>
      <c r="B7" s="2901">
        <f ca="1">SUMIF(INDIRECT("'"&amp;A7&amp;"'"&amp;"!A:A"),"总价",INDIRECT("'"&amp;A7&amp;"'"&amp;"!B:B"))</f>
        <v>2591</v>
      </c>
      <c r="C7" s="2900" t="s">
        <v>2994</v>
      </c>
      <c r="D7" s="2902"/>
      <c r="E7" s="2573">
        <f t="shared" ref="E7:E13" ca="1" si="0">SUMIF(INDIRECT("'"&amp;A7&amp;"'"&amp;"!C:C"),"建筑面积",INDIRECT("'"&amp;A7&amp;"'"&amp;"!D:D"))</f>
        <v>355.78</v>
      </c>
    </row>
    <row r="8" spans="1:5" ht="15.75">
      <c r="A8" s="2905"/>
      <c r="B8" s="2901" t="e">
        <f t="shared" ref="B8:B13" ca="1" si="1">SUMIF(INDIRECT("'"&amp;A8&amp;"'"&amp;"!A:A"),"总价",INDIRECT("'"&amp;A8&amp;"'"&amp;"!B:B"))</f>
        <v>#REF!</v>
      </c>
      <c r="C8" s="2900" t="s">
        <v>2994</v>
      </c>
      <c r="D8" s="2902"/>
      <c r="E8" s="2573" t="e">
        <f t="shared" ca="1" si="0"/>
        <v>#REF!</v>
      </c>
    </row>
    <row r="9" spans="1:5" ht="15.75">
      <c r="A9" s="2905"/>
      <c r="B9" s="2901" t="e">
        <f t="shared" ca="1" si="1"/>
        <v>#REF!</v>
      </c>
      <c r="C9" s="2900" t="s">
        <v>2994</v>
      </c>
      <c r="D9" s="2902"/>
      <c r="E9" s="2573" t="e">
        <f t="shared" ca="1" si="0"/>
        <v>#REF!</v>
      </c>
    </row>
    <row r="10" spans="1:5" ht="15.75">
      <c r="A10" s="2905"/>
      <c r="B10" s="2901" t="e">
        <f t="shared" ca="1" si="1"/>
        <v>#REF!</v>
      </c>
      <c r="C10" s="2900" t="s">
        <v>2994</v>
      </c>
      <c r="D10" s="2902"/>
      <c r="E10" s="2573" t="e">
        <f t="shared" ca="1" si="0"/>
        <v>#REF!</v>
      </c>
    </row>
    <row r="11" spans="1:5" ht="15.75">
      <c r="A11" s="2905"/>
      <c r="B11" s="2901" t="e">
        <f t="shared" ca="1" si="1"/>
        <v>#REF!</v>
      </c>
      <c r="C11" s="2900" t="s">
        <v>2994</v>
      </c>
      <c r="D11" s="2902"/>
      <c r="E11" s="2573" t="e">
        <f t="shared" ca="1" si="0"/>
        <v>#REF!</v>
      </c>
    </row>
    <row r="12" spans="1:5" ht="15.75">
      <c r="A12" s="2905"/>
      <c r="B12" s="2901" t="e">
        <f t="shared" ca="1" si="1"/>
        <v>#REF!</v>
      </c>
      <c r="C12" s="2900" t="s">
        <v>2994</v>
      </c>
      <c r="D12" s="2902"/>
      <c r="E12" s="2573" t="e">
        <f t="shared" ca="1" si="0"/>
        <v>#REF!</v>
      </c>
    </row>
    <row r="13" spans="1:5" ht="15.75">
      <c r="A13" s="2905"/>
      <c r="B13" s="2901" t="e">
        <f t="shared" ca="1" si="1"/>
        <v>#REF!</v>
      </c>
      <c r="C13" s="2900" t="s">
        <v>2994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6" t="s">
        <v>1146</v>
      </c>
      <c r="C1" s="3286"/>
      <c r="D1" s="3286"/>
      <c r="E1" s="3286"/>
      <c r="F1" s="3286"/>
      <c r="G1" s="3282" t="s">
        <v>1147</v>
      </c>
      <c r="H1" s="3282"/>
      <c r="I1" s="3282"/>
      <c r="J1" s="3282"/>
      <c r="K1" s="3282"/>
      <c r="L1" s="3282"/>
      <c r="N1" s="3282" t="s">
        <v>1148</v>
      </c>
      <c r="O1" s="3282"/>
      <c r="P1" s="3282"/>
      <c r="Q1" s="3282"/>
      <c r="R1" s="1442"/>
      <c r="S1" s="3282" t="s">
        <v>1149</v>
      </c>
      <c r="T1" s="3282"/>
      <c r="U1" s="3282"/>
      <c r="V1" s="3282"/>
      <c r="X1" s="3281" t="s">
        <v>1150</v>
      </c>
      <c r="Y1" s="3282"/>
      <c r="Z1" s="3282"/>
      <c r="AA1" s="3282"/>
      <c r="AB1" s="3282"/>
      <c r="AD1" s="3281" t="s">
        <v>1151</v>
      </c>
      <c r="AE1" s="3282"/>
      <c r="AF1" s="3282"/>
      <c r="AG1" s="3282"/>
      <c r="AH1" s="3282"/>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6" customFormat="1" ht="14.25">
      <c r="A3" s="2925" t="s">
        <v>3036</v>
      </c>
      <c r="B3" s="2917"/>
      <c r="C3" s="2917"/>
      <c r="D3" s="2918"/>
      <c r="E3" s="2918"/>
      <c r="F3" s="2917"/>
      <c r="G3" s="2919"/>
      <c r="H3" s="2920"/>
      <c r="I3" s="2921">
        <f>ROUND(AVERAGE($I4:$I28),2)</f>
        <v>1.96</v>
      </c>
      <c r="J3" s="2921">
        <f>ROUND(AVERAGE($J4:$J28),2)</f>
        <v>1.38</v>
      </c>
      <c r="K3" s="2921">
        <f>ROUND(AVERAGE($K4:$K28),2)</f>
        <v>2.14</v>
      </c>
      <c r="L3" s="2921">
        <f>ROUND(AVERAGE($L4:$L28),2)</f>
        <v>1.34</v>
      </c>
      <c r="N3" s="2919"/>
      <c r="O3" s="2922"/>
      <c r="P3" s="2922"/>
      <c r="Q3" s="2922"/>
      <c r="R3" s="2922"/>
      <c r="S3" s="2919"/>
      <c r="T3" s="2922"/>
      <c r="U3" s="2922"/>
      <c r="V3" s="2922"/>
      <c r="W3" s="2914"/>
      <c r="X3" s="2923">
        <f>ROUND(SUMPRODUCT(PRODUCT(1+N3:N$27)),4)</f>
        <v>1.5422</v>
      </c>
      <c r="Y3" s="2923">
        <f>ROUND(SUMPRODUCT(PRODUCT(1+O3:O$27)),4)</f>
        <v>1.3557999999999999</v>
      </c>
      <c r="Z3" s="2923">
        <f t="shared" ref="Z3:Z25" si="0">Y3</f>
        <v>1.3557999999999999</v>
      </c>
      <c r="AA3" s="2923">
        <f>ROUND(SUMPRODUCT(PRODUCT(1+P3:P$27)),4)</f>
        <v>1.6036999999999999</v>
      </c>
      <c r="AB3" s="2923">
        <f>ROUND(SUMPRODUCT(PRODUCT(1+Q3:Q$27)),4)</f>
        <v>1.3573</v>
      </c>
      <c r="AD3" s="2924">
        <f>ROUND(AVERAGE(I3:I$28)/100,4)</f>
        <v>1.9599999999999999E-2</v>
      </c>
      <c r="AE3" s="2924">
        <f>ROUND(AVERAGE(J3:J$28)/100,4)</f>
        <v>1.38E-2</v>
      </c>
      <c r="AF3" s="2924">
        <f t="shared" ref="AF3:AF26" si="1">AE3</f>
        <v>1.38E-2</v>
      </c>
      <c r="AG3" s="2924">
        <f>ROUND(AVERAGE(K3:K$28)/100,4)</f>
        <v>2.1399999999999999E-2</v>
      </c>
      <c r="AH3" s="2924">
        <f>ROUND(AVERAGE(L3:L$28)/100,4)</f>
        <v>1.34E-2</v>
      </c>
    </row>
    <row r="4" spans="1:34" s="1449" customFormat="1" ht="14.25">
      <c r="B4" s="1450"/>
      <c r="C4" s="1450"/>
      <c r="D4" s="1451"/>
      <c r="E4" s="1451"/>
      <c r="F4" s="1450"/>
      <c r="G4" s="1452"/>
      <c r="H4" s="1453"/>
      <c r="I4" s="2911"/>
      <c r="J4" s="2911"/>
      <c r="K4" s="2911"/>
      <c r="L4" s="2911"/>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3055</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51">
        <v>2019</v>
      </c>
      <c r="H5" s="1726">
        <v>4</v>
      </c>
      <c r="I5" s="2912">
        <v>0</v>
      </c>
      <c r="J5" s="2912">
        <v>0</v>
      </c>
      <c r="K5" s="2912">
        <v>0</v>
      </c>
      <c r="L5" s="2912">
        <v>0</v>
      </c>
      <c r="N5" s="1463">
        <f t="shared" ref="N5:N10" si="7">I5/100</f>
        <v>0</v>
      </c>
      <c r="O5" s="1463">
        <f t="shared" ref="O5" si="8">J5/100</f>
        <v>0</v>
      </c>
      <c r="P5" s="1463">
        <f t="shared" ref="P5" si="9">K5/100</f>
        <v>0</v>
      </c>
      <c r="Q5" s="1463">
        <f t="shared" ref="Q5" si="10">L5/100</f>
        <v>0</v>
      </c>
      <c r="R5" s="1728"/>
      <c r="S5" s="1729"/>
      <c r="T5" s="1728"/>
      <c r="U5" s="1728"/>
      <c r="V5" s="1728"/>
      <c r="W5" s="2915" t="s">
        <v>3037</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4">
        <f>ROUND(AVERAGE(I5:I$28)/100,4)</f>
        <v>1.9599999999999999E-2</v>
      </c>
      <c r="AE5" s="1464">
        <f>ROUND(AVERAGE(J5:J$28)/100,4)</f>
        <v>1.38E-2</v>
      </c>
      <c r="AF5" s="1464">
        <f t="shared" ref="AF5" si="12">AE5</f>
        <v>1.38E-2</v>
      </c>
      <c r="AG5" s="1464">
        <f>ROUND(AVERAGE(K5:K$28)/100,4)</f>
        <v>2.1399999999999999E-2</v>
      </c>
      <c r="AH5" s="1464">
        <f>ROUND(AVERAGE(L5:L$28)/100,4)</f>
        <v>1.34E-2</v>
      </c>
    </row>
    <row r="6" spans="1:34" s="1462" customFormat="1" ht="13.5" thickBot="1">
      <c r="A6" s="1457" t="s">
        <v>3054</v>
      </c>
      <c r="B6" s="1473">
        <f t="shared" ref="B6" si="13">B7*(1+N6)</f>
        <v>474.30670301923408</v>
      </c>
      <c r="C6" s="1473">
        <f t="shared" ref="C6" si="14">C7*(1+O6)</f>
        <v>349.50705005996491</v>
      </c>
      <c r="D6" s="1473">
        <f t="shared" ref="D6" si="15">C6</f>
        <v>349.50705005996491</v>
      </c>
      <c r="E6" s="1473">
        <f t="shared" ref="E6" si="16">E7*(1+P6)</f>
        <v>678.22831959706957</v>
      </c>
      <c r="F6" s="1473">
        <f t="shared" ref="F6" si="17">F7*(1+Q6)</f>
        <v>312.0556832169558</v>
      </c>
      <c r="G6" s="2951">
        <v>2019</v>
      </c>
      <c r="H6" s="1458">
        <v>3</v>
      </c>
      <c r="I6" s="2949">
        <v>0</v>
      </c>
      <c r="J6" s="2949">
        <v>0</v>
      </c>
      <c r="K6" s="2949">
        <v>0</v>
      </c>
      <c r="L6" s="2950">
        <v>0</v>
      </c>
      <c r="M6" s="1467"/>
      <c r="N6" s="1468">
        <f t="shared" si="7"/>
        <v>0</v>
      </c>
      <c r="O6" s="1469">
        <f t="shared" ref="O6" si="18">J6/100</f>
        <v>0</v>
      </c>
      <c r="P6" s="1469">
        <f t="shared" ref="P6" si="19">K6/100</f>
        <v>0</v>
      </c>
      <c r="Q6" s="1469">
        <f t="shared" ref="Q6" si="20">L6/100</f>
        <v>0</v>
      </c>
      <c r="R6" s="1470"/>
      <c r="S6" s="1468"/>
      <c r="T6" s="1469"/>
      <c r="U6" s="1469"/>
      <c r="V6" s="1469"/>
      <c r="W6" s="1786"/>
      <c r="X6" s="1784">
        <f>ROUND(IF(项目基本情况!B8="出让",SUMPRODUCT(PRODUCT(1+N6:N$28)),SUMPRODUCT(PRODUCT(1+N6:N$27))),4)</f>
        <v>1.5422</v>
      </c>
      <c r="Y6" s="1784">
        <f>ROUND(IF(项目基本情况!B8="出让",SUMPRODUCT(PRODUCT(1+O6:O$28)),SUMPRODUCT(PRODUCT(1+O6:O$27))),4)</f>
        <v>1.3557999999999999</v>
      </c>
      <c r="Z6" s="1784">
        <f t="shared" ref="Z6" si="21">Y6</f>
        <v>1.3557999999999999</v>
      </c>
      <c r="AA6" s="1784">
        <f>ROUND(IF(项目基本情况!B8="出让",SUMPRODUCT(PRODUCT(1+P6:P$28)),SUMPRODUCT(PRODUCT(1+P6:P$27))),4)</f>
        <v>1.6036999999999999</v>
      </c>
      <c r="AB6" s="1784">
        <f>ROUND(IF(项目基本情况!B8="出让",SUMPRODUCT(PRODUCT(1+Q6:Q$28)),SUMPRODUCT(PRODUCT(1+Q6:Q$27))),4)</f>
        <v>1.3573</v>
      </c>
      <c r="AC6" s="1786"/>
      <c r="AD6" s="1785">
        <f>ROUND(AVERAGE(I6:I$28)/100,4)</f>
        <v>2.0400000000000001E-2</v>
      </c>
      <c r="AE6" s="1785">
        <f>ROUND(AVERAGE(J6:J$28)/100,4)</f>
        <v>1.44E-2</v>
      </c>
      <c r="AF6" s="1785">
        <f t="shared" ref="AF6" si="22">AE6</f>
        <v>1.44E-2</v>
      </c>
      <c r="AG6" s="1785">
        <f>ROUND(AVERAGE(K6:K$28)/100,4)</f>
        <v>2.23E-2</v>
      </c>
      <c r="AH6" s="1785">
        <f>ROUND(AVERAGE(L6:L$28)/100,4)</f>
        <v>1.4E-2</v>
      </c>
    </row>
    <row r="7" spans="1:34" s="1462" customFormat="1">
      <c r="A7" s="1457" t="s">
        <v>3052</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5">
        <v>2019</v>
      </c>
      <c r="H7" s="1458">
        <v>2</v>
      </c>
      <c r="I7" s="2949">
        <v>1.53</v>
      </c>
      <c r="J7" s="2949">
        <v>1.01</v>
      </c>
      <c r="K7" s="2949">
        <v>1.62</v>
      </c>
      <c r="L7" s="2950">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3049</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9">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3053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84">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3043</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84"/>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3042</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84"/>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3035</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91"/>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3032</v>
      </c>
      <c r="B13" s="1465">
        <v>439</v>
      </c>
      <c r="C13" s="1465">
        <v>327</v>
      </c>
      <c r="D13" s="1465">
        <f>C13</f>
        <v>327</v>
      </c>
      <c r="E13" s="1465">
        <v>627</v>
      </c>
      <c r="F13" s="1466">
        <v>283</v>
      </c>
      <c r="G13" s="3287">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3033</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84"/>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1381</v>
      </c>
      <c r="B15" s="1473">
        <f t="shared" si="94"/>
        <v>419.31181600000002</v>
      </c>
      <c r="C15" s="1473">
        <f t="shared" si="95"/>
        <v>313.95436800000004</v>
      </c>
      <c r="D15" s="1473">
        <f t="shared" si="96"/>
        <v>313.95436800000004</v>
      </c>
      <c r="E15" s="1473">
        <f t="shared" si="97"/>
        <v>596.63028431999999</v>
      </c>
      <c r="F15" s="1473">
        <f t="shared" si="98"/>
        <v>274.74220703999998</v>
      </c>
      <c r="G15" s="3284"/>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1157</v>
      </c>
      <c r="B16" s="1473">
        <f>B17*(1+N16)</f>
        <v>405.524</v>
      </c>
      <c r="C16" s="1473">
        <f>C17*(1+O16)</f>
        <v>307.79840000000002</v>
      </c>
      <c r="D16" s="1473">
        <f>C16</f>
        <v>307.79840000000002</v>
      </c>
      <c r="E16" s="1473">
        <f>E17*(1+P16)</f>
        <v>574.67759999999998</v>
      </c>
      <c r="F16" s="1473">
        <f>F17*(1+Q16)</f>
        <v>270.20280000000002</v>
      </c>
      <c r="G16" s="3291"/>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87">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84"/>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84"/>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85"/>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83">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84"/>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84"/>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85"/>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83">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84"/>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84"/>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85"/>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1158</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1159</v>
      </c>
      <c r="B29" s="1465">
        <v>299</v>
      </c>
      <c r="C29" s="1465">
        <v>252</v>
      </c>
      <c r="D29" s="1465">
        <f t="shared" si="108"/>
        <v>252</v>
      </c>
      <c r="E29" s="1465">
        <v>409</v>
      </c>
      <c r="F29" s="1466">
        <v>227</v>
      </c>
      <c r="G29" s="3288">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1160</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89"/>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1161</v>
      </c>
      <c r="B31" s="1473">
        <f t="shared" si="117"/>
        <v>288.2649053828776</v>
      </c>
      <c r="C31" s="1473">
        <f t="shared" si="117"/>
        <v>243.64564425013293</v>
      </c>
      <c r="D31" s="1473">
        <f t="shared" si="108"/>
        <v>243.64564425013293</v>
      </c>
      <c r="E31" s="1473">
        <f t="shared" si="118"/>
        <v>393.31080825986544</v>
      </c>
      <c r="F31" s="1473">
        <f t="shared" si="118"/>
        <v>223.07903790551154</v>
      </c>
      <c r="G31" s="3289"/>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1162</v>
      </c>
      <c r="B32" s="1473">
        <f t="shared" si="117"/>
        <v>282.50186729015837</v>
      </c>
      <c r="C32" s="1473">
        <f t="shared" si="117"/>
        <v>238.09796174155468</v>
      </c>
      <c r="D32" s="1473">
        <f t="shared" si="108"/>
        <v>238.09796174155468</v>
      </c>
      <c r="E32" s="1473">
        <f t="shared" si="118"/>
        <v>385.33438646014054</v>
      </c>
      <c r="F32" s="1473">
        <f t="shared" si="118"/>
        <v>221.55034055567739</v>
      </c>
      <c r="G32" s="3290"/>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1163</v>
      </c>
      <c r="B33" s="1507">
        <v>278</v>
      </c>
      <c r="C33" s="1507">
        <v>234</v>
      </c>
      <c r="D33" s="1507">
        <f t="shared" si="108"/>
        <v>234</v>
      </c>
      <c r="E33" s="1507">
        <v>379</v>
      </c>
      <c r="F33" s="1508">
        <v>220</v>
      </c>
      <c r="G33" s="3283">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1164</v>
      </c>
      <c r="B34" s="1473">
        <f>B33/(1+N33)</f>
        <v>275.49301357645425</v>
      </c>
      <c r="C34" s="1473">
        <f>C33/(1+O33)</f>
        <v>232.41954707985698</v>
      </c>
      <c r="D34" s="1473">
        <f t="shared" si="108"/>
        <v>232.41954707985698</v>
      </c>
      <c r="E34" s="1473">
        <f t="shared" ref="E34:F36" si="119">E33/(1+P33)</f>
        <v>375.32184591008121</v>
      </c>
      <c r="F34" s="1473">
        <f t="shared" si="119"/>
        <v>218.03766105054513</v>
      </c>
      <c r="G34" s="3284"/>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1165</v>
      </c>
      <c r="B35" s="1473">
        <f>B34/(1+N34)</f>
        <v>275.24529281292263</v>
      </c>
      <c r="C35" s="1473">
        <f>C34/(1+O34)</f>
        <v>231.74747938962707</v>
      </c>
      <c r="D35" s="1473">
        <f t="shared" si="108"/>
        <v>231.74747938962707</v>
      </c>
      <c r="E35" s="1473">
        <f t="shared" si="119"/>
        <v>375.35938184826603</v>
      </c>
      <c r="F35" s="1473">
        <f t="shared" si="119"/>
        <v>216.78033510692495</v>
      </c>
      <c r="G35" s="3284"/>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1166</v>
      </c>
      <c r="B36" s="1473">
        <f>B35/(1+N35)</f>
        <v>275.19025476197027</v>
      </c>
      <c r="C36" s="1509">
        <v>232</v>
      </c>
      <c r="D36" s="1509">
        <f t="shared" si="108"/>
        <v>232</v>
      </c>
      <c r="E36" s="1473">
        <f t="shared" si="119"/>
        <v>375.65990977608692</v>
      </c>
      <c r="F36" s="1473">
        <f t="shared" si="119"/>
        <v>214.12518283971252</v>
      </c>
      <c r="G36" s="3285"/>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1167</v>
      </c>
      <c r="B37" s="1465">
        <v>275</v>
      </c>
      <c r="C37" s="1465">
        <v>232</v>
      </c>
      <c r="D37" s="1465">
        <f t="shared" si="108"/>
        <v>232</v>
      </c>
      <c r="E37" s="1465">
        <v>376</v>
      </c>
      <c r="F37" s="1466">
        <v>213</v>
      </c>
      <c r="G37" s="3283">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1168</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84">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1169</v>
      </c>
      <c r="B39" s="1473">
        <f t="shared" si="120"/>
        <v>275.19335084830601</v>
      </c>
      <c r="C39" s="1473">
        <f t="shared" si="120"/>
        <v>230.18088050139744</v>
      </c>
      <c r="D39" s="1473">
        <f t="shared" si="108"/>
        <v>230.18088050139744</v>
      </c>
      <c r="E39" s="1473">
        <f t="shared" si="121"/>
        <v>377.58482925212331</v>
      </c>
      <c r="F39" s="1473">
        <f t="shared" si="121"/>
        <v>210.90687997847917</v>
      </c>
      <c r="G39" s="3284">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1170</v>
      </c>
      <c r="B40" s="1473">
        <f t="shared" si="120"/>
        <v>276.29854502841971</v>
      </c>
      <c r="C40" s="1473">
        <f t="shared" si="120"/>
        <v>229.79023709833027</v>
      </c>
      <c r="D40" s="1473">
        <f t="shared" si="108"/>
        <v>229.79023709833027</v>
      </c>
      <c r="E40" s="1473">
        <f t="shared" si="121"/>
        <v>379.78759731655936</v>
      </c>
      <c r="F40" s="1473">
        <f t="shared" si="121"/>
        <v>211.32953905659235</v>
      </c>
      <c r="G40" s="3285">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1171</v>
      </c>
      <c r="B41" s="1465">
        <v>269</v>
      </c>
      <c r="C41" s="1465">
        <v>221</v>
      </c>
      <c r="D41" s="1465">
        <f t="shared" si="108"/>
        <v>221</v>
      </c>
      <c r="E41" s="1465">
        <v>373</v>
      </c>
      <c r="F41" s="1466">
        <v>196</v>
      </c>
      <c r="G41" s="3283">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1172</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84">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1173</v>
      </c>
      <c r="B43" s="1473">
        <f t="shared" si="122"/>
        <v>242.95398227588385</v>
      </c>
      <c r="C43" s="1473">
        <f t="shared" si="122"/>
        <v>199.59137053614126</v>
      </c>
      <c r="D43" s="1473">
        <f t="shared" si="108"/>
        <v>199.59137053614126</v>
      </c>
      <c r="E43" s="1473">
        <f t="shared" si="123"/>
        <v>335.92189522342125</v>
      </c>
      <c r="F43" s="1473">
        <f t="shared" si="123"/>
        <v>183.10139991109489</v>
      </c>
      <c r="G43" s="3284">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1174</v>
      </c>
      <c r="B44" s="1473">
        <f t="shared" si="122"/>
        <v>232.06990378821649</v>
      </c>
      <c r="C44" s="1473">
        <f t="shared" si="122"/>
        <v>192.74878854286936</v>
      </c>
      <c r="D44" s="1473">
        <f t="shared" si="108"/>
        <v>192.74878854286936</v>
      </c>
      <c r="E44" s="1473">
        <f t="shared" si="123"/>
        <v>319.71247284992984</v>
      </c>
      <c r="F44" s="1473">
        <f t="shared" si="123"/>
        <v>175.67053622862409</v>
      </c>
      <c r="G44" s="3285">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1175</v>
      </c>
      <c r="B45" s="1465">
        <v>220</v>
      </c>
      <c r="C45" s="1465">
        <v>187</v>
      </c>
      <c r="D45" s="1465">
        <f t="shared" si="108"/>
        <v>187</v>
      </c>
      <c r="E45" s="1465">
        <v>301</v>
      </c>
      <c r="F45" s="1466">
        <v>168</v>
      </c>
      <c r="G45" s="3283">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1176</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84">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1177</v>
      </c>
      <c r="B47" s="1473">
        <f t="shared" si="124"/>
        <v>210.630522469011</v>
      </c>
      <c r="C47" s="1473">
        <f t="shared" si="124"/>
        <v>181.69567812247232</v>
      </c>
      <c r="D47" s="1473">
        <f t="shared" si="108"/>
        <v>181.69567812247232</v>
      </c>
      <c r="E47" s="1473">
        <f t="shared" si="125"/>
        <v>286.13517466736738</v>
      </c>
      <c r="F47" s="1473">
        <f t="shared" si="125"/>
        <v>165.47535084591149</v>
      </c>
      <c r="G47" s="3284">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1178</v>
      </c>
      <c r="B48" s="1473">
        <f t="shared" si="124"/>
        <v>208.83454537875372</v>
      </c>
      <c r="C48" s="1473">
        <f t="shared" si="124"/>
        <v>183.77230517090351</v>
      </c>
      <c r="D48" s="1473">
        <f t="shared" si="108"/>
        <v>183.77230517090351</v>
      </c>
      <c r="E48" s="1473">
        <f t="shared" si="125"/>
        <v>281.10342338870947</v>
      </c>
      <c r="F48" s="1473">
        <f t="shared" si="125"/>
        <v>168.97309388942256</v>
      </c>
      <c r="G48" s="3285">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1179</v>
      </c>
      <c r="B49" s="1507">
        <v>214</v>
      </c>
      <c r="C49" s="1507">
        <v>188</v>
      </c>
      <c r="D49" s="1507">
        <f t="shared" si="108"/>
        <v>188</v>
      </c>
      <c r="E49" s="1507">
        <v>289</v>
      </c>
      <c r="F49" s="1508">
        <v>166</v>
      </c>
      <c r="G49" s="3283">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1180</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84">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1181</v>
      </c>
      <c r="B51" s="1473">
        <f t="shared" si="126"/>
        <v>206.31694671589116</v>
      </c>
      <c r="C51" s="1473">
        <f t="shared" si="126"/>
        <v>183.61041121036101</v>
      </c>
      <c r="D51" s="1473">
        <f t="shared" si="108"/>
        <v>183.61041121036101</v>
      </c>
      <c r="E51" s="1473">
        <f t="shared" si="127"/>
        <v>276.66850301795557</v>
      </c>
      <c r="F51" s="1473">
        <f t="shared" si="127"/>
        <v>165.1360938278614</v>
      </c>
      <c r="G51" s="3284">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1182</v>
      </c>
      <c r="B52" s="1510">
        <f t="shared" si="126"/>
        <v>196.62341248059772</v>
      </c>
      <c r="C52" s="1510">
        <f t="shared" si="126"/>
        <v>170.99125648199012</v>
      </c>
      <c r="D52" s="1510">
        <f t="shared" si="108"/>
        <v>170.99125648199012</v>
      </c>
      <c r="E52" s="1510">
        <f t="shared" si="127"/>
        <v>266.07857570490052</v>
      </c>
      <c r="F52" s="1510">
        <f t="shared" si="127"/>
        <v>154.53499328828505</v>
      </c>
      <c r="G52" s="3285">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1183</v>
      </c>
      <c r="B53" s="1465">
        <v>188</v>
      </c>
      <c r="C53" s="1465">
        <v>165</v>
      </c>
      <c r="D53" s="1465">
        <f t="shared" si="108"/>
        <v>165</v>
      </c>
      <c r="E53" s="1465">
        <v>254</v>
      </c>
      <c r="F53" s="1466">
        <v>148</v>
      </c>
      <c r="G53" s="3283">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1184</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84">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1185</v>
      </c>
      <c r="B55" s="1473">
        <f t="shared" si="130"/>
        <v>168.82017748715555</v>
      </c>
      <c r="C55" s="1473">
        <f t="shared" si="130"/>
        <v>148.06267029972753</v>
      </c>
      <c r="D55" s="1473">
        <f t="shared" si="108"/>
        <v>148.06267029972753</v>
      </c>
      <c r="E55" s="1473">
        <f t="shared" si="131"/>
        <v>216.46288379323747</v>
      </c>
      <c r="F55" s="1473">
        <f t="shared" si="131"/>
        <v>134.23529411764704</v>
      </c>
      <c r="G55" s="3284">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1186</v>
      </c>
      <c r="B56" s="1473">
        <f t="shared" si="130"/>
        <v>163.84913591779542</v>
      </c>
      <c r="C56" s="1473">
        <f t="shared" si="130"/>
        <v>145.0283378746594</v>
      </c>
      <c r="D56" s="1473">
        <f t="shared" si="108"/>
        <v>145.0283378746594</v>
      </c>
      <c r="E56" s="1473">
        <f t="shared" si="131"/>
        <v>204.95180722891567</v>
      </c>
      <c r="F56" s="1473">
        <f t="shared" si="131"/>
        <v>125.95920303605313</v>
      </c>
      <c r="G56" s="3285">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1187</v>
      </c>
      <c r="B57" s="1486">
        <v>159</v>
      </c>
      <c r="C57" s="1486">
        <v>141</v>
      </c>
      <c r="D57" s="1486">
        <f t="shared" si="108"/>
        <v>141</v>
      </c>
      <c r="E57" s="1486">
        <v>195</v>
      </c>
      <c r="F57" s="1487">
        <v>122</v>
      </c>
      <c r="G57" s="3283">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1188</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84">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1189</v>
      </c>
      <c r="B59" s="1473">
        <f t="shared" si="134"/>
        <v>146.57412060301507</v>
      </c>
      <c r="C59" s="1473">
        <f t="shared" si="134"/>
        <v>136.46831955922866</v>
      </c>
      <c r="D59" s="1473">
        <f t="shared" si="108"/>
        <v>136.46831955922866</v>
      </c>
      <c r="E59" s="1473">
        <f t="shared" si="135"/>
        <v>166.73864894795128</v>
      </c>
      <c r="F59" s="1473">
        <f t="shared" si="135"/>
        <v>115.05882352941177</v>
      </c>
      <c r="G59" s="3284">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1190</v>
      </c>
      <c r="B60" s="1473">
        <f t="shared" si="134"/>
        <v>144.04145728643215</v>
      </c>
      <c r="C60" s="1473">
        <f t="shared" si="134"/>
        <v>136.12396694214877</v>
      </c>
      <c r="D60" s="1473">
        <f t="shared" si="108"/>
        <v>136.12396694214877</v>
      </c>
      <c r="E60" s="1473">
        <f t="shared" si="135"/>
        <v>158.32225913621264</v>
      </c>
      <c r="F60" s="1473">
        <f t="shared" si="135"/>
        <v>114.04278074866311</v>
      </c>
      <c r="G60" s="3285">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1191</v>
      </c>
      <c r="B61" s="1486">
        <v>138</v>
      </c>
      <c r="C61" s="1486">
        <v>131</v>
      </c>
      <c r="D61" s="1486">
        <f t="shared" si="108"/>
        <v>131</v>
      </c>
      <c r="E61" s="1486">
        <v>155</v>
      </c>
      <c r="F61" s="1487">
        <v>114</v>
      </c>
      <c r="G61" s="3283">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1192</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84">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1193</v>
      </c>
      <c r="B63" s="1473">
        <f t="shared" si="138"/>
        <v>124.29032258064517</v>
      </c>
      <c r="C63" s="1473">
        <f t="shared" si="138"/>
        <v>123.8968609865471</v>
      </c>
      <c r="D63" s="1473">
        <f t="shared" si="108"/>
        <v>123.8968609865471</v>
      </c>
      <c r="E63" s="1473">
        <f t="shared" si="139"/>
        <v>138.00507614213197</v>
      </c>
      <c r="F63" s="1473">
        <f t="shared" si="139"/>
        <v>107.96106557377048</v>
      </c>
      <c r="G63" s="3284">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1194</v>
      </c>
      <c r="B64" s="1473">
        <f t="shared" si="138"/>
        <v>122.57204301075269</v>
      </c>
      <c r="C64" s="1473">
        <f t="shared" si="138"/>
        <v>123.4932735426009</v>
      </c>
      <c r="D64" s="1473">
        <f t="shared" si="108"/>
        <v>123.4932735426009</v>
      </c>
      <c r="E64" s="1473">
        <f t="shared" si="139"/>
        <v>129.82233502538071</v>
      </c>
      <c r="F64" s="1473">
        <f t="shared" si="139"/>
        <v>107.39446721311475</v>
      </c>
      <c r="G64" s="3285">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1195</v>
      </c>
      <c r="B65" s="1507">
        <v>121</v>
      </c>
      <c r="C65" s="1507">
        <v>122</v>
      </c>
      <c r="D65" s="1507">
        <f t="shared" si="108"/>
        <v>122</v>
      </c>
      <c r="E65" s="1507">
        <v>124</v>
      </c>
      <c r="F65" s="1508">
        <v>107</v>
      </c>
      <c r="G65" s="3283">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1196</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84">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1197</v>
      </c>
      <c r="B67" s="1473">
        <f t="shared" si="142"/>
        <v>116.99099099099099</v>
      </c>
      <c r="C67" s="1473">
        <f t="shared" si="142"/>
        <v>118.84848484848486</v>
      </c>
      <c r="D67" s="1473">
        <f t="shared" si="108"/>
        <v>118.84848484848486</v>
      </c>
      <c r="E67" s="1473">
        <f t="shared" si="143"/>
        <v>117.60960960960961</v>
      </c>
      <c r="F67" s="1473">
        <f t="shared" si="143"/>
        <v>104</v>
      </c>
      <c r="G67" s="3284">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1198</v>
      </c>
      <c r="B68" s="1510">
        <f t="shared" si="142"/>
        <v>112.48648648648648</v>
      </c>
      <c r="C68" s="1510">
        <f t="shared" si="142"/>
        <v>115.21212121212122</v>
      </c>
      <c r="D68" s="1510">
        <f t="shared" si="108"/>
        <v>115.21212121212122</v>
      </c>
      <c r="E68" s="1510">
        <f t="shared" si="143"/>
        <v>110.4024024024024</v>
      </c>
      <c r="F68" s="1510">
        <f t="shared" si="143"/>
        <v>104</v>
      </c>
      <c r="G68" s="3285">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1199</v>
      </c>
      <c r="B69" s="1528">
        <v>111</v>
      </c>
      <c r="C69" s="1528">
        <v>114</v>
      </c>
      <c r="D69" s="1528">
        <f t="shared" si="108"/>
        <v>114</v>
      </c>
      <c r="E69" s="1528">
        <v>108</v>
      </c>
      <c r="F69" s="1529">
        <v>104</v>
      </c>
      <c r="G69" s="3283">
        <v>2003</v>
      </c>
      <c r="H69" s="1518">
        <v>4</v>
      </c>
      <c r="I69" s="1530"/>
      <c r="J69" s="1530"/>
      <c r="K69" s="1530"/>
      <c r="L69" s="1530"/>
      <c r="N69" s="1531"/>
      <c r="O69" s="1530"/>
      <c r="P69" s="1530"/>
      <c r="Q69" s="1530"/>
      <c r="S69" s="1531"/>
      <c r="T69" s="1530"/>
      <c r="U69" s="1530"/>
      <c r="V69" s="1530"/>
      <c r="X69" s="1522"/>
      <c r="Y69" s="1522"/>
      <c r="Z69" s="1522"/>
    </row>
    <row r="70" spans="1:26">
      <c r="A70" s="1457" t="s">
        <v>1200</v>
      </c>
      <c r="B70" s="1532">
        <f t="shared" ref="B70:C72" si="144">B71+(B$69-B$73)/4</f>
        <v>109.75</v>
      </c>
      <c r="C70" s="1532">
        <f t="shared" si="144"/>
        <v>112.25</v>
      </c>
      <c r="D70" s="1532">
        <f t="shared" si="108"/>
        <v>112.25</v>
      </c>
      <c r="E70" s="1532">
        <f t="shared" ref="E70:F72" si="145">E71+(E$69-E$73)/4</f>
        <v>107.25</v>
      </c>
      <c r="F70" s="1532">
        <f t="shared" si="145"/>
        <v>103.5</v>
      </c>
      <c r="G70" s="3284">
        <v>2003</v>
      </c>
      <c r="H70" s="1483">
        <v>3</v>
      </c>
      <c r="I70" s="1530"/>
      <c r="J70" s="1530"/>
      <c r="K70" s="1530"/>
      <c r="L70" s="1530"/>
      <c r="X70" s="1522"/>
      <c r="Y70" s="1522"/>
      <c r="Z70" s="1522"/>
    </row>
    <row r="71" spans="1:26">
      <c r="A71" s="1457" t="s">
        <v>1201</v>
      </c>
      <c r="B71" s="1532">
        <f t="shared" si="144"/>
        <v>108.5</v>
      </c>
      <c r="C71" s="1532">
        <f t="shared" si="144"/>
        <v>110.5</v>
      </c>
      <c r="D71" s="1532">
        <f t="shared" si="108"/>
        <v>110.5</v>
      </c>
      <c r="E71" s="1532">
        <f t="shared" si="145"/>
        <v>106.5</v>
      </c>
      <c r="F71" s="1532">
        <f t="shared" si="145"/>
        <v>103</v>
      </c>
      <c r="G71" s="3284">
        <v>2003</v>
      </c>
      <c r="H71" s="1461">
        <v>2</v>
      </c>
      <c r="I71" s="1530"/>
      <c r="J71" s="1530"/>
      <c r="K71" s="1530"/>
      <c r="L71" s="1530"/>
      <c r="X71" s="1522"/>
      <c r="Y71" s="1522"/>
      <c r="Z71" s="1522"/>
    </row>
    <row r="72" spans="1:26" ht="13.5" thickBot="1">
      <c r="A72" s="1457" t="s">
        <v>1202</v>
      </c>
      <c r="B72" s="1532">
        <f t="shared" si="144"/>
        <v>107.25</v>
      </c>
      <c r="C72" s="1532">
        <f t="shared" si="144"/>
        <v>108.75</v>
      </c>
      <c r="D72" s="1532">
        <f t="shared" si="108"/>
        <v>108.75</v>
      </c>
      <c r="E72" s="1532">
        <f t="shared" si="145"/>
        <v>105.75</v>
      </c>
      <c r="F72" s="1532">
        <f t="shared" si="145"/>
        <v>102.5</v>
      </c>
      <c r="G72" s="3285">
        <v>2003</v>
      </c>
      <c r="H72" s="1533">
        <v>1</v>
      </c>
      <c r="I72" s="1530"/>
      <c r="J72" s="1530"/>
      <c r="K72" s="1530"/>
      <c r="L72" s="1530"/>
      <c r="S72" s="1468"/>
      <c r="T72" s="1469"/>
      <c r="U72" s="1469"/>
      <c r="X72" s="1522"/>
      <c r="Y72" s="1522"/>
      <c r="Z72" s="1522"/>
    </row>
    <row r="73" spans="1:26" ht="13.5" thickBot="1">
      <c r="A73" s="1457" t="s">
        <v>1203</v>
      </c>
      <c r="B73" s="1534">
        <v>106</v>
      </c>
      <c r="C73" s="1534">
        <v>107</v>
      </c>
      <c r="D73" s="1534">
        <f t="shared" si="108"/>
        <v>107</v>
      </c>
      <c r="E73" s="1534">
        <v>105</v>
      </c>
      <c r="F73" s="1535">
        <v>102</v>
      </c>
      <c r="G73" s="3283">
        <v>2002</v>
      </c>
      <c r="H73" s="1478">
        <v>4</v>
      </c>
      <c r="I73" s="1530"/>
      <c r="J73" s="1530"/>
      <c r="K73" s="1530"/>
      <c r="L73" s="1530"/>
      <c r="N73" s="1531"/>
      <c r="O73" s="1530"/>
      <c r="P73" s="1530"/>
      <c r="Q73" s="1530"/>
      <c r="S73" s="1531"/>
      <c r="T73" s="1530"/>
      <c r="U73" s="1530"/>
      <c r="V73" s="1530"/>
      <c r="X73" s="1522"/>
      <c r="Y73" s="1522"/>
      <c r="Z73" s="1522"/>
    </row>
    <row r="74" spans="1:26">
      <c r="A74" s="1457" t="s">
        <v>1204</v>
      </c>
      <c r="B74" s="1532">
        <f t="shared" ref="B74:C76" si="146">B75+(B$73-B$77)/4</f>
        <v>105</v>
      </c>
      <c r="C74" s="1532">
        <f t="shared" si="146"/>
        <v>106</v>
      </c>
      <c r="D74" s="1532">
        <f t="shared" si="108"/>
        <v>106</v>
      </c>
      <c r="E74" s="1532">
        <f t="shared" ref="E74:F76" si="147">E75+(E$73-E$77)/4</f>
        <v>104.5</v>
      </c>
      <c r="F74" s="1532">
        <f t="shared" si="147"/>
        <v>101.5</v>
      </c>
      <c r="G74" s="3284">
        <v>2002</v>
      </c>
      <c r="H74" s="1483">
        <v>3</v>
      </c>
      <c r="I74" s="1530"/>
      <c r="J74" s="1530"/>
      <c r="K74" s="1530"/>
      <c r="L74" s="1530"/>
      <c r="X74" s="1522"/>
      <c r="Y74" s="1522"/>
      <c r="Z74" s="1522"/>
    </row>
    <row r="75" spans="1:26">
      <c r="A75" s="1457" t="s">
        <v>1205</v>
      </c>
      <c r="B75" s="1532">
        <f t="shared" si="146"/>
        <v>104</v>
      </c>
      <c r="C75" s="1532">
        <f t="shared" si="146"/>
        <v>105</v>
      </c>
      <c r="D75" s="1532">
        <f t="shared" si="108"/>
        <v>105</v>
      </c>
      <c r="E75" s="1532">
        <f t="shared" si="147"/>
        <v>104</v>
      </c>
      <c r="F75" s="1532">
        <f t="shared" si="147"/>
        <v>101</v>
      </c>
      <c r="G75" s="3284">
        <v>2002</v>
      </c>
      <c r="H75" s="1461">
        <v>2</v>
      </c>
      <c r="I75" s="1530"/>
      <c r="J75" s="1530"/>
      <c r="K75" s="1530"/>
      <c r="L75" s="1530"/>
      <c r="X75" s="1522"/>
      <c r="Y75" s="1522"/>
      <c r="Z75" s="1522"/>
    </row>
    <row r="76" spans="1:26" s="1494" customFormat="1" ht="13.5" thickBot="1">
      <c r="A76" s="1490" t="s">
        <v>1206</v>
      </c>
      <c r="B76" s="1536">
        <f t="shared" si="146"/>
        <v>103</v>
      </c>
      <c r="C76" s="1536">
        <f t="shared" si="146"/>
        <v>104</v>
      </c>
      <c r="D76" s="1536">
        <f t="shared" si="108"/>
        <v>104</v>
      </c>
      <c r="E76" s="1536">
        <f t="shared" si="147"/>
        <v>103.5</v>
      </c>
      <c r="F76" s="1536">
        <f t="shared" si="147"/>
        <v>100.5</v>
      </c>
      <c r="G76" s="3285">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1207</v>
      </c>
      <c r="G79" s="1546"/>
      <c r="N79" s="1546"/>
      <c r="S79" s="1546"/>
    </row>
    <row r="80" spans="1:26" s="1545" customFormat="1">
      <c r="A80" s="1545" t="s">
        <v>1208</v>
      </c>
      <c r="G80" s="1546"/>
      <c r="N80" s="1546"/>
      <c r="S80" s="1546"/>
    </row>
    <row r="81" spans="1:22" s="1545" customFormat="1">
      <c r="A81" s="1545" t="s">
        <v>1209</v>
      </c>
      <c r="G81" s="1546"/>
      <c r="I81" s="1547"/>
      <c r="J81" s="1547"/>
      <c r="K81" s="1547"/>
      <c r="L81" s="1547"/>
      <c r="N81" s="1548"/>
      <c r="O81" s="1547"/>
      <c r="P81" s="1547"/>
      <c r="Q81" s="1547"/>
      <c r="S81" s="1548"/>
      <c r="T81" s="1547"/>
      <c r="U81" s="1547"/>
      <c r="V81" s="1547"/>
    </row>
    <row r="82" spans="1:22" s="1545" customFormat="1">
      <c r="A82" s="1545" t="s">
        <v>1210</v>
      </c>
      <c r="G82" s="1546"/>
      <c r="N82" s="1546"/>
      <c r="S82" s="1546"/>
    </row>
    <row r="89" spans="1:22" ht="13.5" thickBot="1"/>
    <row r="90" spans="1:22">
      <c r="G90" s="1467"/>
      <c r="S90" s="1549" t="s">
        <v>1211</v>
      </c>
      <c r="T90" s="1550" t="s">
        <v>1212</v>
      </c>
      <c r="U90" s="1550" t="s">
        <v>1213</v>
      </c>
      <c r="V90" s="1550" t="s">
        <v>1214</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6" sqref="W6"/>
      <selection pane="bottomLeft" activeCell="W6" sqref="W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93" t="s">
        <v>3004</v>
      </c>
      <c r="D1" s="3294"/>
      <c r="E1" s="3294"/>
      <c r="F1" s="3294"/>
      <c r="G1" s="3294"/>
      <c r="H1" s="3294"/>
      <c r="I1" s="3294"/>
      <c r="J1" s="3294"/>
      <c r="K1" s="3294"/>
      <c r="L1" s="3294"/>
      <c r="M1" s="3294"/>
      <c r="N1" s="3294"/>
      <c r="O1" s="3294"/>
      <c r="P1" s="3294"/>
      <c r="Q1" s="3294"/>
      <c r="R1" s="3294"/>
      <c r="S1" s="3295"/>
      <c r="T1" s="1200" t="s">
        <v>3005</v>
      </c>
    </row>
    <row r="2" spans="1:45" s="707" customFormat="1">
      <c r="A2" s="1201"/>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3007</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3008</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3009</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3010</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3011</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3012</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3013</v>
      </c>
      <c r="B17" s="2907" t="s">
        <v>3014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8" t="s">
        <v>3015</v>
      </c>
      <c r="E19" s="1788"/>
      <c r="F19" s="1788"/>
      <c r="G19" s="1788"/>
      <c r="H19" s="1276"/>
      <c r="I19" s="168"/>
      <c r="J19" s="168"/>
      <c r="K19" s="168"/>
      <c r="L19" s="168"/>
      <c r="M19" s="168"/>
      <c r="N19" s="168"/>
      <c r="O19" s="168"/>
      <c r="P19" s="168"/>
      <c r="Q19" s="168"/>
      <c r="R19" s="788"/>
      <c r="S19" s="138"/>
    </row>
    <row r="20" spans="1:45" ht="16.5" thickBot="1">
      <c r="A20" s="715" t="s">
        <v>3016</v>
      </c>
      <c r="B20" s="338" t="e">
        <f ca="1">IF(D20="——",S22,S22-F20)</f>
        <v>#REF!</v>
      </c>
      <c r="C20" s="168"/>
      <c r="D20" s="2909" t="s">
        <v>3017</v>
      </c>
      <c r="E20" s="1789"/>
      <c r="F20" s="1200" t="e">
        <f ca="1">SUMIF(INDIRECT("'"&amp;H20&amp;"'"&amp;"!A:A"),"承租人权益价值",INDIRECT("'"&amp;H20&amp;"'"&amp;"!c:c"))</f>
        <v>#REF!</v>
      </c>
      <c r="G20" s="1200" t="s">
        <v>3018</v>
      </c>
      <c r="H20" s="2910"/>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72" t="s">
        <v>33</v>
      </c>
      <c r="D22" s="3073"/>
      <c r="E22" s="3073"/>
      <c r="F22" s="3073"/>
      <c r="G22" s="3073"/>
      <c r="H22" s="3073"/>
      <c r="I22" s="3073"/>
      <c r="J22" s="3073"/>
      <c r="K22" s="3073"/>
      <c r="L22" s="3073"/>
      <c r="M22" s="3073"/>
      <c r="N22" s="3073"/>
      <c r="O22" s="3073"/>
      <c r="P22" s="3073"/>
      <c r="Q22" s="3292"/>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39769</v>
      </c>
      <c r="C2" s="2" t="s">
        <v>133</v>
      </c>
      <c r="D2" s="243"/>
      <c r="E2" s="243"/>
      <c r="F2" s="243"/>
      <c r="G2" s="243"/>
    </row>
    <row r="3" spans="1:7" s="244" customFormat="1" ht="18" customHeight="1" thickBot="1">
      <c r="A3" s="247" t="s">
        <v>85</v>
      </c>
      <c r="B3" s="248">
        <f ca="1">ROUND(B2*10000/'数据-汇总表'!E3,0)</f>
        <v>14358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554</v>
      </c>
      <c r="D10" s="1028">
        <f>'数据-汇总表'!E6</f>
        <v>27698</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332</v>
      </c>
      <c r="D19" s="1032">
        <f>'数据-汇总表'!E3</f>
        <v>27698</v>
      </c>
      <c r="E19" s="255">
        <f>'数据-取费表'!B31</f>
        <v>120</v>
      </c>
      <c r="F19" s="275"/>
      <c r="G19" s="1" t="s">
        <v>1071</v>
      </c>
    </row>
    <row r="20" spans="1:7" s="258" customFormat="1" ht="13.5" customHeight="1">
      <c r="A20" s="944" t="s">
        <v>1054</v>
      </c>
      <c r="B20" s="254" t="s">
        <v>104</v>
      </c>
      <c r="C20" s="276">
        <f>ROUND((C5+C19)*F20,0)</f>
        <v>419</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1316</v>
      </c>
      <c r="D22" s="279">
        <f ca="1">C26</f>
        <v>5.9999999999999995E-4</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1282</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21</v>
      </c>
      <c r="D24" s="282"/>
      <c r="E24" s="282"/>
      <c r="F24" s="283"/>
      <c r="G24" s="284" t="s">
        <v>109</v>
      </c>
    </row>
    <row r="25" spans="1:7" s="258" customFormat="1" ht="24">
      <c r="A25" s="947" t="s">
        <v>793</v>
      </c>
      <c r="B25" s="259" t="s">
        <v>1055</v>
      </c>
      <c r="C25" s="1351">
        <f ca="1">ROUND(IF('数据-取费表'!B22&lt;=1,C20*F22*'数据-取费表'!B23/2,C20*(POWER((1+F22),'数据-取费表'!B23/2)-1)),0)</f>
        <v>13</v>
      </c>
      <c r="D25" s="282"/>
      <c r="E25" s="285"/>
      <c r="F25" s="283"/>
      <c r="G25" s="286" t="s">
        <v>110</v>
      </c>
    </row>
    <row r="26" spans="1:7" s="258" customFormat="1">
      <c r="A26" s="947" t="s">
        <v>795</v>
      </c>
      <c r="B26" s="259" t="s">
        <v>1057</v>
      </c>
      <c r="C26" s="282">
        <f ca="1">ROUND(IF('数据-取费表'!B22&lt;=1,F21*F22*'数据-取费表'!B23/2,F21*(POWER((1+F22),'数据-取费表'!B23/2)-1)),4)</f>
        <v>5.9999999999999995E-4</v>
      </c>
      <c r="D26" s="282"/>
      <c r="E26" s="285"/>
      <c r="F26" s="283"/>
      <c r="G26" s="287"/>
    </row>
    <row r="27" spans="1:7" s="258" customFormat="1" ht="24.75">
      <c r="A27" s="944" t="s">
        <v>787</v>
      </c>
      <c r="B27" s="288" t="s">
        <v>112</v>
      </c>
      <c r="C27" s="289">
        <f>C28</f>
        <v>1805</v>
      </c>
      <c r="D27" s="279">
        <f>C29</f>
        <v>1.6999999999999999E-3</v>
      </c>
      <c r="E27" s="280" t="s">
        <v>126</v>
      </c>
      <c r="F27" s="290">
        <f>'数据-取费表'!Q16</f>
        <v>0.13</v>
      </c>
      <c r="G27" s="291" t="s">
        <v>1066</v>
      </c>
    </row>
    <row r="28" spans="1:7" s="258" customFormat="1" ht="13.5" customHeight="1">
      <c r="A28" s="947" t="s">
        <v>794</v>
      </c>
      <c r="B28" s="292" t="s">
        <v>1059</v>
      </c>
      <c r="C28" s="293">
        <f>ROUND((C5+C19+C20)*F27*'数据-取费表'!B21/'数据-取费表'!B20,0)</f>
        <v>1805</v>
      </c>
      <c r="D28" s="279"/>
      <c r="E28" s="280"/>
      <c r="F28" s="290"/>
      <c r="G28" s="291"/>
    </row>
    <row r="29" spans="1:7" s="258" customFormat="1" ht="13.5" customHeight="1">
      <c r="A29" s="947" t="s">
        <v>792</v>
      </c>
      <c r="B29" s="292" t="s">
        <v>1060</v>
      </c>
      <c r="C29" s="282">
        <f>ROUND(C21*F27*'数据-取费表'!B21/'数据-取费表'!B20,4)</f>
        <v>1.6999999999999999E-3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10363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9392</v>
      </c>
      <c r="D34" s="261"/>
      <c r="E34" s="264"/>
      <c r="F34" s="301">
        <f>IF('数据-取费表'!B24=0,1,'数据-取费表'!N16)</f>
        <v>0.65</v>
      </c>
      <c r="G34" s="263" t="s">
        <v>116</v>
      </c>
    </row>
    <row r="35" spans="1:7" ht="13.5" customHeight="1">
      <c r="A35" s="947" t="s">
        <v>796</v>
      </c>
      <c r="B35" s="259" t="s">
        <v>60</v>
      </c>
      <c r="C35" s="264">
        <f>ROUND(C34*F35,0)</f>
        <v>470</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360</v>
      </c>
      <c r="D37" s="261">
        <f>'数据-汇总表'!E3</f>
        <v>27698</v>
      </c>
      <c r="E37" s="293">
        <f>'数据-取费表'!B35</f>
        <v>200</v>
      </c>
      <c r="F37" s="303"/>
      <c r="G37" s="305" t="s">
        <v>119</v>
      </c>
    </row>
    <row r="38" spans="1:7" ht="13.5" customHeight="1">
      <c r="A38" s="947" t="s">
        <v>799</v>
      </c>
      <c r="B38" s="259" t="s">
        <v>63</v>
      </c>
      <c r="C38" s="264">
        <f>ROUND(C34*F38,0)</f>
        <v>141</v>
      </c>
      <c r="D38" s="264"/>
      <c r="E38" s="264"/>
      <c r="F38" s="303">
        <f>'数据-取费表'!B36</f>
        <v>1.4999999999999999E-2</v>
      </c>
      <c r="G38" s="263" t="s">
        <v>117</v>
      </c>
    </row>
    <row r="39" spans="1:7" s="258" customFormat="1" ht="13.5" customHeight="1">
      <c r="A39" s="944" t="s">
        <v>783</v>
      </c>
      <c r="B39" s="254" t="s">
        <v>104</v>
      </c>
      <c r="C39" s="276">
        <f>ROUND(C33*F20,0)</f>
        <v>207</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323</v>
      </c>
      <c r="D41" s="279">
        <f ca="1">C44</f>
        <v>5.9999999999999995E-4</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317</v>
      </c>
      <c r="D42" s="282"/>
      <c r="E42" s="282"/>
      <c r="F42" s="283"/>
      <c r="G42" s="3157" t="s">
        <v>121</v>
      </c>
    </row>
    <row r="43" spans="1:7" ht="13.5" customHeight="1">
      <c r="A43" s="947" t="s">
        <v>792</v>
      </c>
      <c r="B43" s="259" t="s">
        <v>1061</v>
      </c>
      <c r="C43" s="282">
        <f ca="1">ROUND(IF('数据-取费表'!B22&lt;=1,C39*F22*'数据-取费表'!B21/2,C39*(POWER((1+F22),'数据-取费表'!B21/2)-1)),0)</f>
        <v>6</v>
      </c>
      <c r="D43" s="282"/>
      <c r="E43" s="282"/>
      <c r="F43" s="283"/>
      <c r="G43" s="3158"/>
    </row>
    <row r="44" spans="1:7" ht="13.5" customHeight="1">
      <c r="A44" s="947" t="s">
        <v>793</v>
      </c>
      <c r="B44" s="259" t="s">
        <v>1063</v>
      </c>
      <c r="C44" s="282">
        <f ca="1">ROUND(IF('数据-取费表'!B22&lt;=1,C40*F22*'数据-取费表'!B21/2,C40*(POWER((1+F22),'数据-取费表'!B21/2)-1)),4)</f>
        <v>5.9999999999999995E-4</v>
      </c>
      <c r="D44" s="282"/>
      <c r="E44" s="282"/>
      <c r="F44" s="283"/>
      <c r="G44" s="3159"/>
    </row>
    <row r="45" spans="1:7" s="258" customFormat="1" ht="13.5" customHeight="1">
      <c r="A45" s="944" t="s">
        <v>786</v>
      </c>
      <c r="B45" s="288" t="s">
        <v>112</v>
      </c>
      <c r="C45" s="289">
        <f>C46</f>
        <v>1374</v>
      </c>
      <c r="D45" s="279">
        <f>C47</f>
        <v>2.5999999999999999E-3</v>
      </c>
      <c r="E45" s="280" t="s">
        <v>129</v>
      </c>
      <c r="F45" s="290"/>
      <c r="G45" s="291" t="s">
        <v>1069</v>
      </c>
    </row>
    <row r="46" spans="1:7" s="258" customFormat="1" ht="13.5" customHeight="1">
      <c r="A46" s="947" t="s">
        <v>794</v>
      </c>
      <c r="B46" s="292" t="s">
        <v>1062</v>
      </c>
      <c r="C46" s="293">
        <f>ROUND((C33+C39)*F27,0)</f>
        <v>1374</v>
      </c>
      <c r="D46" s="307"/>
      <c r="E46" s="280"/>
      <c r="F46" s="290"/>
      <c r="G46" s="291"/>
    </row>
    <row r="47" spans="1:7" s="258" customFormat="1" ht="13.5" customHeight="1">
      <c r="A47" s="947" t="s">
        <v>792</v>
      </c>
      <c r="B47" s="292" t="s">
        <v>1064</v>
      </c>
      <c r="C47" s="282">
        <f>ROUND(C40*F27,4)</f>
        <v>2.5999999999999999E-3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13284</v>
      </c>
      <c r="D49" s="276"/>
      <c r="E49" s="276"/>
      <c r="F49" s="308"/>
      <c r="G49" s="278" t="s">
        <v>1070</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13284</v>
      </c>
      <c r="D51" s="276"/>
      <c r="E51" s="276"/>
      <c r="F51" s="308"/>
      <c r="G51" s="278" t="s">
        <v>64</v>
      </c>
    </row>
    <row r="52" spans="1:7" s="252" customFormat="1" ht="16.5" thickBot="1">
      <c r="A52" s="309" t="s">
        <v>65</v>
      </c>
      <c r="B52" s="310"/>
      <c r="C52" s="311">
        <f ca="1">C31+C51</f>
        <v>39769</v>
      </c>
      <c r="D52" s="310"/>
      <c r="E52" s="310"/>
      <c r="F52" s="310"/>
      <c r="G52" s="312"/>
    </row>
    <row r="55" spans="1:7" ht="15">
      <c r="B55" s="314" t="s">
        <v>66</v>
      </c>
      <c r="C55" s="315"/>
    </row>
    <row r="56" spans="1:7">
      <c r="B56" s="317" t="s">
        <v>67</v>
      </c>
      <c r="C56" s="318">
        <f ca="1">ROUND(C51/C52,3)</f>
        <v>0.33400000000000002</v>
      </c>
    </row>
    <row r="57" spans="1:7">
      <c r="B57" s="317" t="s">
        <v>68</v>
      </c>
      <c r="C57" s="319">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96" t="s">
        <v>156</v>
      </c>
      <c r="B1" s="3296"/>
      <c r="C1" s="3296"/>
      <c r="D1" s="3296"/>
      <c r="E1" s="3296"/>
      <c r="F1" s="329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7" t="s">
        <v>169</v>
      </c>
      <c r="B2" s="3297"/>
      <c r="C2" s="3297"/>
      <c r="D2" s="3297"/>
      <c r="E2" s="3297"/>
      <c r="F2" s="329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6" t="s">
        <v>868</v>
      </c>
      <c r="B1" s="3296"/>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43754</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0" t="s">
        <v>1633</v>
      </c>
      <c r="E3" s="1040" t="s">
        <v>1639</v>
      </c>
      <c r="F3" s="1040" t="s">
        <v>1633</v>
      </c>
      <c r="G3" s="1040" t="s">
        <v>1634</v>
      </c>
      <c r="H3" s="1040" t="s">
        <v>1633</v>
      </c>
      <c r="I3" s="1040" t="s">
        <v>1634</v>
      </c>
    </row>
    <row r="4" spans="1:9" ht="30">
      <c r="A4" s="1968" t="str">
        <f>项目基本情况!S2</f>
        <v>出让国有建设用地使用权及在建建筑物房地产</v>
      </c>
      <c r="B4" s="1040">
        <f>项目基本情况!C17</f>
        <v>27698</v>
      </c>
      <c r="C4" s="1040">
        <f>项目基本情况!C18</f>
        <v>3996.4</v>
      </c>
      <c r="D4" s="1040">
        <f ca="1">结果表!D118</f>
        <v>94127</v>
      </c>
      <c r="E4" s="1040">
        <f ca="1">结果表!E118</f>
        <v>33983</v>
      </c>
      <c r="F4" s="1040">
        <f ca="1">结果表!F118</f>
        <v>12111</v>
      </c>
      <c r="G4" s="1040">
        <f ca="1">结果表!G118</f>
        <v>4373</v>
      </c>
      <c r="H4" s="1040">
        <f ca="1">结果表!H118</f>
        <v>106238</v>
      </c>
      <c r="I4" s="1040">
        <f ca="1">结果表!I118</f>
        <v>38356</v>
      </c>
    </row>
    <row r="5" spans="1:9" ht="30" customHeight="1">
      <c r="A5" s="2984" t="s">
        <v>1635</v>
      </c>
      <c r="B5" s="2984"/>
      <c r="C5" s="2984"/>
      <c r="D5" s="2985" t="str">
        <f ca="1">结果表!D119</f>
        <v>玖亿肆仟壹佰贰拾柒万元整</v>
      </c>
      <c r="E5" s="2985"/>
      <c r="F5" s="2985" t="str">
        <f ca="1">结果表!F119</f>
        <v>壹亿贰仟壹佰壹拾壹万元整</v>
      </c>
      <c r="G5" s="2985"/>
      <c r="H5" s="2985" t="str">
        <f ca="1">结果表!H119</f>
        <v>壹拾亿陆仟贰佰叁拾捌万元整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1635</v>
      </c>
      <c r="B7" s="2984"/>
      <c r="C7" s="2984"/>
      <c r="D7" s="2987" t="str">
        <f>结果表!D121</f>
        <v>零元整</v>
      </c>
      <c r="E7" s="2988"/>
      <c r="F7" s="2988"/>
      <c r="G7" s="2988"/>
      <c r="H7" s="2988"/>
      <c r="I7" s="2989"/>
    </row>
    <row r="8" spans="1:9" ht="15.75">
      <c r="A8" s="2986" t="str">
        <f>结果表!A122</f>
        <v>房地产抵押价值</v>
      </c>
      <c r="B8" s="2986"/>
      <c r="C8" s="2986"/>
      <c r="D8" s="2986">
        <f ca="1">结果表!D122</f>
        <v>106238</v>
      </c>
      <c r="E8" s="2986"/>
      <c r="F8" s="2986"/>
      <c r="G8" s="2986"/>
      <c r="H8" s="2986"/>
      <c r="I8" s="2986"/>
    </row>
    <row r="9" spans="1:9" ht="15">
      <c r="A9" s="2984" t="s">
        <v>1635</v>
      </c>
      <c r="B9" s="2984"/>
      <c r="C9" s="2984"/>
      <c r="D9" s="2985" t="str">
        <f ca="1">结果表!D123</f>
        <v>壹拾亿陆仟贰佰叁拾捌万元整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1635</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1635</v>
      </c>
      <c r="B13" s="2990"/>
      <c r="C13" s="2990"/>
      <c r="D13" s="2991" t="e">
        <f>结果表!D127</f>
        <v>#VALUE!</v>
      </c>
      <c r="E13" s="2991"/>
      <c r="F13" s="2991"/>
      <c r="G13" s="2991"/>
      <c r="H13" s="2991"/>
      <c r="I13" s="2991"/>
    </row>
    <row r="14" spans="1:9" ht="15" thickTop="1">
      <c r="A14" s="2992" t="s">
        <v>1640</v>
      </c>
      <c r="B14" s="2992"/>
      <c r="C14" s="2992"/>
      <c r="D14" s="2992"/>
      <c r="E14" s="2992"/>
      <c r="F14" s="2992"/>
      <c r="G14" s="2992"/>
      <c r="H14" s="2992"/>
      <c r="I14" s="2992"/>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3" t="s">
        <v>1657</v>
      </c>
      <c r="B1" s="2993"/>
      <c r="C1" s="2993"/>
      <c r="D1" s="2993"/>
    </row>
    <row r="2" spans="1:4" ht="18">
      <c r="A2" s="2994" t="s">
        <v>1641</v>
      </c>
      <c r="B2" s="2994"/>
      <c r="C2" s="2994"/>
      <c r="D2" s="2994"/>
    </row>
    <row r="3" spans="1:4" ht="18.75">
      <c r="A3" s="1972" t="s">
        <v>1642</v>
      </c>
      <c r="B3" s="1972" t="s">
        <v>1643</v>
      </c>
      <c r="C3" s="1972" t="s">
        <v>1644</v>
      </c>
      <c r="D3" s="1972" t="s">
        <v>1645</v>
      </c>
    </row>
    <row r="4" spans="1:4" ht="56.25" customHeight="1">
      <c r="A4" s="1973">
        <f>项目基本情况!B4</f>
        <v>0</v>
      </c>
      <c r="B4" s="1974">
        <f>项目基本情况!C4</f>
        <v>0</v>
      </c>
      <c r="C4" s="1975"/>
      <c r="D4" s="1976" t="s">
        <v>1646</v>
      </c>
    </row>
    <row r="5" spans="1:4" ht="56.25" customHeight="1">
      <c r="A5" s="1973">
        <f>项目基本情况!D4</f>
        <v>0</v>
      </c>
      <c r="B5" s="1974">
        <f>项目基本情况!E4</f>
        <v>0</v>
      </c>
      <c r="C5" s="1977"/>
      <c r="D5" s="1976" t="s">
        <v>1646</v>
      </c>
    </row>
    <row r="6" spans="1:4" ht="18">
      <c r="A6" s="2994" t="s">
        <v>1647</v>
      </c>
      <c r="B6" s="2994"/>
      <c r="C6" s="2994"/>
      <c r="D6" s="2994"/>
    </row>
    <row r="7" spans="1:4" ht="18.75">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8.75">
      <c r="A10" s="1979" t="s">
        <v>1649</v>
      </c>
      <c r="B10" s="728"/>
      <c r="C10" s="728"/>
      <c r="D10" s="728"/>
    </row>
    <row r="11" spans="1:4" ht="30" customHeight="1">
      <c r="A11" s="2995" t="s">
        <v>1650</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1651</v>
      </c>
      <c r="B16" s="2999"/>
      <c r="C16" s="2999"/>
      <c r="D16" s="2999"/>
    </row>
    <row r="17" spans="1:4" ht="144" customHeight="1">
      <c r="A17" s="2999" t="s">
        <v>1652</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1653</v>
      </c>
      <c r="B22" s="3001"/>
      <c r="C22" s="3001"/>
      <c r="D22" s="3001"/>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07" t="s">
        <v>1664</v>
      </c>
      <c r="B15" s="3002" t="s">
        <v>136</v>
      </c>
      <c r="C15" s="3003"/>
    </row>
    <row r="16" spans="1:7" ht="13.5">
      <c r="A16" s="3008"/>
      <c r="B16" s="3002" t="s">
        <v>69</v>
      </c>
      <c r="C16" s="3003"/>
    </row>
    <row r="17" spans="1:3" ht="13.5">
      <c r="A17" s="3008"/>
      <c r="B17" s="3005" t="s">
        <v>1665</v>
      </c>
      <c r="C17" s="1995" t="s">
        <v>1664</v>
      </c>
    </row>
    <row r="18" spans="1:3" ht="13.5">
      <c r="A18" s="3008"/>
      <c r="B18" s="3005"/>
      <c r="C18" s="1995" t="s">
        <v>1666</v>
      </c>
    </row>
    <row r="19" spans="1:3" ht="13.5">
      <c r="A19" s="3008"/>
      <c r="B19" s="3005"/>
      <c r="C19" s="1995" t="s">
        <v>1667</v>
      </c>
    </row>
    <row r="20" spans="1:3" ht="13.5">
      <c r="A20" s="3009"/>
      <c r="B20" s="3004" t="s">
        <v>1668</v>
      </c>
      <c r="C20" s="3003"/>
    </row>
    <row r="21" spans="1:3" ht="13.5">
      <c r="A21" s="1996" t="s">
        <v>1669</v>
      </c>
      <c r="B21" s="1997"/>
      <c r="C21" s="1998"/>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5" t="s">
        <v>1675</v>
      </c>
    </row>
    <row r="26" spans="1:3" ht="13.5">
      <c r="A26" s="3006"/>
      <c r="B26" s="3005"/>
      <c r="C26" s="1995" t="s">
        <v>1676</v>
      </c>
    </row>
    <row r="27" spans="1:3" ht="13.5">
      <c r="A27" s="3006"/>
      <c r="B27" s="3005"/>
      <c r="C27" s="1995" t="s">
        <v>1677</v>
      </c>
    </row>
    <row r="28" spans="1:3" ht="13.5">
      <c r="A28" s="3006"/>
      <c r="B28" s="3005"/>
      <c r="C28" s="1995" t="s">
        <v>1678</v>
      </c>
    </row>
    <row r="29" spans="1:3" ht="13.5">
      <c r="A29" s="3006"/>
      <c r="B29" s="3005"/>
      <c r="C29" s="1995" t="s">
        <v>1679</v>
      </c>
    </row>
    <row r="30" spans="1:3" ht="13.5">
      <c r="A30" s="3006"/>
      <c r="B30" s="3005"/>
      <c r="C30" s="1995" t="s">
        <v>1680</v>
      </c>
    </row>
    <row r="31" spans="1:3" ht="13.5">
      <c r="A31" s="3006"/>
      <c r="B31" s="3005"/>
      <c r="C31" s="1995" t="s">
        <v>1681</v>
      </c>
    </row>
    <row r="32" spans="1:3" ht="13.5">
      <c r="A32" s="3006"/>
      <c r="B32" s="3005"/>
      <c r="C32" s="1995" t="s">
        <v>1682</v>
      </c>
    </row>
    <row r="33" spans="1:3" ht="13.5">
      <c r="A33" s="3006"/>
      <c r="B33" s="3005"/>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43754</v>
      </c>
      <c r="C2" s="1015" t="s">
        <v>826</v>
      </c>
      <c r="D2" s="1015"/>
    </row>
    <row r="3" spans="1:6" ht="24" customHeight="1">
      <c r="A3" s="1016" t="s">
        <v>827</v>
      </c>
      <c r="B3" s="1017" t="s">
        <v>828</v>
      </c>
      <c r="C3" s="2342" t="s">
        <v>829</v>
      </c>
      <c r="D3" s="2345" t="s">
        <v>830</v>
      </c>
      <c r="E3" s="1018" t="s">
        <v>831</v>
      </c>
      <c r="F3" s="1017" t="s">
        <v>829</v>
      </c>
    </row>
    <row r="4" spans="1:6" ht="24" customHeight="1">
      <c r="A4" s="1698" t="s">
        <v>832</v>
      </c>
      <c r="B4" s="1018">
        <f ca="1">IF(C4&lt;B2,"已过期",1119970066)</f>
        <v>1119970066</v>
      </c>
      <c r="C4" s="2343">
        <v>43849</v>
      </c>
      <c r="D4" s="2346" t="s">
        <v>832</v>
      </c>
      <c r="E4" s="1018">
        <f ca="1">IF(F4&lt;B2,"已过期",96010014)</f>
        <v>96010014</v>
      </c>
      <c r="F4" s="1026">
        <v>47118</v>
      </c>
    </row>
    <row r="5" spans="1:6" ht="24" customHeight="1">
      <c r="A5" s="1698" t="s">
        <v>833</v>
      </c>
      <c r="B5" s="1018">
        <f ca="1">IF(C5&lt;B2,"已过期",1119970074)</f>
        <v>1119970074</v>
      </c>
      <c r="C5" s="2343">
        <v>43849</v>
      </c>
      <c r="D5" s="2346" t="s">
        <v>833</v>
      </c>
      <c r="E5" s="1018">
        <f ca="1">IF(F5&lt;B2,"已过期",2002110027)</f>
        <v>2002110027</v>
      </c>
      <c r="F5" s="1026">
        <v>46752</v>
      </c>
    </row>
    <row r="6" spans="1:6" ht="24" customHeight="1">
      <c r="A6" s="1698" t="s">
        <v>834</v>
      </c>
      <c r="B6" s="1018">
        <f ca="1">IF(C6&lt;B2,"已过期",1119970111)</f>
        <v>1119970111</v>
      </c>
      <c r="C6" s="2343">
        <v>43849</v>
      </c>
      <c r="D6" s="2346" t="s">
        <v>834</v>
      </c>
      <c r="E6" s="1018">
        <f ca="1">IF(F6&lt;B2,"已过期",94010078)</f>
        <v>94010078</v>
      </c>
      <c r="F6" s="1026">
        <v>46387</v>
      </c>
    </row>
    <row r="7" spans="1:6" ht="24" customHeight="1">
      <c r="A7" s="1698" t="s">
        <v>835</v>
      </c>
      <c r="B7" s="1018">
        <f ca="1">IF(C7&lt;B2,"已过期",1120050019)</f>
        <v>1120050019</v>
      </c>
      <c r="C7" s="2343">
        <v>44395</v>
      </c>
      <c r="D7" s="2346" t="s">
        <v>835</v>
      </c>
      <c r="E7" s="1018">
        <f ca="1">IF(F7&lt;B2,"已过期",2002110030)</f>
        <v>2002110030</v>
      </c>
      <c r="F7" s="1026">
        <v>46387</v>
      </c>
    </row>
    <row r="8" spans="1:6" ht="24" customHeight="1">
      <c r="A8" s="1698" t="s">
        <v>836</v>
      </c>
      <c r="B8" s="1018">
        <f ca="1">IF(C8&lt;B2,"已过期",1120000080)</f>
        <v>1120000080</v>
      </c>
      <c r="C8" s="2343">
        <v>43849</v>
      </c>
      <c r="D8" s="2346" t="s">
        <v>836</v>
      </c>
      <c r="E8" s="1018">
        <f ca="1">IF(F8&lt;B2,"已过期",2000110082)</f>
        <v>2000110082</v>
      </c>
      <c r="F8" s="1026">
        <v>46387</v>
      </c>
    </row>
    <row r="9" spans="1:6" ht="24" customHeight="1">
      <c r="A9" s="1698" t="s">
        <v>837</v>
      </c>
      <c r="B9" s="1018">
        <f ca="1">IF(C9&lt;B2,"已过期",1419970001)</f>
        <v>1419970001</v>
      </c>
      <c r="C9" s="2343">
        <v>43867</v>
      </c>
      <c r="D9" s="2346" t="s">
        <v>837</v>
      </c>
      <c r="E9" s="1018">
        <f ca="1">IF(F9&lt;B2,"已过期",2002110125)</f>
        <v>2002110125</v>
      </c>
      <c r="F9" s="1026">
        <v>47118</v>
      </c>
    </row>
    <row r="10" spans="1:6" ht="24" customHeight="1">
      <c r="A10" s="1698" t="s">
        <v>838</v>
      </c>
      <c r="B10" s="1018">
        <f ca="1">IF(C10&lt;B2,"已过期",1120060040)</f>
        <v>1120060040</v>
      </c>
      <c r="C10" s="2343">
        <v>44554</v>
      </c>
      <c r="D10" s="2346" t="s">
        <v>838</v>
      </c>
      <c r="E10" s="1018">
        <f ca="1">IF(F10&lt;B2,"已过期",2004110096)</f>
        <v>2004110096</v>
      </c>
      <c r="F10" s="1026">
        <v>47118</v>
      </c>
    </row>
    <row r="11" spans="1:6" ht="24" customHeight="1">
      <c r="A11" s="1698" t="s">
        <v>839</v>
      </c>
      <c r="B11" s="1018">
        <f ca="1">IF(C11&lt;B2,"已过期",1120100036)</f>
        <v>1120100036</v>
      </c>
      <c r="C11" s="2343">
        <v>44675</v>
      </c>
      <c r="D11" s="2346" t="s">
        <v>839</v>
      </c>
      <c r="E11" s="1018">
        <f ca="1">IF(F11&lt;B2,"已过期",2010110070)</f>
        <v>2010110070</v>
      </c>
      <c r="F11" s="1026">
        <v>47907</v>
      </c>
    </row>
    <row r="12" spans="1:6" ht="24" customHeight="1">
      <c r="A12" s="1698"/>
      <c r="B12" s="1018"/>
      <c r="C12" s="2926"/>
      <c r="D12" s="1698"/>
      <c r="E12" s="1018"/>
      <c r="F12" s="1026"/>
    </row>
    <row r="13" spans="1:6" ht="24" customHeight="1">
      <c r="A13" s="1698" t="s">
        <v>840</v>
      </c>
      <c r="B13" s="1018">
        <f ca="1">IF(C13&lt;B2,"已过期",1120070131)</f>
        <v>1120070131</v>
      </c>
      <c r="C13" s="2343">
        <v>43814</v>
      </c>
      <c r="D13" s="2346" t="s">
        <v>840</v>
      </c>
      <c r="E13" s="1018">
        <f ca="1">IF(F13&lt;B2,"已过期",2014110011)</f>
        <v>2014110011</v>
      </c>
      <c r="F13" s="1026">
        <v>49302</v>
      </c>
    </row>
    <row r="14" spans="1:6" ht="24" customHeight="1">
      <c r="A14" s="1698" t="s">
        <v>3044</v>
      </c>
      <c r="B14" s="1018">
        <f ca="1">IF(C14&lt;B2,"已过期",1120040230)</f>
        <v>1120040230</v>
      </c>
      <c r="C14" s="2343">
        <v>43835</v>
      </c>
      <c r="D14" s="2346" t="s">
        <v>3044</v>
      </c>
      <c r="E14" s="1018">
        <f ca="1">IF(F14&lt;B2,"已过期",98030020)</f>
        <v>98030020</v>
      </c>
      <c r="F14" s="1026">
        <v>47118</v>
      </c>
    </row>
    <row r="15" spans="1:6" ht="24" customHeight="1">
      <c r="A15" s="1699" t="s">
        <v>3045</v>
      </c>
      <c r="B15" s="1018">
        <f ca="1">IF(C15&lt;B2,"已过期",1120070085)</f>
        <v>1120070085</v>
      </c>
      <c r="C15" s="2343">
        <v>43814</v>
      </c>
      <c r="D15" s="2347" t="s">
        <v>3045</v>
      </c>
      <c r="E15" s="1018">
        <f ca="1">IF(F15&lt;B2,"已过期",2004110128)</f>
        <v>2004110128</v>
      </c>
      <c r="F15" s="1019">
        <v>47118</v>
      </c>
    </row>
    <row r="16" spans="1:6" ht="24" customHeight="1">
      <c r="A16" s="1698" t="s">
        <v>3046</v>
      </c>
      <c r="B16" s="1018">
        <f ca="1">IF(C16&lt;B2,"已过期",1120140022)</f>
        <v>1120140022</v>
      </c>
      <c r="C16" s="2926">
        <v>44029</v>
      </c>
      <c r="D16" s="2346" t="s">
        <v>3046</v>
      </c>
      <c r="E16" s="1018">
        <f ca="1">IF(F16&lt;B2,"已过期",2008110059)</f>
        <v>2008110059</v>
      </c>
      <c r="F16" s="1026">
        <v>47177</v>
      </c>
    </row>
    <row r="17" spans="1:7" ht="24" customHeight="1">
      <c r="A17" s="1698"/>
      <c r="B17" s="1018"/>
      <c r="C17" s="2343"/>
      <c r="D17" s="2346" t="s">
        <v>3047</v>
      </c>
      <c r="E17" s="1018">
        <f ca="1">IF(F17&lt;B2,"已过期",2014110076)</f>
        <v>2014110076</v>
      </c>
      <c r="F17" s="1026">
        <v>49302</v>
      </c>
    </row>
    <row r="18" spans="1:7" ht="24" customHeight="1">
      <c r="A18" s="1698"/>
      <c r="B18" s="1018"/>
      <c r="C18" s="2343"/>
      <c r="D18" s="2346"/>
      <c r="E18" s="1018"/>
      <c r="F18" s="1026"/>
    </row>
    <row r="19" spans="1:7" ht="24" customHeight="1">
      <c r="A19" s="1698"/>
      <c r="B19" s="1018"/>
      <c r="C19" s="2343"/>
      <c r="D19" s="2346"/>
      <c r="E19" s="1018"/>
      <c r="F19" s="1018"/>
    </row>
    <row r="20" spans="1:7" ht="24" customHeight="1">
      <c r="A20" s="1698"/>
      <c r="B20" s="1018"/>
      <c r="C20" s="2343"/>
      <c r="D20" s="2346"/>
      <c r="E20" s="1018"/>
      <c r="F20" s="1018"/>
    </row>
    <row r="21" spans="1:7" ht="24" customHeight="1">
      <c r="A21" s="1698"/>
      <c r="B21" s="1018"/>
      <c r="C21" s="2343"/>
      <c r="D21" s="2346" t="s">
        <v>841</v>
      </c>
      <c r="E21" s="1018">
        <f ca="1">IF(F21&lt;B2,"已过期",2011110090)</f>
        <v>2011110090</v>
      </c>
      <c r="F21" s="1026">
        <v>48302</v>
      </c>
    </row>
    <row r="22" spans="1:7" ht="24" customHeight="1">
      <c r="A22" s="1698" t="s">
        <v>842</v>
      </c>
      <c r="B22" s="1018">
        <f ca="1">IF(C22&lt;B2,"已过期",1120020033)</f>
        <v>1120020033</v>
      </c>
      <c r="C22" s="2926">
        <v>44339</v>
      </c>
      <c r="D22" s="2346" t="s">
        <v>842</v>
      </c>
      <c r="E22" s="1018">
        <f ca="1">IF(F22&lt;B2,"已过期",2000110137)</f>
        <v>2000110137</v>
      </c>
      <c r="F22" s="1026">
        <v>46387</v>
      </c>
    </row>
    <row r="23" spans="1:7" ht="24" customHeight="1">
      <c r="A23" s="1698"/>
      <c r="B23" s="1018"/>
      <c r="C23" s="2343"/>
      <c r="D23" s="2346"/>
      <c r="E23" s="1018"/>
      <c r="F23" s="1018"/>
    </row>
    <row r="24" spans="1:7" s="1020" customFormat="1" ht="24" customHeight="1">
      <c r="A24" s="1699" t="s">
        <v>1329</v>
      </c>
      <c r="B24" s="1699" t="s">
        <v>1329</v>
      </c>
      <c r="C24" s="2344" t="s">
        <v>1329</v>
      </c>
      <c r="D24" s="2347" t="s">
        <v>1329</v>
      </c>
      <c r="E24" s="1699" t="s">
        <v>1329</v>
      </c>
      <c r="F24" s="1699" t="s">
        <v>1329</v>
      </c>
    </row>
    <row r="25" spans="1:7" ht="24" customHeight="1">
      <c r="A25" s="3010" t="s">
        <v>843</v>
      </c>
      <c r="B25" s="3010"/>
      <c r="C25" s="3010"/>
      <c r="D25" s="3010"/>
      <c r="E25" s="3010"/>
      <c r="F25" s="3010"/>
      <c r="G25" s="3010"/>
    </row>
    <row r="26" spans="1:7" s="1021" customFormat="1" ht="24" customHeight="1">
      <c r="A26" s="3011" t="s">
        <v>844</v>
      </c>
      <c r="B26" s="3011"/>
      <c r="C26" s="3012"/>
      <c r="D26" s="3013" t="s">
        <v>845</v>
      </c>
      <c r="E26" s="3011"/>
      <c r="F26" s="3011"/>
    </row>
    <row r="27" spans="1:7" s="1023" customFormat="1" ht="24" customHeight="1">
      <c r="A27" s="1022" t="s">
        <v>846</v>
      </c>
      <c r="B27" s="1017" t="s">
        <v>847</v>
      </c>
      <c r="C27" s="2342" t="s">
        <v>848</v>
      </c>
      <c r="D27" s="2350" t="s">
        <v>846</v>
      </c>
      <c r="E27" s="1017" t="s">
        <v>847</v>
      </c>
      <c r="F27" s="1017" t="s">
        <v>848</v>
      </c>
    </row>
    <row r="28" spans="1:7" s="1023" customFormat="1" ht="24" customHeight="1">
      <c r="A28" s="1024" t="s">
        <v>849</v>
      </c>
      <c r="B28" s="1025" t="s">
        <v>850</v>
      </c>
      <c r="C28" s="2348">
        <v>43725</v>
      </c>
      <c r="D28" s="2351" t="s">
        <v>851</v>
      </c>
      <c r="E28" s="1024" t="s">
        <v>852</v>
      </c>
      <c r="F28" s="1054">
        <v>44377</v>
      </c>
    </row>
    <row r="29" spans="1:7" s="1023" customFormat="1" ht="24" customHeight="1">
      <c r="A29" s="1024"/>
      <c r="B29" s="1024"/>
      <c r="C29" s="2349"/>
      <c r="D29" s="2351" t="s">
        <v>853</v>
      </c>
      <c r="E29" s="1198" t="s">
        <v>3051</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9" priority="88">
      <formula>AND($C28-TODAY()&lt;30,TODAY()&lt;$C28)</formula>
    </cfRule>
  </conditionalFormatting>
  <conditionalFormatting sqref="C28 F4">
    <cfRule type="cellIs" dxfId="228" priority="90" stopIfTrue="1" operator="lessThan">
      <formula>$B$2</formula>
    </cfRule>
  </conditionalFormatting>
  <conditionalFormatting sqref="C5">
    <cfRule type="expression" dxfId="227" priority="85">
      <formula>AND($C5-TODAY()&lt;30,TODAY()&lt;$C5)</formula>
    </cfRule>
  </conditionalFormatting>
  <conditionalFormatting sqref="C5 F5">
    <cfRule type="cellIs" dxfId="226" priority="86" stopIfTrue="1" operator="lessThan">
      <formula>$B$2</formula>
    </cfRule>
  </conditionalFormatting>
  <conditionalFormatting sqref="F6 F8 F10">
    <cfRule type="cellIs" dxfId="225" priority="84" stopIfTrue="1" operator="lessThan">
      <formula>$B$2</formula>
    </cfRule>
  </conditionalFormatting>
  <conditionalFormatting sqref="C4:C11 C13 C23 C17:C21">
    <cfRule type="expression" dxfId="224" priority="82">
      <formula>AND($C4-TODAY()&lt;30,TODAY()&lt;$C4)</formula>
    </cfRule>
  </conditionalFormatting>
  <conditionalFormatting sqref="F7 F9 F11 C4:C11 C13 C23 C17:C21">
    <cfRule type="cellIs" dxfId="223" priority="83" stopIfTrue="1" operator="lessThan">
      <formula>$B$2</formula>
    </cfRule>
  </conditionalFormatting>
  <conditionalFormatting sqref="C18">
    <cfRule type="expression" dxfId="222" priority="72">
      <formula>AND($C18-TODAY()&lt;30,TODAY()&lt;$C18)</formula>
    </cfRule>
  </conditionalFormatting>
  <conditionalFormatting sqref="C18">
    <cfRule type="cellIs" dxfId="221" priority="73" stopIfTrue="1" operator="lessThan">
      <formula>$B$2</formula>
    </cfRule>
  </conditionalFormatting>
  <conditionalFormatting sqref="C20">
    <cfRule type="expression" dxfId="220" priority="70">
      <formula>AND($C20-TODAY()&lt;30,TODAY()&lt;$C20)</formula>
    </cfRule>
  </conditionalFormatting>
  <conditionalFormatting sqref="C20">
    <cfRule type="cellIs" dxfId="219" priority="71" stopIfTrue="1" operator="lessThan">
      <formula>$B$2</formula>
    </cfRule>
  </conditionalFormatting>
  <conditionalFormatting sqref="C17">
    <cfRule type="expression" dxfId="218" priority="64">
      <formula>AND($C17-TODAY()&lt;30,TODAY()&lt;$C17)</formula>
    </cfRule>
  </conditionalFormatting>
  <conditionalFormatting sqref="C17">
    <cfRule type="cellIs" dxfId="217" priority="65" stopIfTrue="1" operator="lessThan">
      <formula>$B$2</formula>
    </cfRule>
  </conditionalFormatting>
  <conditionalFormatting sqref="C19">
    <cfRule type="expression" dxfId="216" priority="62">
      <formula>AND($C19-TODAY()&lt;30,TODAY()&lt;$C19)</formula>
    </cfRule>
  </conditionalFormatting>
  <conditionalFormatting sqref="C19">
    <cfRule type="cellIs" dxfId="215" priority="63" stopIfTrue="1" operator="lessThan">
      <formula>$B$2</formula>
    </cfRule>
  </conditionalFormatting>
  <conditionalFormatting sqref="C21">
    <cfRule type="expression" dxfId="214" priority="60">
      <formula>AND($C21-TODAY()&lt;30,TODAY()&lt;$C21)</formula>
    </cfRule>
  </conditionalFormatting>
  <conditionalFormatting sqref="C21">
    <cfRule type="cellIs" dxfId="213" priority="61" stopIfTrue="1" operator="lessThan">
      <formula>$B$2</formula>
    </cfRule>
  </conditionalFormatting>
  <conditionalFormatting sqref="C23">
    <cfRule type="expression" dxfId="212" priority="58">
      <formula>AND($C23-TODAY()&lt;30,TODAY()&lt;$C23)</formula>
    </cfRule>
  </conditionalFormatting>
  <conditionalFormatting sqref="C23">
    <cfRule type="cellIs" dxfId="211" priority="59" stopIfTrue="1" operator="lessThan">
      <formula>$B$2</formula>
    </cfRule>
  </conditionalFormatting>
  <conditionalFormatting sqref="F18">
    <cfRule type="cellIs" dxfId="210" priority="55" stopIfTrue="1" operator="lessThan">
      <formula>$B$2</formula>
    </cfRule>
  </conditionalFormatting>
  <conditionalFormatting sqref="F22">
    <cfRule type="cellIs" dxfId="209" priority="54" stopIfTrue="1" operator="lessThan">
      <formula>$B$2</formula>
    </cfRule>
  </conditionalFormatting>
  <conditionalFormatting sqref="F21">
    <cfRule type="cellIs" dxfId="208" priority="53" stopIfTrue="1" operator="lessThan">
      <formula>$B$2</formula>
    </cfRule>
  </conditionalFormatting>
  <conditionalFormatting sqref="B4:B11 E4:E11 B17:B23 E18:E23 B13 E13">
    <cfRule type="cellIs" dxfId="207" priority="51" stopIfTrue="1" operator="equal">
      <formula>"已过期"</formula>
    </cfRule>
  </conditionalFormatting>
  <conditionalFormatting sqref="A24:F24">
    <cfRule type="cellIs" dxfId="206" priority="47" stopIfTrue="1" operator="equal">
      <formula>"已过期"</formula>
    </cfRule>
  </conditionalFormatting>
  <conditionalFormatting sqref="F28">
    <cfRule type="expression" dxfId="205" priority="45">
      <formula>AND($E28-TODAY()&lt;30,TODAY()&lt;$E28)</formula>
    </cfRule>
  </conditionalFormatting>
  <conditionalFormatting sqref="F28">
    <cfRule type="cellIs" dxfId="204" priority="46" stopIfTrue="1" operator="lessThan">
      <formula>$B$2</formula>
    </cfRule>
  </conditionalFormatting>
  <conditionalFormatting sqref="F29">
    <cfRule type="expression" dxfId="203" priority="41" stopIfTrue="1">
      <formula>AND($E29-TODAY()&lt;30,TODAY()&lt;$E29)</formula>
    </cfRule>
  </conditionalFormatting>
  <conditionalFormatting sqref="F29">
    <cfRule type="cellIs" dxfId="202" priority="42" stopIfTrue="1" operator="lessThan">
      <formula>$B$2</formula>
    </cfRule>
  </conditionalFormatting>
  <conditionalFormatting sqref="F13">
    <cfRule type="cellIs" dxfId="201" priority="34" stopIfTrue="1" operator="lessThan">
      <formula>$B$2</formula>
    </cfRule>
  </conditionalFormatting>
  <conditionalFormatting sqref="C12">
    <cfRule type="expression" dxfId="200" priority="32">
      <formula>AND($C12-TODAY()&lt;30,TODAY()&lt;$C12)</formula>
    </cfRule>
  </conditionalFormatting>
  <conditionalFormatting sqref="C12">
    <cfRule type="cellIs" dxfId="199" priority="33" stopIfTrue="1" operator="lessThan">
      <formula>$B$2</formula>
    </cfRule>
  </conditionalFormatting>
  <conditionalFormatting sqref="C12">
    <cfRule type="expression" dxfId="198" priority="30">
      <formula>AND($C12-TODAY()&lt;30,TODAY()&lt;$C12)</formula>
    </cfRule>
  </conditionalFormatting>
  <conditionalFormatting sqref="C12">
    <cfRule type="cellIs" dxfId="197" priority="31" stopIfTrue="1" operator="lessThan">
      <formula>$B$2</formula>
    </cfRule>
  </conditionalFormatting>
  <conditionalFormatting sqref="B12">
    <cfRule type="cellIs" dxfId="196" priority="29" stopIfTrue="1" operator="equal">
      <formula>"已过期"</formula>
    </cfRule>
  </conditionalFormatting>
  <conditionalFormatting sqref="E12">
    <cfRule type="cellIs" dxfId="195" priority="28" stopIfTrue="1" operator="equal">
      <formula>"已过期"</formula>
    </cfRule>
  </conditionalFormatting>
  <conditionalFormatting sqref="F12">
    <cfRule type="cellIs" dxfId="194" priority="27" stopIfTrue="1" operator="lessThan">
      <formula>$B$2</formula>
    </cfRule>
  </conditionalFormatting>
  <conditionalFormatting sqref="C22">
    <cfRule type="expression" dxfId="193" priority="25">
      <formula>AND($C22-TODAY()&lt;30,TODAY()&lt;$C22)</formula>
    </cfRule>
  </conditionalFormatting>
  <conditionalFormatting sqref="C22">
    <cfRule type="cellIs" dxfId="192" priority="26" stopIfTrue="1" operator="lessThan">
      <formula>$B$2</formula>
    </cfRule>
  </conditionalFormatting>
  <conditionalFormatting sqref="C22">
    <cfRule type="expression" dxfId="191" priority="23">
      <formula>AND($C22-TODAY()&lt;30,TODAY()&lt;$C22)</formula>
    </cfRule>
  </conditionalFormatting>
  <conditionalFormatting sqref="C22">
    <cfRule type="cellIs" dxfId="190" priority="24" stopIfTrue="1" operator="lessThan">
      <formula>$B$2</formula>
    </cfRule>
  </conditionalFormatting>
  <conditionalFormatting sqref="C16">
    <cfRule type="expression" dxfId="189" priority="21">
      <formula>AND($C16-TODAY()&lt;30,TODAY()&lt;$C16)</formula>
    </cfRule>
  </conditionalFormatting>
  <conditionalFormatting sqref="C16">
    <cfRule type="cellIs" dxfId="188" priority="22" stopIfTrue="1" operator="lessThan">
      <formula>$B$2</formula>
    </cfRule>
  </conditionalFormatting>
  <conditionalFormatting sqref="C16">
    <cfRule type="expression" dxfId="187" priority="19">
      <formula>AND($C16-TODAY()&lt;30,TODAY()&lt;$C16)</formula>
    </cfRule>
  </conditionalFormatting>
  <conditionalFormatting sqref="C16">
    <cfRule type="cellIs" dxfId="186" priority="20" stopIfTrue="1" operator="lessThan">
      <formula>$B$2</formula>
    </cfRule>
  </conditionalFormatting>
  <conditionalFormatting sqref="B16">
    <cfRule type="cellIs" dxfId="185" priority="18" stopIfTrue="1" operator="equal">
      <formula>"已过期"</formula>
    </cfRule>
  </conditionalFormatting>
  <conditionalFormatting sqref="C14:C15">
    <cfRule type="expression" dxfId="184" priority="16">
      <formula>AND($C14-TODAY()&lt;30,TODAY()&lt;$C14)</formula>
    </cfRule>
  </conditionalFormatting>
  <conditionalFormatting sqref="C14:C15">
    <cfRule type="cellIs" dxfId="183" priority="17" stopIfTrue="1" operator="lessThan">
      <formula>$B$2</formula>
    </cfRule>
  </conditionalFormatting>
  <conditionalFormatting sqref="C14">
    <cfRule type="expression" dxfId="182" priority="14">
      <formula>AND($C14-TODAY()&lt;30,TODAY()&lt;$C14)</formula>
    </cfRule>
  </conditionalFormatting>
  <conditionalFormatting sqref="C14">
    <cfRule type="cellIs" dxfId="181" priority="15" stopIfTrue="1" operator="lessThan">
      <formula>$B$2</formula>
    </cfRule>
  </conditionalFormatting>
  <conditionalFormatting sqref="C15">
    <cfRule type="expression" dxfId="180" priority="12">
      <formula>AND($C15-TODAY()&lt;30,TODAY()&lt;$C15)</formula>
    </cfRule>
  </conditionalFormatting>
  <conditionalFormatting sqref="C15">
    <cfRule type="cellIs" dxfId="179" priority="13" stopIfTrue="1" operator="lessThan">
      <formula>$B$2</formula>
    </cfRule>
  </conditionalFormatting>
  <conditionalFormatting sqref="B14">
    <cfRule type="cellIs" dxfId="178" priority="11" stopIfTrue="1" operator="equal">
      <formula>"已过期"</formula>
    </cfRule>
  </conditionalFormatting>
  <conditionalFormatting sqref="B15">
    <cfRule type="cellIs" dxfId="177" priority="10" stopIfTrue="1" operator="equal">
      <formula>"已过期"</formula>
    </cfRule>
  </conditionalFormatting>
  <conditionalFormatting sqref="A15">
    <cfRule type="cellIs" dxfId="176" priority="9" stopIfTrue="1" operator="equal">
      <formula>"已过期"</formula>
    </cfRule>
  </conditionalFormatting>
  <conditionalFormatting sqref="C15">
    <cfRule type="expression" dxfId="175" priority="8">
      <formula>AND($C15-TODAY()&lt;30,TODAY()&lt;$C15)</formula>
    </cfRule>
  </conditionalFormatting>
  <conditionalFormatting sqref="F16">
    <cfRule type="cellIs" dxfId="174" priority="7" stopIfTrue="1" operator="lessThan">
      <formula>$B$2</formula>
    </cfRule>
  </conditionalFormatting>
  <conditionalFormatting sqref="E16 E14">
    <cfRule type="cellIs" dxfId="173" priority="6" stopIfTrue="1" operator="equal">
      <formula>"已过期"</formula>
    </cfRule>
  </conditionalFormatting>
  <conditionalFormatting sqref="E15">
    <cfRule type="cellIs" dxfId="172" priority="5" stopIfTrue="1" operator="equal">
      <formula>"已过期"</formula>
    </cfRule>
  </conditionalFormatting>
  <conditionalFormatting sqref="D15">
    <cfRule type="cellIs" dxfId="171" priority="4" stopIfTrue="1" operator="equal">
      <formula>"已过期"</formula>
    </cfRule>
  </conditionalFormatting>
  <conditionalFormatting sqref="F17">
    <cfRule type="cellIs" dxfId="170" priority="3" stopIfTrue="1" operator="lessThan">
      <formula>$B$2</formula>
    </cfRule>
  </conditionalFormatting>
  <conditionalFormatting sqref="E17">
    <cfRule type="cellIs" dxfId="169" priority="2" stopIfTrue="1" operator="equal">
      <formula>"已过期"</formula>
    </cfRule>
  </conditionalFormatting>
  <conditionalFormatting sqref="F14">
    <cfRule type="cellIs" dxfId="16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收益法-3</vt:lpstr>
      <vt:lpstr>收益法-2</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'收益法-1'!Print_Area</vt:lpstr>
      <vt:lpstr>'收益法-2'!Print_Area</vt:lpstr>
      <vt:lpstr>'收益法-3'!Print_Area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2019-10-16T03:01:55Z</dcterms:modified>
</cp:coreProperties>
</file>