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24" i="1" l="1"/>
  <c r="F34" i="68"/>
  <c r="A6" i="1"/>
  <c r="I5" i="3"/>
  <c r="F19" i="6"/>
  <c r="K5" i="3"/>
  <c r="G19" i="6"/>
  <c r="E19" i="6"/>
  <c r="K6" i="1"/>
  <c r="M6" i="1"/>
  <c r="A7" i="1"/>
  <c r="K7" i="1"/>
  <c r="M7" i="1"/>
  <c r="A8" i="1"/>
  <c r="K8" i="1"/>
  <c r="M8" i="1"/>
  <c r="A9" i="1"/>
  <c r="K9" i="1"/>
  <c r="M9" i="1"/>
  <c r="A10" i="1"/>
  <c r="K10" i="1"/>
  <c r="M10" i="1"/>
  <c r="A11" i="1"/>
  <c r="K11" i="1"/>
  <c r="M11" i="1"/>
  <c r="A12" i="1"/>
  <c r="K12" i="1"/>
  <c r="M12" i="1"/>
  <c r="A13" i="1"/>
  <c r="K13" i="1"/>
  <c r="M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34" i="68"/>
  <c r="F35" i="68"/>
  <c r="C35" i="68"/>
  <c r="D3" i="4"/>
  <c r="B2" i="1"/>
  <c r="C42" i="1"/>
  <c r="F36" i="68"/>
  <c r="C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D9" i="68"/>
  <c r="E3" i="6"/>
  <c r="E6" i="6"/>
  <c r="D10" i="68"/>
  <c r="D19" i="68"/>
  <c r="D37" i="68"/>
  <c r="E37" i="68"/>
  <c r="C37" i="68"/>
  <c r="F38" i="68"/>
  <c r="C38" i="68"/>
  <c r="C33" i="68"/>
  <c r="C91" i="9"/>
  <c r="D89" i="9"/>
  <c r="C89" i="9"/>
  <c r="C87" i="9"/>
  <c r="C94" i="9"/>
  <c r="BB10" i="3"/>
  <c r="BC10" i="3"/>
  <c r="BD10" i="3"/>
  <c r="BE10" i="3"/>
  <c r="BF10" i="3"/>
  <c r="BG10" i="3"/>
  <c r="BH10" i="3"/>
  <c r="BI10" i="3"/>
  <c r="BJ10" i="3"/>
  <c r="BK10" i="3"/>
  <c r="E8" i="6"/>
  <c r="F27" i="6"/>
  <c r="F29" i="6"/>
  <c r="F30" i="6"/>
  <c r="F31" i="6"/>
  <c r="E40" i="9"/>
  <c r="E48"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G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N6" i="1"/>
  <c r="C37" i="34"/>
  <c r="E37" i="34"/>
  <c r="D112" i="34"/>
  <c r="E112" i="34"/>
  <c r="F112" i="34"/>
  <c r="F37" i="34"/>
  <c r="AA37" i="34"/>
  <c r="F38" i="34"/>
  <c r="AA38" i="34"/>
  <c r="F39" i="34"/>
  <c r="AA39" i="34"/>
  <c r="D118" i="34"/>
  <c r="F40" i="34"/>
  <c r="AA40" i="34"/>
  <c r="F41" i="34"/>
  <c r="AA41" i="34"/>
  <c r="D122" i="34"/>
  <c r="F122" i="34"/>
  <c r="F42" i="34"/>
  <c r="AA42" i="34"/>
  <c r="D124" i="34"/>
  <c r="F43" i="34"/>
  <c r="AA43" i="34"/>
  <c r="D126" i="34"/>
  <c r="F44" i="34"/>
  <c r="AA44" i="34"/>
  <c r="B127" i="34"/>
  <c r="F45" i="34"/>
  <c r="AA45" i="34"/>
  <c r="B129" i="34"/>
  <c r="F46" i="34"/>
  <c r="AA46" i="34"/>
  <c r="B131" i="34"/>
  <c r="F47" i="34"/>
  <c r="AA47" i="34"/>
  <c r="R49" i="34"/>
  <c r="G48"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V26" i="77"/>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V27" i="77"/>
  <c r="I37" i="34"/>
  <c r="J37" i="34"/>
  <c r="AC37" i="34"/>
  <c r="J38" i="34"/>
  <c r="AC38" i="34"/>
  <c r="J39" i="34"/>
  <c r="AC39" i="34"/>
  <c r="J40" i="34"/>
  <c r="AC40" i="34"/>
  <c r="J41" i="34"/>
  <c r="AC41" i="34"/>
  <c r="G122" i="34"/>
  <c r="H122" i="34"/>
  <c r="J42" i="34"/>
  <c r="AC42" i="34"/>
  <c r="J43" i="34"/>
  <c r="AC43" i="34"/>
  <c r="J44" i="34"/>
  <c r="AC44" i="34"/>
  <c r="J45" i="34"/>
  <c r="AC45" i="34"/>
  <c r="J46" i="34"/>
  <c r="AC46" i="34"/>
  <c r="J47" i="34"/>
  <c r="AC47" i="34"/>
  <c r="V49" i="34"/>
  <c r="R50" i="34"/>
  <c r="C50" i="34"/>
  <c r="D51" i="34"/>
  <c r="F51" i="34"/>
  <c r="E52" i="34"/>
  <c r="F52" i="34"/>
  <c r="G51" i="34"/>
  <c r="U6" i="1"/>
  <c r="C1" i="73"/>
  <c r="J1" i="73"/>
  <c r="D4" i="73"/>
  <c r="E20" i="43"/>
  <c r="N17" i="43"/>
  <c r="G20" i="43"/>
  <c r="J20" i="43"/>
  <c r="F15" i="4"/>
  <c r="F6" i="1"/>
  <c r="I20" i="43"/>
  <c r="C20" i="43"/>
  <c r="G2" i="43"/>
  <c r="I2" i="43"/>
  <c r="M4" i="43"/>
  <c r="C6"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B3" i="3"/>
  <c r="AY6" i="3"/>
  <c r="D3" i="6"/>
  <c r="D19" i="6"/>
  <c r="E20" i="6"/>
  <c r="D20" i="6"/>
  <c r="E21" i="6"/>
  <c r="D21" i="6"/>
  <c r="E22" i="6"/>
  <c r="D22" i="6"/>
  <c r="E23" i="6"/>
  <c r="D23" i="6"/>
  <c r="E24" i="6"/>
  <c r="D24" i="6"/>
  <c r="E25" i="6"/>
  <c r="D25" i="6"/>
  <c r="E26" i="6"/>
  <c r="D26" i="6"/>
  <c r="D27" i="6"/>
  <c r="D28" i="6"/>
  <c r="G29" i="6"/>
  <c r="E29" i="6"/>
  <c r="D29" i="6"/>
  <c r="D30" i="6"/>
  <c r="D31" i="6"/>
  <c r="I6" i="6"/>
  <c r="G3" i="43"/>
  <c r="E22" i="43"/>
  <c r="G22" i="43"/>
  <c r="F22" i="43"/>
  <c r="H22" i="43"/>
  <c r="D22" i="43"/>
  <c r="C21" i="43"/>
  <c r="K59" i="43"/>
  <c r="D59" i="43"/>
  <c r="K60" i="43"/>
  <c r="D60" i="43"/>
  <c r="K61" i="43"/>
  <c r="D61" i="43"/>
  <c r="K62" i="43"/>
  <c r="D62" i="43"/>
  <c r="M63" i="43"/>
  <c r="D63" i="43"/>
  <c r="K64" i="43"/>
  <c r="D64" i="43"/>
  <c r="K65" i="43"/>
  <c r="D65" i="43"/>
  <c r="K66" i="43"/>
  <c r="J66" i="43"/>
  <c r="D66" i="43"/>
  <c r="K67" i="43"/>
  <c r="D67" i="43"/>
  <c r="E59" i="43"/>
  <c r="B57" i="43"/>
  <c r="C24" i="43"/>
  <c r="C29" i="43"/>
  <c r="D29" i="43"/>
  <c r="E29" i="43"/>
  <c r="D5" i="43"/>
  <c r="F33" i="43"/>
  <c r="C33" i="43"/>
  <c r="E33" i="43"/>
  <c r="F34" i="43"/>
  <c r="C34" i="43"/>
  <c r="E34" i="43"/>
  <c r="F35" i="43"/>
  <c r="C35" i="43"/>
  <c r="E35" i="43"/>
  <c r="F36" i="43"/>
  <c r="C36" i="43"/>
  <c r="E36" i="43"/>
  <c r="F37" i="43"/>
  <c r="C37" i="43"/>
  <c r="D37" i="43"/>
  <c r="E37" i="43"/>
  <c r="F38" i="43"/>
  <c r="C38" i="43"/>
  <c r="E38" i="43"/>
  <c r="F39" i="43"/>
  <c r="C39" i="43"/>
  <c r="E39" i="43"/>
  <c r="C26" i="43"/>
  <c r="B2" i="43"/>
  <c r="C6" i="68"/>
  <c r="F7" i="68"/>
  <c r="C7" i="68"/>
  <c r="K15" i="1"/>
  <c r="K16" i="1"/>
  <c r="B29" i="1"/>
  <c r="C8" i="68"/>
  <c r="C5" i="68"/>
  <c r="C19" i="68"/>
  <c r="F20" i="68"/>
  <c r="C20" i="68"/>
  <c r="D5" i="73"/>
  <c r="B22" i="1"/>
  <c r="E1" i="73"/>
  <c r="K1" i="73"/>
  <c r="G1" i="73"/>
  <c r="B40" i="1"/>
  <c r="F22" i="68"/>
  <c r="B23" i="1"/>
  <c r="C23" i="68"/>
  <c r="C24" i="68"/>
  <c r="C25" i="68"/>
  <c r="C22" i="68"/>
  <c r="Q16" i="1"/>
  <c r="F27" i="68"/>
  <c r="C28" i="68"/>
  <c r="C27" i="68"/>
  <c r="F21" i="68"/>
  <c r="C26" i="68"/>
  <c r="D22" i="68"/>
  <c r="C21" i="68"/>
  <c r="C29" i="68"/>
  <c r="D27" i="68"/>
  <c r="B43" i="1"/>
  <c r="B41" i="1"/>
  <c r="F30" i="68"/>
  <c r="C30" i="68"/>
  <c r="C31" i="68"/>
  <c r="C39" i="68"/>
  <c r="C42" i="68"/>
  <c r="C43" i="68"/>
  <c r="C41" i="68"/>
  <c r="C46" i="68"/>
  <c r="C45" i="68"/>
  <c r="C40" i="68"/>
  <c r="C44" i="68"/>
  <c r="D41" i="68"/>
  <c r="C47" i="68"/>
  <c r="D45" i="68"/>
  <c r="C48" i="68"/>
  <c r="C49" i="68"/>
  <c r="N14" i="1"/>
  <c r="N16" i="1"/>
  <c r="F50" i="68"/>
  <c r="C51" i="68"/>
  <c r="C52" i="68"/>
  <c r="B2" i="68"/>
  <c r="C19" i="9"/>
  <c r="G1" i="15"/>
  <c r="F6" i="15"/>
  <c r="F8" i="15"/>
  <c r="F7" i="15"/>
  <c r="F9" i="15"/>
  <c r="C6" i="15"/>
  <c r="L1" i="73"/>
  <c r="F4" i="73"/>
  <c r="I1" i="73"/>
  <c r="B39" i="1"/>
  <c r="F11" i="15"/>
  <c r="C10" i="15"/>
  <c r="C5" i="15"/>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C92" i="9"/>
  <c r="V25" i="77"/>
  <c r="C122" i="34"/>
  <c r="D105" i="34"/>
  <c r="E105" i="34"/>
  <c r="F105" i="34"/>
  <c r="G105" i="34"/>
  <c r="H105" i="34"/>
  <c r="I105" i="34"/>
  <c r="J105" i="34"/>
  <c r="I5" i="34"/>
  <c r="G5" i="34"/>
  <c r="E5" i="34"/>
  <c r="B7" i="4"/>
  <c r="D1" i="43"/>
  <c r="C10" i="43"/>
  <c r="C11" i="43"/>
  <c r="E8" i="43"/>
  <c r="E9" i="43"/>
  <c r="E10" i="43"/>
  <c r="E11" i="43"/>
  <c r="C9" i="43"/>
  <c r="C7" i="43"/>
  <c r="C15" i="43"/>
  <c r="D15" i="43"/>
  <c r="E15" i="43"/>
  <c r="F15" i="43"/>
  <c r="C12"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I4" i="6"/>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N4" i="43"/>
  <c r="F59" i="43"/>
  <c r="U36" i="40"/>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H86" i="43"/>
  <c r="H82" i="43"/>
  <c r="H87" i="43"/>
  <c r="O9" i="1"/>
  <c r="P9" i="1"/>
  <c r="AE9" i="1"/>
  <c r="D93" i="9"/>
  <c r="E12" i="6"/>
  <c r="E15" i="6"/>
  <c r="E60" i="40"/>
  <c r="E13" i="6"/>
  <c r="E58" i="40"/>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Q61" i="67"/>
  <c r="Q74" i="67"/>
  <c r="C49" i="67"/>
  <c r="F1" i="67"/>
  <c r="Q52" i="67"/>
  <c r="Q61" i="15"/>
  <c r="AA7" i="36"/>
  <c r="R36" i="36"/>
  <c r="E36" i="36"/>
  <c r="E40" i="36"/>
  <c r="F40" i="36"/>
  <c r="AC11" i="37"/>
  <c r="W11" i="37"/>
  <c r="AB7" i="37"/>
  <c r="T42" i="37"/>
  <c r="G42" i="37"/>
  <c r="G46" i="37"/>
  <c r="H46" i="37"/>
  <c r="W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L16" i="1"/>
  <c r="C34" i="11"/>
  <c r="C36" i="11"/>
  <c r="J24" i="67"/>
  <c r="J18" i="67"/>
  <c r="J24" i="15"/>
  <c r="J18" i="15"/>
  <c r="G36" i="36"/>
  <c r="R37" i="36"/>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9" i="9"/>
  <c r="M55" i="9"/>
  <c r="AD3" i="71"/>
  <c r="P21" i="43"/>
  <c r="P22" i="43"/>
  <c r="P23" i="43"/>
  <c r="B71" i="39"/>
  <c r="P24" i="43"/>
  <c r="B66" i="40"/>
  <c r="P25" i="43"/>
  <c r="C23" i="43"/>
  <c r="B3" i="43"/>
  <c r="B6" i="76"/>
  <c r="B2" i="76"/>
  <c r="C30" i="43"/>
  <c r="E30" i="43"/>
  <c r="C27" i="43"/>
  <c r="E6" i="76"/>
  <c r="E2" i="76"/>
  <c r="B3" i="76"/>
  <c r="C32" i="9"/>
  <c r="H118" i="9"/>
  <c r="H101" i="9"/>
  <c r="H107" i="9"/>
  <c r="M49" i="9"/>
  <c r="D45" i="9"/>
  <c r="D53" i="9"/>
  <c r="D48" i="9"/>
  <c r="M52" i="9"/>
  <c r="D55" i="9"/>
  <c r="M53" i="9"/>
  <c r="C85" i="9"/>
  <c r="C93" i="9"/>
  <c r="C86" i="9"/>
  <c r="C95" i="9"/>
  <c r="C96" i="9"/>
  <c r="C97" i="9"/>
  <c r="D58" i="9"/>
  <c r="D56" i="9"/>
  <c r="M54" i="9"/>
  <c r="N57" i="9"/>
  <c r="N59" i="9"/>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C34" i="9"/>
  <c r="D118" i="9"/>
  <c r="D4" i="52"/>
  <c r="B47" i="72"/>
  <c r="H4" i="52"/>
  <c r="F119" i="9"/>
  <c r="F5" i="52"/>
  <c r="B53" i="72"/>
  <c r="F4" i="52"/>
  <c r="B51" i="72"/>
  <c r="H119" i="9"/>
  <c r="H5" i="52"/>
  <c r="C105" i="9"/>
  <c r="M48" i="9"/>
  <c r="H111" i="9"/>
  <c r="D126" i="9"/>
  <c r="I14" i="74"/>
  <c r="B8" i="74"/>
  <c r="C8" i="74"/>
  <c r="D8" i="74"/>
  <c r="C104" i="9"/>
  <c r="D119" i="9"/>
  <c r="D5" i="52"/>
  <c r="B49" i="72"/>
  <c r="G4" i="52"/>
  <c r="B52" i="72"/>
  <c r="D12" i="52"/>
  <c r="D127" i="9"/>
  <c r="D13" i="52"/>
  <c r="D19" i="53"/>
  <c r="D20" i="53"/>
  <c r="B40" i="72"/>
  <c r="B38" i="72"/>
  <c r="N61" i="9"/>
  <c r="H112" i="9"/>
  <c r="D21" i="53"/>
  <c r="B39"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S22" i="1"/>
  <c r="AA37" i="1"/>
  <c r="AL1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<sst xmlns="http://schemas.openxmlformats.org/spreadsheetml/2006/main" count="7493" uniqueCount="3168">
  <si>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</si>
  <si>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</si>
  <si>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</si>
  <si>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</si>
  <si>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</si>
  <si>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</si>
  <si>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</si>
  <si>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</si>
  <si>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</si>
  <si>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</si>
  <si>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</si>
  <si>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</si>
  <si>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</si>
  <si>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</si>
  <si>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</si>
  <si>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</si>
  <si>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</si>
  <si>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</si>
  <si>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</si>
  <si>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</si>
  <si>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</si>
  <si>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</si>
  <si>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</si>
  <si>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</si>
  <si>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</si>
  <si>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</si>
  <si>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</si>
  <si>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</si>
  <si>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</si>
  <si>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</si>
  <si>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</si>
  <si>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</si>
  <si>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</si>
  <si>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</si>
  <si>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</si>
  <si>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</si>
  <si>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</si>
  <si>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</si>
  <si>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</si>
  <si>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</si>
  <si>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</si>
  <si>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</si>
  <si>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</si>
  <si>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</si>
  <si>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</si>
  <si>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</si>
  <si>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</si>
  <si>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</si>
  <si>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</si>
  <si>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</si>
  <si>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</si>
  <si>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</si>
  <si>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</si>
  <si>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</si>
  <si>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</si>
  <si>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</si>
  <si>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</si>
  <si>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</si>
  <si>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</si>
  <si>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</si>
  <si>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</si>
  <si>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</si>
  <si>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</si>
  <si>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</si>
  <si>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</si>
  <si>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</si>
  <si>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</si>
  <si>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</si>
  <si>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</si>
  <si>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</si>
  <si>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</si>
  <si>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</si>
  <si>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</si>
  <si>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</si>
  <si>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</si>
  <si>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</si>
  <si>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</si>
  <si>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</si>
  <si>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</si>
  <si>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</si>
  <si>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</si>
  <si>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</si>
  <si>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</si>
  <si>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</si>
  <si>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</si>
  <si>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</si>
  <si>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</si>
  <si>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</si>
  <si>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</si>
  <si>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</si>
  <si>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</si>
  <si>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</si>
  <si>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</si>
  <si>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</si>
  <si>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</si>
  <si>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</si>
  <si>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</si>
  <si>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</si>
  <si>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</si>
  <si>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</si>
  <si>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</si>
  <si>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</si>
  <si>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</si>
  <si>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</si>
  <si>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</si>
  <si>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</si>
  <si>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</si>
  <si>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</si>
  <si>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</si>
  <si>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</si>
  <si>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</si>
  <si>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</si>
  <si>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</si>
  <si>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</si>
  <si>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</si>
  <si>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</si>
  <si>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</si>
  <si>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</si>
  <si>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</si>
  <si>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</si>
  <si>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</si>
  <si>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</si>
  <si>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</si>
  <si>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</si>
  <si>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</si>
  <si>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</si>
  <si>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</si>
  <si>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</si>
  <si>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</si>
  <si>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</si>
  <si>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</si>
  <si>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</si>
  <si>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</si>
  <si>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</si>
  <si>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</si>
  <si>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</si>
  <si>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</si>
  <si>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</si>
  <si>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</si>
  <si>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</si>
  <si>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</si>
  <si>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</si>
  <si>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</si>
  <si>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</si>
  <si>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</si>
  <si>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</si>
  <si>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</si>
  <si>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</si>
  <si>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</si>
  <si>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</si>
  <si>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</si>
  <si>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</si>
  <si>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</si>
  <si>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</si>
  <si>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</si>
  <si>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</si>
  <si>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</si>
  <si>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</si>
  <si>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</si>
  <si>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</si>
  <si>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</si>
  <si>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</si>
  <si>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</si>
  <si>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</si>
  <si>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</si>
  <si>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</si>
  <si>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</si>
  <si>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</si>
  <si>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</si>
  <si>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</si>
  <si>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</si>
  <si>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</si>
  <si>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</si>
  <si>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</si>
  <si>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</si>
  <si>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</si>
  <si>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</si>
  <si>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</si>
  <si>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</si>
  <si>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</si>
  <si>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</si>
  <si>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</si>
  <si>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</si>
  <si>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</si>
  <si>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</si>
  <si>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</si>
  <si>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</si>
  <si>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</si>
  <si>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</si>
  <si>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</si>
  <si>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</si>
  <si>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</si>
  <si>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</si>
  <si>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</si>
  <si>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</si>
  <si>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</si>
  <si>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</si>
  <si>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</si>
  <si>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</si>
  <si>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</si>
  <si>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</si>
  <si>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</si>
  <si>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</si>
  <si>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</si>
  <si>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</si>
  <si>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</si>
  <si>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</si>
  <si>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</si>
  <si>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</si>
  <si>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</si>
  <si>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</si>
  <si>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</si>
  <si>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</si>
  <si>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</si>
  <si>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</si>
  <si>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</si>
  <si>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</si>
  <si>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</si>
  <si>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</si>
  <si>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</si>
  <si>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</si>
  <si>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</si>
  <si>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</si>
  <si>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</si>
  <si>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</si>
  <si>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</si>
  <si>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</si>
  <si>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</si>
  <si>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</si>
  <si>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</si>
  <si>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</si>
  <si>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</si>
  <si>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</si>
  <si>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</si>
  <si>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</si>
  <si>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</si>
  <si>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</si>
  <si>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</si>
  <si>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</si>
  <si>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</si>
  <si>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</si>
  <si>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</si>
  <si>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</si>
  <si>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</si>
  <si>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</si>
  <si>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</si>
  <si>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</si>
  <si>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</si>
  <si>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</si>
  <si>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</si>
  <si>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</si>
  <si>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</si>
  <si>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</si>
  <si>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</si>
  <si>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</si>
  <si>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</si>
  <si>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</si>
  <si>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</si>
  <si>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</si>
  <si>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</si>
  <si>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</si>
  <si>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</si>
  <si>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</si>
  <si>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</si>
  <si>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</si>
  <si>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</si>
  <si>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</si>
  <si>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</si>
  <si>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</si>
  <si>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</si>
  <si>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</si>
  <si>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</si>
  <si>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</si>
  <si>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</si>
  <si>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</si>
  <si>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</si>
  <si>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</si>
  <si>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</si>
  <si>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</si>
  <si>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</si>
  <si>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</si>
  <si>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</si>
  <si>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</si>
  <si>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</si>
  <si>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</si>
  <si>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</si>
  <si>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</si>
  <si>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</si>
  <si>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</si>
  <si>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</si>
  <si>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</si>
  <si>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</si>
  <si>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</si>
  <si>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</si>
  <si>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</si>
  <si>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</si>
  <si>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</si>
  <si>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</si>
  <si>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</si>
  <si>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</si>
  <si>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</si>
  <si>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</si>
  <si>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</si>
  <si>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</si>
  <si>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</si>
  <si>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</si>
  <si>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</si>
  <si>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</si>
  <si>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</si>
  <si>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</si>
  <si>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</si>
  <si>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</si>
  <si>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</si>
  <si>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</si>
  <si>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</si>
  <si>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</si>
  <si>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</si>
  <si>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</si>
  <si>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</si>
  <si>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</si>
  <si>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</si>
  <si>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</si>
  <si>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</si>
  <si>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</si>
  <si>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</si>
  <si>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</si>
  <si>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</si>
  <si>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</si>
  <si>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</si>
  <si>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</si>
  <si>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</si>
  <si>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</si>
  <si>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</si>
  <si>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</si>
  <si>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</si>
  <si>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</si>
  <si>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</si>
  <si>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</si>
  <si>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</si>
  <si>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</si>
  <si>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</si>
  <si>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</si>
  <si>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</si>
  <si>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</si>
  <si>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</si>
  <si>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</si>
  <si>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</si>
  <si>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</si>
  <si>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</si>
  <si>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</si>
  <si>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</si>
  <si>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</si>
  <si>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</si>
  <si>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</si>
  <si>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</si>
  <si>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</si>
  <si>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</si>
  <si>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</si>
  <si>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</si>
  <si>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</si>
  <si>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</si>
  <si>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</si>
  <si>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</si>
  <si>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</si>
  <si>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</si>
  <si>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</si>
  <si>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</si>
  <si>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</si>
  <si>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</si>
  <si>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</si>
  <si>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</si>
  <si>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</si>
  <si>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</si>
  <si>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</si>
  <si>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</si>
  <si>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</si>
  <si>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</si>
  <si>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</si>
  <si>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</si>
  <si>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</si>
  <si>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</si>
  <si>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</si>
  <si>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</si>
  <si>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</si>
  <si>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</si>
  <si>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</si>
  <si>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</si>
  <si>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</si>
  <si>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</si>
  <si>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</si>
  <si>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</si>
  <si>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</si>
  <si>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</si>
  <si>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</si>
  <si>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</si>
  <si>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</si>
  <si>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</si>
  <si>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</si>
  <si>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</si>
  <si>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</si>
  <si>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</si>
  <si>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</si>
  <si>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</si>
  <si>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</si>
  <si>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</si>
  <si>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</si>
  <si>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</si>
  <si>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</si>
  <si>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</si>
  <si>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</si>
  <si>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</si>
  <si>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</si>
  <si>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</si>
  <si>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</si>
  <si>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</si>
  <si>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</si>
  <si>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</si>
  <si>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</si>
  <si>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</si>
  <si>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</si>
  <si>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</si>
  <si>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</si>
  <si>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</si>
  <si>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</si>
  <si>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</si>
  <si>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</si>
  <si>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</si>
  <si>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</si>
  <si>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</si>
  <si>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</si>
  <si>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</si>
  <si>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</si>
  <si>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</si>
  <si>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</si>
  <si>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</si>
  <si>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</si>
  <si>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</si>
  <si>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</si>
  <si>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</si>
  <si>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</si>
  <si>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</si>
  <si>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</si>
  <si>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</si>
  <si>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</si>
  <si>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</si>
  <si>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</si>
  <si>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</si>
  <si>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</si>
  <si>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</si>
  <si>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</si>
  <si>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</si>
  <si>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</si>
  <si>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</si>
  <si>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</si>
  <si>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</si>
  <si>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</si>
  <si>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</si>
  <si>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</si>
  <si>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</si>
  <si>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</si>
  <si>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</si>
  <si>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</si>
  <si>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</si>
  <si>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</si>
  <si>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</si>
  <si>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</si>
  <si>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</si>
  <si>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</si>
  <si>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</si>
  <si>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</si>
  <si>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</si>
  <si>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</si>
  <si>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</si>
  <si>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</si>
  <si>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</si>
  <si>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</si>
  <si>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</si>
  <si>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</si>
  <si>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</si>
  <si>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</si>
  <si>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</si>
  <si>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</si>
  <si>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</si>
  <si>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</si>
  <si>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</si>
  <si>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</si>
  <si>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</si>
  <si>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</si>
  <si>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</si>
  <si>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</si>
  <si>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</si>
  <si>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</si>
  <si>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</si>
  <si>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</si>
  <si>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</si>
  <si>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</si>
  <si>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</si>
  <si>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</si>
  <si>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</si>
  <si>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</si>
  <si>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</si>
  <si>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</si>
  <si>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</si>
  <si>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</si>
  <si>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</si>
  <si>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</si>
  <si>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</si>
  <si>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</si>
  <si>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</si>
  <si>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</si>
  <si>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</si>
  <si>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</si>
  <si>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</si>
  <si>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</si>
  <si>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</si>
  <si>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</si>
  <si>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</si>
  <si>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</si>
  <si>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</si>
  <si>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</si>
  <si>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</si>
  <si>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</si>
  <si>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</si>
  <si>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</si>
  <si>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</si>
  <si>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</si>
  <si>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</si>
  <si>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</si>
  <si>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</si>
  <si>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</si>
  <si>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</si>
  <si>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</si>
  <si>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</si>
  <si>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</si>
  <si>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</si>
  <si>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</si>
  <si>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</si>
  <si>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</si>
  <si>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</si>
  <si>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</si>
  <si>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</si>
  <si>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</si>
  <si>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</si>
  <si>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</si>
  <si>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</si>
  <si>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</si>
  <si>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</si>
  <si>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</si>
  <si>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</si>
  <si>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</si>
  <si>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</si>
  <si>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</si>
  <si>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</si>
  <si>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</si>
  <si>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</si>
  <si>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</si>
  <si>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</si>
  <si>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</si>
  <si>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</si>
  <si>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</si>
  <si>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</si>
  <si>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</si>
  <si>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</si>
  <si>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</si>
  <si>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</si>
  <si>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</si>
  <si>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</si>
  <si>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</si>
  <si>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</si>
  <si>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</si>
  <si>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</si>
  <si>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</si>
  <si>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</si>
  <si>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</si>
  <si>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</si>
  <si>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</si>
  <si>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</si>
  <si>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</si>
  <si>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</si>
  <si>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</si>
  <si>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</si>
  <si>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</si>
  <si>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</si>
  <si>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</si>
  <si>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</si>
  <si>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</si>
  <si>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</si>
  <si>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</si>
  <si>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</si>
  <si>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</si>
  <si>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</si>
  <si>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</si>
  <si>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</si>
  <si>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</si>
  <si>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</si>
  <si>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</si>
  <si>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</si>
  <si>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</si>
  <si>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</si>
  <si>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</si>
  <si>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</si>
  <si>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</si>
  <si>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</si>
  <si>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</si>
  <si>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</si>
  <si>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</si>
  <si>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</si>
  <si>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</si>
  <si>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</si>
  <si>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</si>
  <si>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</si>
  <si>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</si>
  <si>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</si>
  <si>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</si>
  <si>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</si>
  <si>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</si>
  <si>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</si>
  <si>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</si>
  <si>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</si>
  <si>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</si>
  <si>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</si>
  <si>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</si>
  <si>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</si>
  <si>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</si>
  <si>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</si>
  <si>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</si>
  <si>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</si>
  <si>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</si>
  <si>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</si>
  <si>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</si>
  <si>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</si>
  <si>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</si>
  <si>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</si>
  <si>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</si>
  <si>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</si>
  <si>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</si>
  <si>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</si>
  <si>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</si>
  <si>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</si>
  <si>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</si>
  <si>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</si>
  <si>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</si>
  <si>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</si>
  <si>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</si>
  <si>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</si>
  <si>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</si>
  <si>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</si>
  <si>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</si>
  <si>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</si>
  <si>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</si>
  <si>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</si>
  <si>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</si>
  <si>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</si>
  <si>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</si>
  <si>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</si>
  <si>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</si>
  <si>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</si>
  <si>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</si>
  <si>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</si>
  <si>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</si>
  <si>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</si>
  <si>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</si>
  <si>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</si>
  <si>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</si>
  <si>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</si>
  <si>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</si>
  <si>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</si>
  <si>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</si>
  <si>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</si>
  <si>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</si>
  <si>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</si>
  <si>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</si>
  <si>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</si>
  <si>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</si>
  <si>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</si>
  <si>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</si>
  <si>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</si>
  <si>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</si>
  <si>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</si>
  <si>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</si>
  <si>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</si>
  <si>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</si>
  <si>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</si>
  <si>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</si>
  <si>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</si>
  <si>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</si>
  <si>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</si>
  <si>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</si>
  <si>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</si>
  <si>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</si>
  <si>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</si>
  <si>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</si>
  <si>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</si>
  <si>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</si>
  <si>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</si>
  <si>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</si>
  <si>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</si>
  <si>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</si>
  <si>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</si>
  <si>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</si>
  <si>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</si>
  <si>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</si>
  <si>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</si>
  <si>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</si>
  <si>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</si>
  <si>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</si>
  <si>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</si>
  <si>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</si>
  <si>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</si>
  <si>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</si>
  <si>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</si>
  <si>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</si>
  <si>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</si>
  <si>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</si>
  <si>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</si>
  <si>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</si>
  <si>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</si>
  <si>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</si>
  <si>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</si>
  <si>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</si>
  <si>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</si>
  <si>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</si>
  <si>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</si>
  <si>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</si>
  <si>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</si>
  <si>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</si>
  <si>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</si>
  <si>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</si>
  <si>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</si>
  <si>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</si>
  <si>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</si>
  <si>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</si>
  <si>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</si>
  <si>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</si>
  <si>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</si>
  <si>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</si>
  <si>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</si>
  <si>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</si>
  <si>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</si>
  <si>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</si>
  <si>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</si>
  <si>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</si>
  <si>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</si>
  <si>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</si>
  <si>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</si>
  <si>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</si>
  <si>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</si>
  <si>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</si>
  <si>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</si>
  <si>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</si>
  <si>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</si>
  <si>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</si>
  <si>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</si>
  <si>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</si>
  <si>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</si>
  <si>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</si>
  <si>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</si>
  <si>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</si>
  <si>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</si>
  <si>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</si>
  <si>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</si>
  <si>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</si>
  <si>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</si>
  <si>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</si>
  <si>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</si>
  <si>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</si>
  <si>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</si>
  <si>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</si>
  <si>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</si>
  <si>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</si>
  <si>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</si>
  <si>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</si>
  <si>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</si>
  <si>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</si>
  <si>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</si>
  <si>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</si>
  <si>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</si>
  <si>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</si>
  <si>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</si>
  <si>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</si>
  <si>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</si>
  <si>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</si>
  <si>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</si>
  <si>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</si>
  <si>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</si>
  <si>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</si>
  <si>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</si>
  <si>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</si>
  <si>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</si>
  <si>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</si>
  <si>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</si>
  <si>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</si>
  <si>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</si>
  <si>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</si>
  <si>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</si>
  <si>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</si>
  <si>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</si>
  <si>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</si>
  <si>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</si>
  <si>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</si>
  <si>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</si>
  <si>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</si>
  <si>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</si>
  <si>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</si>
  <si>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</si>
  <si>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</si>
  <si>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</si>
  <si>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</si>
  <si>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</si>
  <si>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</si>
  <si>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</si>
  <si>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</si>
  <si>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</si>
  <si>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</si>
  <si>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</si>
  <si>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</si>
  <si>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</si>
  <si>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</si>
  <si>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</si>
  <si>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</si>
  <si>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</si>
  <si>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</si>
  <si>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</si>
  <si>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</si>
  <si>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</si>
  <si>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</si>
  <si>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</si>
  <si>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</si>
  <si>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</si>
  <si>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</si>
  <si>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</si>
  <si>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</si>
  <si>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</si>
  <si>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</si>
  <si>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</si>
  <si>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</si>
  <si>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</si>
  <si>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</si>
  <si>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</si>
  <si>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</si>
  <si>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</si>
  <si>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</si>
  <si>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</si>
  <si>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</si>
  <si>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</si>
  <si>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</si>
  <si>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</si>
  <si>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</si>
  <si>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</si>
  <si>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</si>
  <si>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</si>
  <si>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</si>
  <si>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</si>
  <si>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</si>
  <si>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</si>
  <si>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</si>
  <si>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</si>
  <si>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</si>
  <si>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</si>
  <si>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</si>
  <si>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</si>
  <si>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</si>
  <si>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</si>
  <si>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</si>
  <si>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</si>
  <si>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</si>
  <si>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</si>
  <si>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</si>
  <si>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</si>
  <si>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</si>
  <si>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</si>
  <si>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</si>
  <si>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</si>
  <si>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</si>
  <si>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</si>
  <si>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</si>
  <si>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</si>
  <si>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</si>
  <si>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</si>
  <si>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</si>
  <si>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</si>
  <si>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</si>
  <si>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</si>
  <si>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</si>
  <si>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</si>
  <si>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</si>
  <si>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</si>
  <si>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</si>
  <si>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</si>
  <si>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</si>
  <si>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</si>
  <si>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</si>
  <si>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</si>
  <si>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</si>
  <si>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</si>
  <si>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</si>
  <si>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</si>
  <si>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</si>
  <si>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</si>
  <si>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</si>
  <si>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</si>
  <si>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</si>
  <si>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</si>
  <si>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</si>
  <si>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</si>
  <si>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</si>
  <si>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</si>
  <si>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</si>
  <si>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</si>
  <si>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</si>
  <si>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</si>
  <si>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</si>
  <si>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</si>
  <si>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</si>
  <si>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</si>
  <si>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</si>
  <si>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</si>
  <si>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</si>
  <si>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</si>
  <si>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</si>
  <si>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</si>
  <si>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</si>
  <si>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</si>
  <si>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</si>
  <si>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</si>
  <si>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</si>
  <si>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</si>
  <si>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</si>
  <si>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</si>
  <si>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</si>
  <si>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</si>
  <si>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</si>
  <si>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</si>
  <si>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</si>
  <si>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</si>
  <si>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</si>
  <si>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</si>
  <si>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</si>
  <si>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</si>
  <si>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</si>
  <si>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</si>
  <si>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</si>
  <si>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</si>
  <si>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</si>
  <si>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</si>
  <si>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</si>
  <si>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</si>
  <si>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</si>
  <si>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</si>
  <si>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</si>
  <si>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</si>
  <si>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</si>
  <si>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</si>
  <si>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</si>
  <si>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</si>
  <si>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</si>
  <si>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</si>
  <si>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</si>
  <si>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</si>
  <si>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</si>
  <si>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</si>
  <si>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</si>
  <si>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</si>
  <si>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</si>
  <si>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</si>
  <si>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</si>
  <si>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</si>
  <si>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</si>
  <si>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</si>
  <si>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</si>
  <si>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</si>
  <si>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</si>
  <si>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</si>
  <si>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</si>
  <si>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</si>
  <si>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</si>
  <si>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</si>
  <si>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</si>
  <si>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</si>
  <si>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</si>
  <si>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</si>
  <si>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</si>
  <si>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</si>
  <si>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</si>
  <si>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</si>
  <si>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</si>
  <si>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</si>
  <si>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</si>
  <si>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</si>
  <si>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</si>
  <si>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</si>
  <si>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</si>
  <si>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</si>
  <si>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</si>
  <si>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</si>
  <si>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</si>
  <si>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</si>
  <si>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</si>
  <si>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</si>
  <si>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</si>
  <si>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</si>
  <si>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</si>
  <si>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</si>
  <si>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</si>
  <si>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</si>
  <si>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</si>
  <si>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</si>
  <si>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</si>
  <si>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</si>
  <si>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</si>
  <si>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</si>
  <si>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</si>
  <si>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</si>
  <si>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</si>
  <si>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</si>
  <si>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</si>
  <si>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</si>
  <si>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</si>
  <si>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</si>
  <si>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</si>
  <si>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</si>
  <si>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</si>
  <si>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</si>
  <si>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</si>
  <si>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</si>
  <si>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</si>
  <si>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</si>
  <si>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</si>
  <si>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</si>
  <si>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</si>
  <si>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</si>
  <si>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</si>
  <si>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</si>
  <si>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</si>
  <si>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</si>
  <si>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</si>
  <si>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</si>
  <si>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</si>
  <si>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</si>
  <si>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</si>
  <si>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</si>
  <si>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</si>
  <si>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</si>
  <si>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</si>
  <si>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</si>
  <si>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</si>
  <si>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</si>
  <si>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</si>
  <si>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</si>
  <si>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</si>
  <si>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</si>
  <si>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</si>
  <si>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</si>
  <si>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</si>
  <si>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</si>
  <si>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</si>
  <si>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</si>
  <si>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</si>
  <si>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</si>
  <si>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</si>
  <si>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</si>
  <si>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</si>
  <si>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</si>
  <si>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</si>
  <si>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</si>
  <si>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</si>
  <si>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</si>
  <si>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</si>
  <si>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</si>
  <si>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</si>
  <si>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</si>
  <si>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</si>
  <si>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</si>
  <si>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</si>
  <si>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</si>
  <si>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</si>
  <si>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</si>
  <si>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</si>
  <si>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</si>
  <si>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</si>
  <si>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</si>
  <si>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</si>
  <si>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</si>
  <si>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</si>
  <si>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</si>
  <si>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</si>
  <si>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</si>
  <si>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</si>
  <si>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</si>
  <si>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</si>
  <si>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</si>
  <si>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</si>
  <si>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</si>
  <si>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</si>
  <si>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</si>
  <si>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</si>
  <si>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</si>
  <si>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</si>
  <si>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</si>
  <si>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</si>
  <si>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</si>
  <si>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</si>
  <si>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</si>
  <si>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</si>
  <si>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</si>
  <si>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</si>
  <si>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</si>
  <si>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</si>
  <si>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</si>
  <si>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</si>
  <si>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</si>
  <si>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</si>
  <si>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</si>
  <si>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</si>
  <si>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</si>
  <si>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</si>
  <si>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</si>
  <si>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</si>
  <si>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</si>
  <si>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</si>
  <si>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</si>
  <si>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</si>
  <si>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</si>
  <si>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</si>
  <si>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</si>
  <si>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</si>
  <si>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</si>
  <si>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</si>
  <si>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</si>
  <si>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</si>
  <si>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</si>
  <si>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</si>
  <si>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</si>
  <si>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</si>
  <si>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</si>
  <si>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</si>
  <si>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</si>
  <si>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</si>
  <si>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</si>
  <si>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</si>
  <si>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</si>
  <si>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</si>
  <si>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</si>
  <si>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</si>
  <si>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</si>
  <si>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</si>
  <si>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</si>
  <si>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</si>
  <si>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</si>
  <si>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</si>
  <si>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</si>
  <si>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</si>
  <si>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</si>
  <si>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</si>
  <si>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</si>
  <si>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</si>
  <si>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</si>
  <si>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</si>
  <si>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</si>
  <si>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</si>
  <si>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</si>
  <si>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</si>
  <si>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</si>
  <si>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</si>
  <si>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</si>
  <si>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</si>
  <si>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</si>
  <si>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</si>
  <si>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</si>
  <si>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</si>
  <si>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</si>
  <si>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</si>
  <si>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</si>
  <si>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</si>
  <si>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</si>
  <si>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</si>
  <si>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</si>
  <si>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</si>
  <si>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</si>
  <si>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</si>
  <si>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</si>
  <si>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</si>
  <si>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</si>
  <si>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</si>
  <si>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</si>
  <si>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</si>
  <si>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</si>
  <si>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</si>
  <si>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</si>
  <si>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</si>
  <si>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</si>
  <si>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</si>
  <si>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</si>
  <si>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</si>
  <si>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</si>
  <si>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</si>
  <si>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</si>
  <si>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</si>
  <si>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</si>
  <si>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</si>
  <si>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</si>
  <si>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</si>
  <si>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</si>
  <si>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</si>
  <si>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</si>
  <si>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</si>
  <si>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</si>
  <si>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</si>
  <si>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</si>
  <si>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</si>
  <si>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</si>
  <si>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</si>
  <si>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</si>
  <si>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</si>
  <si>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</si>
  <si>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</si>
  <si>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</si>
  <si>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</si>
  <si>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</si>
  <si>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</si>
  <si>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</si>
  <si>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</si>
  <si>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</si>
  <si>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</si>
  <si>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</si>
  <si>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</si>
  <si>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</si>
  <si>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</si>
  <si>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</si>
  <si>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</si>
  <si>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</si>
  <si>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</si>
  <si>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</si>
  <si>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</si>
  <si>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</si>
  <si>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</si>
  <si>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</si>
  <si>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</si>
  <si>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</si>
  <si>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</si>
  <si>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</si>
  <si>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</si>
  <si>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</si>
  <si>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</si>
  <si>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</si>
  <si>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</si>
  <si>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</si>
  <si>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</si>
  <si>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</si>
  <si>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</si>
  <si>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</si>
  <si>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</si>
  <si>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</si>
  <si>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</si>
  <si>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</si>
  <si>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</si>
  <si>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</si>
  <si>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</si>
  <si>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</si>
  <si>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</si>
  <si>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</si>
  <si>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</si>
  <si>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</si>
  <si>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</si>
  <si>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</si>
  <si>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</si>
  <si>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</si>
  <si>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</si>
  <si>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</si>
  <si>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</si>
  <si>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</si>
  <si>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</si>
  <si>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</si>
  <si>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</si>
  <si>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</si>
  <si>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</si>
  <si>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</si>
  <si>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</si>
  <si>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</si>
  <si>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</si>
  <si>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</si>
  <si>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</si>
  <si>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</si>
  <si>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</si>
  <si>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</si>
  <si>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</si>
  <si>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</si>
  <si>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</si>
  <si>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</si>
  <si>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</si>
  <si>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</si>
  <si>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</si>
  <si>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</si>
  <si>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</si>
  <si>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</si>
  <si>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</si>
  <si>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</si>
  <si>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</si>
  <si>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</si>
  <si>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</si>
  <si>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</si>
  <si>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</si>
  <si>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</si>
  <si>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</si>
  <si>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</si>
  <si>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</si>
  <si>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</si>
  <si>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</si>
  <si>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</si>
  <si>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</si>
  <si>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</si>
  <si>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</si>
  <si>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</si>
  <si>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</si>
  <si>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</si>
  <si>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</si>
  <si>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</si>
  <si>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</si>
  <si>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</si>
  <si>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</si>
  <si>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</si>
  <si>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</si>
  <si>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</si>
  <si>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</si>
  <si>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</si>
  <si>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</si>
  <si>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</si>
  <si>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</si>
  <si>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</si>
  <si>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</si>
  <si>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</si>
  <si>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</si>
  <si>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</si>
  <si>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</si>
  <si>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</si>
  <si>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</si>
  <si>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</si>
  <si>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</si>
  <si>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</si>
  <si>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</si>
  <si>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</si>
  <si>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</si>
  <si>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</si>
  <si>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</si>
  <si>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</si>
  <si>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</si>
  <si>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</si>
  <si>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</si>
  <si>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</si>
  <si>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</si>
  <si>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</si>
  <si>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</si>
  <si>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</si>
  <si>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</si>
  <si>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</si>
  <si>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</si>
  <si>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</si>
  <si>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</si>
  <si>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</si>
  <si>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</si>
  <si>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</si>
  <si>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</si>
  <si>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</si>
  <si>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</si>
  <si>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</si>
  <si>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</si>
  <si>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</si>
  <si>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</si>
  <si>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</si>
  <si>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</si>
  <si>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</si>
  <si>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</si>
  <si>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</si>
  <si>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</si>
  <si>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</si>
  <si>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</si>
  <si>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</si>
  <si>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</si>
  <si>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</si>
  <si>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</si>
  <si>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</si>
  <si>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</si>
  <si>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</si>
  <si>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</si>
  <si>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</si>
  <si>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</si>
  <si>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</si>
  <si>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</si>
  <si>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</si>
  <si>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</si>
  <si>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</si>
  <si>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</si>
  <si>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</si>
  <si>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</si>
  <si>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</si>
  <si>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</si>
  <si>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</si>
  <si>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</si>
  <si>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</si>
  <si>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</si>
  <si>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</si>
  <si>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</si>
  <si>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</si>
  <si>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</si>
  <si>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</si>
  <si>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</si>
  <si>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</si>
  <si>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</si>
  <si>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</si>
  <si>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</si>
  <si>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</si>
  <si>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</si>
  <si>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</si>
  <si>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</si>
  <si>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</si>
  <si>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</si>
  <si>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</si>
  <si>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</si>
  <si>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</si>
  <si>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</si>
  <si>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</si>
  <si>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</si>
  <si>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</si>
  <si>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</si>
  <si>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</si>
  <si>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</si>
  <si>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</si>
  <si>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</si>
  <si>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</si>
  <si>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</si>
  <si>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</si>
  <si>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</si>
  <si>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</si>
  <si>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</si>
  <si>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</si>
  <si>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</si>
  <si>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</si>
  <si>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</si>
  <si>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</si>
  <si>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</si>
  <si>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</si>
  <si>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</si>
  <si>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</si>
  <si>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</si>
  <si>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</si>
  <si>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</si>
  <si>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</si>
  <si>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</si>
  <si>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</si>
  <si>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</si>
  <si>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</si>
  <si>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</si>
  <si>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</si>
  <si>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</si>
  <si>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</si>
  <si>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</si>
  <si>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</si>
  <si>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</si>
  <si>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</si>
  <si>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</si>
  <si>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</si>
  <si>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</si>
  <si>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</si>
  <si>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</si>
  <si>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</si>
  <si>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</si>
  <si>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</si>
  <si>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</si>
  <si>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</si>
  <si>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</si>
  <si>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</si>
  <si>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</si>
  <si>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</si>
  <si>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</si>
  <si>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</si>
  <si>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</si>
  <si>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</si>
  <si>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</si>
  <si>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</si>
  <si>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</si>
  <si>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</si>
  <si>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</si>
  <si>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</si>
  <si>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</si>
  <si>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</si>
  <si>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</si>
  <si>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</si>
  <si>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</si>
  <si>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</si>
  <si>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</si>
  <si>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</si>
  <si>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</si>
  <si>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</si>
  <si>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</si>
  <si>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</si>
  <si>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</si>
  <si>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</si>
  <si>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</si>
  <si>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</si>
  <si>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</si>
  <si>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</si>
  <si>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</si>
  <si>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</si>
  <si>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</si>
  <si>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</si>
  <si>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</si>
  <si>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</si>
  <si>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</si>
  <si>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</si>
  <si>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</si>
  <si>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</si>
  <si>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</si>
  <si>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</si>
  <si>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</si>
  <si>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</si>
  <si>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</si>
  <si>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</si>
  <si>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</si>
  <si>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</si>
  <si>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</si>
  <si>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</si>
  <si>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</si>
  <si>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</si>
  <si>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</si>
  <si>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</si>
  <si>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</si>
  <si>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</si>
  <si>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</si>
  <si>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</si>
  <si>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</si>
  <si>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</si>
  <si>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</si>
  <si>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</si>
  <si>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</si>
  <si>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</si>
  <si>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</si>
  <si>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</si>
  <si>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</si>
  <si>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</si>
  <si>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</si>
  <si>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</si>
  <si>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</si>
  <si>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</si>
  <si>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</si>
  <si>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</si>
  <si>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</si>
  <si>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</si>
  <si>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</si>
  <si>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</si>
  <si>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</si>
  <si>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</si>
  <si>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</si>
  <si>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</si>
  <si>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</si>
  <si>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</si>
  <si>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</si>
  <si>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</si>
  <si>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</si>
  <si>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</si>
  <si>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</si>
  <si>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</si>
  <si>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</si>
  <si>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</si>
  <si>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</si>
  <si>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</si>
  <si>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</si>
  <si>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</si>
  <si>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</si>
  <si>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</si>
  <si>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</si>
  <si>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</si>
  <si>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</si>
  <si>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</si>
  <si>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</si>
  <si>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</si>
  <si>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</si>
  <si>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</si>
  <si>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</si>
  <si>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</si>
  <si>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</si>
  <si>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</si>
  <si>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</si>
  <si>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</si>
  <si>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</si>
  <si>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</si>
  <si>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</si>
  <si>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</si>
  <si>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</si>
  <si>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</si>
  <si>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</si>
  <si>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</si>
  <si>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</si>
  <si>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</si>
  <si>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</si>
  <si>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</si>
  <si>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</si>
  <si>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</si>
  <si>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</si>
  <si>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</si>
  <si>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</si>
  <si>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</si>
  <si>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</si>
  <si>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</si>
  <si>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</si>
  <si>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</si>
  <si>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</si>
  <si>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</si>
  <si>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</si>
  <si>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</si>
  <si>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</si>
  <si>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</si>
  <si>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</si>
  <si>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</si>
  <si>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</si>
  <si>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</si>
  <si>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</si>
  <si>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</si>
  <si>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</si>
  <si>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</si>
  <si>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</si>
  <si>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</si>
  <si>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</si>
  <si>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</si>
  <si>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</si>
  <si>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</si>
  <si>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</si>
  <si>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</si>
  <si>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</si>
  <si>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</si>
  <si>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</si>
  <si>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</si>
  <si>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</si>
  <si>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</si>
  <si>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</si>
  <si>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</si>
  <si>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</si>
  <si>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</si>
  <si>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</si>
  <si>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</si>
  <si>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</si>
  <si>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</si>
  <si>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</si>
  <si>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</si>
  <si>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</si>
  <si>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</si>
  <si>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</si>
  <si>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</si>
  <si>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</si>
  <si>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</si>
  <si>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</si>
  <si>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</si>
  <si>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</si>
  <si>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</si>
  <si>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</si>
  <si>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</si>
  <si>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</si>
  <si>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</si>
  <si>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</si>
  <si>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</si>
  <si>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</si>
  <si>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</si>
  <si>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</si>
  <si>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</si>
  <si>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</si>
  <si>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</si>
  <si>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</si>
  <si>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</si>
  <si>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</si>
  <si>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</si>
  <si>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</si>
  <si>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</si>
  <si>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</si>
  <si>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</si>
  <si>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</si>
  <si>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</si>
  <si>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</si>
  <si>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</si>
  <si>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</si>
  <si>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</si>
  <si>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</si>
  <si>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</si>
  <si>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</si>
  <si>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</si>
  <si>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</si>
  <si>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</si>
  <si>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</si>
  <si>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</si>
  <si>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</si>
  <si>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</si>
  <si>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</si>
  <si>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</si>
  <si>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</si>
  <si>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</si>
  <si>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</si>
  <si>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</si>
  <si>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</si>
  <si>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</si>
  <si>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</si>
  <si>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</si>
  <si>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</si>
  <si>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</si>
  <si>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</si>
  <si>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</si>
  <si>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</si>
  <si>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</si>
  <si>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</si>
  <si>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</si>
  <si>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</si>
  <si>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</si>
  <si>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</si>
  <si>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</si>
  <si>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</si>
  <si>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</si>
  <si>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</si>
  <si>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</si>
  <si>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</si>
  <si>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</si>
  <si>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</si>
  <si>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</si>
  <si>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</si>
  <si>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</si>
  <si>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</si>
  <si>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</si>
  <si>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</si>
  <si>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</si>
  <si>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</si>
  <si>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</si>
  <si>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</si>
  <si>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</si>
  <si>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</si>
  <si>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</si>
  <si>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</si>
  <si>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</si>
  <si>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</si>
  <si>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</si>
  <si>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</si>
  <si>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</si>
  <si>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</si>
  <si>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</si>
  <si>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</si>
  <si>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</si>
  <si>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</si>
  <si>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</si>
  <si>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</si>
  <si>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</si>
  <si>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</si>
  <si>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</si>
  <si>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</si>
  <si>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</si>
  <si>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</si>
  <si>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</si>
  <si>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</si>
  <si>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</si>
  <si>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</si>
  <si>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</si>
  <si>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</si>
  <si>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</si>
  <si>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</si>
  <si>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</si>
  <si>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</si>
  <si>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</si>
  <si>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</si>
  <si>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</si>
  <si>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</si>
  <si>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</si>
  <si>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</si>
  <si>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</si>
  <si>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</si>
  <si>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</si>
  <si>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</si>
  <si>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</si>
  <si>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</si>
  <si>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</si>
  <si>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</si>
  <si>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</si>
  <si>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</si>
  <si>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</si>
  <si>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</si>
  <si>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</si>
  <si>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</si>
  <si>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</si>
  <si>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</si>
  <si>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</si>
  <si>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</si>
  <si>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</si>
  <si>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</si>
  <si>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</si>
  <si>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</si>
  <si>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</si>
  <si>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</si>
  <si>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</si>
  <si>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</si>
  <si>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</si>
  <si>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</si>
  <si>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</si>
  <si>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</si>
  <si>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</si>
  <si>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</si>
  <si>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</si>
  <si>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</si>
  <si>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</si>
  <si>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</si>
  <si>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</si>
  <si>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</si>
  <si>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</si>
  <si>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</si>
  <si>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</si>
  <si>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</si>
  <si>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</si>
  <si>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</si>
  <si>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</si>
  <si>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</si>
  <si>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</si>
  <si>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</si>
  <si>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</si>
  <si>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</si>
  <si>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</si>
  <si>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</si>
  <si>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</si>
  <si>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</si>
  <si>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</si>
  <si>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</si>
  <si>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</si>
  <si>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</si>
  <si>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</si>
  <si>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</si>
  <si>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</si>
  <si>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</si>
  <si>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</si>
  <si>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</si>
  <si>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</si>
  <si>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</si>
  <si>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</si>
  <si>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</si>
  <si>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</si>
  <si>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</si>
  <si>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</si>
  <si>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</si>
  <si>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</si>
  <si>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</si>
  <si>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</si>
  <si>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</si>
  <si>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</si>
  <si>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</si>
  <si>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</si>
  <si>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</si>
  <si>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</si>
  <si>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</si>
  <si>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</si>
  <si>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</si>
  <si>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</si>
  <si>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</si>
  <si>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</si>
  <si>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</si>
  <si>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</si>
  <si>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</si>
  <si>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</si>
  <si>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</si>
  <si>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</si>
  <si>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</si>
  <si>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</si>
  <si>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</si>
  <si>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</si>
  <si>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</si>
  <si>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</si>
  <si>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</si>
  <si>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</si>
  <si>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</si>
  <si>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</si>
  <si>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</si>
  <si>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</si>
  <si>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</si>
  <si>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</si>
  <si>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</si>
  <si>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</si>
  <si>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</si>
  <si>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</si>
  <si>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</si>
  <si>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</si>
  <si>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</si>
  <si>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</si>
  <si>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</si>
  <si>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</si>
  <si>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</si>
  <si>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</si>
  <si>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</si>
  <si>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</si>
  <si>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</si>
  <si>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</si>
  <si>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</si>
  <si>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</si>
  <si>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</si>
  <si>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</si>
  <si>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</si>
  <si>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</si>
  <si>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</si>
  <si>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</si>
  <si>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</si>
  <si>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</si>
  <si>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</si>
  <si>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</si>
  <si>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</si>
  <si>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</si>
  <si>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</si>
  <si>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</si>
  <si>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</si>
  <si>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</si>
  <si>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</si>
  <si>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</si>
  <si>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</si>
  <si>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</si>
  <si>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</si>
  <si>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</si>
  <si>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</si>
  <si>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</si>
  <si>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</si>
  <si>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</si>
  <si>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</si>
  <si>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</si>
  <si>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</si>
  <si>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</si>
  <si>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</si>
  <si>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</si>
  <si>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</si>
  <si>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</si>
  <si>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</si>
  <si>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</si>
  <si>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</si>
  <si>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</si>
  <si>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</si>
  <si>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</si>
  <si>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</si>
  <si>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</si>
  <si>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</si>
  <si>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</si>
  <si>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</si>
  <si>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</si>
  <si>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</si>
  <si>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</si>
  <si>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</si>
  <si>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</si>
  <si>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</si>
  <si>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</si>
  <si>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</si>
  <si>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</si>
  <si>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</si>
  <si>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</si>
  <si>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</si>
  <si>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</si>
  <si>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</si>
  <si>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</si>
  <si>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</si>
  <si>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</si>
  <si>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</si>
  <si>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</si>
  <si>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</si>
  <si>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</si>
  <si>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</si>
  <si>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</si>
  <si>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</si>
  <si>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</si>
  <si>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</si>
  <si>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</si>
  <si>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</si>
  <si>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</si>
  <si>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</si>
  <si>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</si>
  <si>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</si>
  <si>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</si>
  <si>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</si>
  <si>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</si>
  <si>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</si>
  <si>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</si>
  <si>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</si>
  <si>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</si>
  <si>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</si>
  <si>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</si>
  <si>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</si>
  <si>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</si>
  <si>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</si>
  <si>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</si>
  <si>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</si>
  <si>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</si>
  <si>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</si>
  <si>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</si>
  <si>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</si>
  <si>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</si>
  <si>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</si>
  <si>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</si>
  <si>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</si>
  <si>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</si>
  <si>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</si>
  <si>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</si>
  <si>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</si>
  <si>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</si>
  <si>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</si>
  <si>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</si>
  <si>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</si>
  <si>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</si>
  <si>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</si>
  <si>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</si>
  <si>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</si>
  <si>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</si>
  <si>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</si>
  <si>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</si>
  <si>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</si>
  <si>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</si>
  <si>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</si>
  <si>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</si>
  <si>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</si>
  <si>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</si>
  <si>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</si>
  <si>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</si>
  <si>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</si>
  <si>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</si>
  <si>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</si>
  <si>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</si>
  <si>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</si>
  <si>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</si>
  <si>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</si>
  <si>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</si>
  <si>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</si>
  <si>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</si>
  <si>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</si>
  <si>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</si>
  <si>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</si>
  <si>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</si>
  <si>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</si>
  <si>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</si>
  <si>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</si>
  <si>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</si>
  <si>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</si>
  <si>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</si>
  <si>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</si>
  <si>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</si>
  <si>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</si>
  <si>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</si>
  <si>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</si>
  <si>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</si>
  <si>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</si>
  <si>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</si>
  <si>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</si>
  <si>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</si>
  <si>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</si>
  <si>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</si>
  <si>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</si>
  <si>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</si>
  <si>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</si>
  <si>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</si>
  <si>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</si>
  <si>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</si>
  <si>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</si>
  <si>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</si>
  <si>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</si>
  <si>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</si>
  <si>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</si>
  <si>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</si>
  <si>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</si>
  <si>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</si>
  <si>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</si>
  <si>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</si>
  <si>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</si>
  <si>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</si>
  <si>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</si>
  <si>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</si>
  <si>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</si>
  <si>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</si>
  <si>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</si>
  <si>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</si>
  <si>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</si>
  <si>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</si>
  <si>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</si>
  <si>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</si>
  <si>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</si>
  <si>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</si>
  <si>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</si>
  <si>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</si>
  <si>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</si>
  <si>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</si>
  <si>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</si>
  <si>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</si>
  <si>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</si>
  <si>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</si>
  <si>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</si>
  <si>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</si>
  <si>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</si>
  <si>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</si>
  <si>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</si>
  <si>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</si>
  <si>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</si>
  <si>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</si>
  <si>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</si>
  <si>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</si>
  <si>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</si>
  <si>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</si>
  <si>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</si>
  <si>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</si>
  <si>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</si>
  <si>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</si>
  <si>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</si>
  <si>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</si>
  <si>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</si>
  <si>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</si>
  <si>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</si>
  <si>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</si>
  <si>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</si>
  <si>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</si>
  <si>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</si>
  <si>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</si>
  <si>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</si>
  <si>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</si>
  <si>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</si>
  <si>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</si>
  <si>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</si>
  <si>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</si>
  <si>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</si>
  <si>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</si>
  <si>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</si>
  <si>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</si>
  <si>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</si>
  <si>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</si>
  <si>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</si>
  <si>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</si>
  <si>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</si>
  <si>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</si>
  <si>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</si>
  <si>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</si>
  <si>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</si>
  <si>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</si>
  <si>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</si>
  <si>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</si>
  <si>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</si>
  <si>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</si>
  <si>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</si>
  <si>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</si>
  <si>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</si>
  <si>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</si>
  <si>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</si>
  <si>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</si>
  <si>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</si>
  <si>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</si>
  <si>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</si>
  <si>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</si>
  <si>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</si>
  <si>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</si>
  <si>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</si>
  <si>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</si>
  <si>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</si>
  <si>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</si>
  <si>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</si>
  <si>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</si>
  <si>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</si>
  <si>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</si>
  <si>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</si>
  <si>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</si>
  <si>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</si>
  <si>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</si>
  <si>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</si>
  <si>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</si>
  <si>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</si>
  <si>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</si>
  <si>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</si>
  <si>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</si>
  <si>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</si>
  <si>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</si>
  <si>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</si>
  <si>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</si>
  <si>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</si>
  <si>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</si>
  <si>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</si>
  <si>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</si>
  <si>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</si>
  <si>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</si>
  <si>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</si>
  <si>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</si>
  <si>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</si>
  <si>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</si>
  <si>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</si>
  <si>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</si>
  <si>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</si>
  <si>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</si>
  <si>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</si>
  <si>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</si>
  <si>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</si>
  <si>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</si>
  <si>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</si>
  <si>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</si>
  <si>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</si>
  <si>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</si>
  <si>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</si>
  <si>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</si>
  <si>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</si>
  <si>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</si>
  <si>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</si>
  <si>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</si>
  <si>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</si>
  <si>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</si>
  <si>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</si>
  <si>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</si>
  <si>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</si>
  <si>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</si>
  <si>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</si>
  <si>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</si>
  <si>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</si>
  <si>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</si>
  <si>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</si>
  <si>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</si>
  <si>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</si>
  <si>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</si>
  <si>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</si>
  <si>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</si>
  <si>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</si>
  <si>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</si>
  <si>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</si>
  <si>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</si>
  <si>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</si>
  <si>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</si>
  <si>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</si>
  <si>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</si>
  <si>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</si>
  <si>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</si>
  <si>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</si>
  <si>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</si>
  <si>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</si>
  <si>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</si>
  <si>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</si>
  <si>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</si>
  <si>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</si>
  <si>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</si>
  <si>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</si>
  <si>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</si>
  <si>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</si>
  <si>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</si>
  <si>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</si>
  <si>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</si>
  <si>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</si>
  <si>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</si>
  <si>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</si>
  <si>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</si>
  <si>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</si>
  <si>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</si>
  <si>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</si>
  <si>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</si>
  <si>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</si>
  <si>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</si>
  <si>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</si>
  <si>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</si>
  <si>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</si>
  <si>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</si>
  <si>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</si>
  <si>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</si>
  <si>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</si>
  <si>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</si>
  <si>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</si>
  <si>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</si>
  <si>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</si>
  <si>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</si>
  <si>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</si>
  <si>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</si>
  <si>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</si>
  <si>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</si>
  <si>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</si>
  <si>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</si>
  <si>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</si>
  <si>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</si>
  <si>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</si>
  <si>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</si>
  <si>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</si>
  <si>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</si>
  <si>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</si>
  <si>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</si>
  <si>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</si>
  <si>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</si>
  <si>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</si>
  <si>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</si>
  <si>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</si>
  <si>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</si>
  <si>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</si>
  <si>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</si>
  <si>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</si>
  <si>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</si>
  <si>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</si>
  <si>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</si>
  <si>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</si>
  <si>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</si>
  <si>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</si>
  <si>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</si>
  <si>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</si>
  <si>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</si>
  <si>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</si>
  <si>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</si>
  <si>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</si>
  <si>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</si>
  <si>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</si>
  <si>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</si>
  <si>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</si>
  <si>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</si>
  <si>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</si>
  <si>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</si>
  <si>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</si>
  <si>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</si>
  <si>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</si>
  <si>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</si>
  <si>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</si>
  <si>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</si>
  <si>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</si>
  <si>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</si>
  <si>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</si>
  <si>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</si>
  <si>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</si>
  <si>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</si>
  <si>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</si>
  <si>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</si>
  <si>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</si>
  <si>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</si>
  <si>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</si>
  <si>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</si>
  <si>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</si>
  <si>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</si>
  <si>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</si>
  <si>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</si>
  <si>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</si>
  <si>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</si>
  <si>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</si>
  <si>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</si>
  <si>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</si>
  <si>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</si>
  <si>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</si>
  <si>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</si>
  <si>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</si>
  <si>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</si>
  <si>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</si>
  <si>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</si>
  <si>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</si>
  <si>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</si>
  <si>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</si>
  <si>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</si>
  <si>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</si>
  <si>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</si>
  <si>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</si>
  <si>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</si>
  <si>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</si>
  <si>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</si>
  <si>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</si>
  <si>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</si>
  <si>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</si>
  <si>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</si>
  <si>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</si>
  <si>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</si>
  <si>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</si>
  <si>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</si>
  <si>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</si>
  <si>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</si>
  <si>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</si>
  <si>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</si>
  <si>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</si>
  <si>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</si>
  <si>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</si>
  <si>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</si>
  <si>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</si>
  <si>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</si>
  <si>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</si>
  <si>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</si>
  <si>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</si>
  <si>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</si>
  <si>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</si>
  <si>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</si>
  <si>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</si>
  <si>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</si>
  <si>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</si>
  <si>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</si>
  <si>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</si>
  <si>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</si>
  <si>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</si>
  <si>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</si>
  <si>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</si>
  <si>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</si>
  <si>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</si>
  <si>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</si>
  <si>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</si>
  <si>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</si>
  <si>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</si>
  <si>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</si>
  <si>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</si>
  <si>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</si>
  <si>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</si>
  <si>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</si>
  <si>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</si>
  <si>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</si>
  <si>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</si>
  <si>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</si>
  <si>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</si>
  <si>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</si>
  <si>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</si>
  <si>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</si>
  <si>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</si>
  <si>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</si>
  <si>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</si>
  <si>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</si>
  <si>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</si>
  <si>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</si>
  <si>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</si>
  <si>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</si>
  <si>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</si>
  <si>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</si>
  <si>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</si>
  <si>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</si>
  <si>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</si>
  <si>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</si>
  <si>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</si>
  <si>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</si>
  <si>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</si>
  <si>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</si>
  <si>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</si>
  <si>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</si>
  <si>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</si>
  <si>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</si>
  <si>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</si>
  <si>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</si>
  <si>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</si>
  <si>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</si>
  <si>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</si>
  <si>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</si>
  <si>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</si>
  <si>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</si>
  <si>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</si>
  <si>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</si>
  <si>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</si>
  <si>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</si>
  <si>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</si>
  <si>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</si>
  <si>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</si>
  <si>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</si>
  <si>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</si>
  <si>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</si>
  <si>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</si>
  <si>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</si>
  <si>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</si>
  <si>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</si>
  <si>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</si>
  <si>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</si>
  <si>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</si>
  <si>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</si>
  <si>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</si>
  <si>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</si>
  <si>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</si>
  <si>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</si>
  <si>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</si>
  <si>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</si>
  <si>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</si>
  <si>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</si>
  <si>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</si>
  <si>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</si>
  <si>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</si>
  <si>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</si>
  <si>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</si>
  <si>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</si>
  <si>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</si>
  <si>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</si>
  <si>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</si>
  <si>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</si>
  <si>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</si>
  <si>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</si>
  <si>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</si>
  <si>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</si>
  <si>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</si>
  <si>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</si>
  <si>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</si>
  <si>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</si>
  <si>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</si>
  <si>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</si>
  <si>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</si>
  <si>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</si>
  <si>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</si>
  <si>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</si>
  <si>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</si>
  <si>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</si>
  <si>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</si>
  <si>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</si>
  <si>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</si>
  <si>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</si>
  <si>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</si>
  <si>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</si>
  <si>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</si>
  <si>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</si>
  <si>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</si>
  <si>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</si>
  <si>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</si>
  <si>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</si>
  <si>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</si>
  <si>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</si>
  <si>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</si>
  <si>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</si>
  <si>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</si>
  <si>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</si>
  <si>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</si>
  <si>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</si>
  <si>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</si>
  <si>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</si>
  <si>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</si>
  <si>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</si>
  <si>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</si>
  <si>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</si>
  <si>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</si>
  <si>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</si>
  <si>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</si>
  <si>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</si>
  <si>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</si>
  <si>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</si>
  <si>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</si>
  <si>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</si>
  <si>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</si>
  <si>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</si>
  <si>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</si>
  <si>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</si>
  <si>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</si>
  <si>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</si>
  <si>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</si>
  <si>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</si>
  <si>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</si>
  <si>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</si>
  <si>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</si>
  <si>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</si>
  <si>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</si>
  <si>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</si>
  <si>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</si>
  <si>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</si>
  <si>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</si>
  <si>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</si>
  <si>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</si>
  <si>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</si>
  <si>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</si>
  <si>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</si>
  <si>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</si>
  <si>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</si>
  <si>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</si>
  <si>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</si>
  <si>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</si>
  <si>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</si>
  <si>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</si>
  <si>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</si>
  <si>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</si>
  <si>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</si>
  <si>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</si>
  <si>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</si>
  <si>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</si>
  <si>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</si>
  <si>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</si>
  <si>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</si>
  <si>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</si>
  <si>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</si>
  <si>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</si>
  <si>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</si>
  <si>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</si>
  <si>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</si>
  <si>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</si>
  <si>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</si>
  <si>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</si>
  <si>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</si>
  <si>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</si>
  <si>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</si>
  <si>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</si>
  <si>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</si>
  <si>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</si>
  <si>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</si>
  <si>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</si>
  <si>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</si>
  <si>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</si>
  <si>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</si>
  <si>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</si>
  <si>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</si>
  <si>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</si>
  <si>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</si>
  <si>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</si>
  <si>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</si>
  <si>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</si>
  <si>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</si>
  <si>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</si>
  <si>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</si>
  <si>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</si>
  <si>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</si>
  <si>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</si>
  <si>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</si>
  <si>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</si>
  <si>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</si>
  <si>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</si>
  <si>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</si>
  <si>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</si>
  <si>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</si>
  <si>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</si>
  <si>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</si>
  <si>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</si>
  <si>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</si>
  <si>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</si>
  <si>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</si>
  <si>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</si>
  <si>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</si>
  <si>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</si>
  <si>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</si>
  <si>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</si>
  <si>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</si>
  <si>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</si>
  <si>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</si>
  <si>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</si>
  <si>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</si>
  <si>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</si>
  <si>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</si>
  <si>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</si>
  <si>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</si>
  <si>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</si>
  <si>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</si>
  <si>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</si>
  <si>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</si>
  <si>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</si>
  <si>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</si>
  <si>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</si>
  <si>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</si>
  <si>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</si>
  <si>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</si>
  <si>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</si>
  <si>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</si>
  <si>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</si>
  <si>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</si>
  <si>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</si>
  <si>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</si>
  <si>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</si>
  <si>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</si>
  <si>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</si>
  <si>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</si>
  <si>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</si>
  <si>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</si>
  <si>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</si>
  <si>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</si>
  <si>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</si>
  <si>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</si>
  <si>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</si>
  <si>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</si>
  <si>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</si>
  <si>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</si>
  <si>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</si>
  <si>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</si>
  <si>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</si>
  <si>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</si>
  <si>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</si>
  <si>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</si>
  <si>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</si>
  <si>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</si>
  <si>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</si>
  <si>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</si>
  <si>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</si>
  <si>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</si>
  <si>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</si>
  <si>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</si>
  <si>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</si>
  <si>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</si>
  <si>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</si>
  <si>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</si>
  <si>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</si>
  <si>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</si>
  <si>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</si>
  <si>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</si>
  <si>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</si>
  <si>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</si>
  <si>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</si>
  <si>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</si>
  <si>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</si>
  <si>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</si>
  <si>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</si>
  <si>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</si>
  <si>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</si>
  <si>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</si>
  <si>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</si>
  <si>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</si>
  <si>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</si>
  <si>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</si>
  <si>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</si>
  <si>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</si>
  <si>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</si>
  <si>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</si>
  <si>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</si>
  <si>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</si>
  <si>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</si>
  <si>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</si>
  <si>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</si>
  <si>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</si>
  <si>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</si>
  <si>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</si>
  <si>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</si>
  <si>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</si>
  <si>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</si>
  <si>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</si>
  <si>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</si>
  <si>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</si>
  <si>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</si>
  <si>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</si>
  <si>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</si>
  <si>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</si>
  <si>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</si>
  <si>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</si>
  <si>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</si>
  <si>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</si>
  <si>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</si>
  <si>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</si>
  <si>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</si>
  <si>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</si>
  <si>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</si>
  <si>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</si>
  <si>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</si>
  <si>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</si>
  <si>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</si>
  <si>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</si>
  <si>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</si>
  <si>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</si>
  <si>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</si>
  <si>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</si>
  <si>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</si>
  <si>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</si>
  <si>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</si>
  <si>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</si>
  <si>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</si>
  <si>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</si>
  <si>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</si>
  <si>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</si>
  <si>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</si>
  <si>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</si>
  <si>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</si>
  <si>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</si>
  <si>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</si>
  <si>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</si>
  <si>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</si>
  <si>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</si>
  <si>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</si>
  <si>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</si>
  <si>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</si>
  <si>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</si>
  <si>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</si>
  <si>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</si>
  <si>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</si>
  <si>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</si>
  <si>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</si>
  <si>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</si>
  <si>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</si>
  <si>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</si>
  <si>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</si>
  <si>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</si>
  <si>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</si>
  <si>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</si>
  <si>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</si>
  <si>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</si>
  <si>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</si>
  <si>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</si>
  <si>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</si>
  <si>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</si>
  <si>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</si>
  <si>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</si>
  <si>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</si>
  <si>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</si>
  <si>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</si>
  <si>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</si>
  <si>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</si>
  <si>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</si>
  <si>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</si>
  <si>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</si>
  <si>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</si>
  <si>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</si>
  <si>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</si>
  <si>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</si>
  <si>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</si>
  <si>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</si>
  <si>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</si>
  <si>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</si>
  <si>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</si>
  <si>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</si>
  <si>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</si>
  <si>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</si>
  <si>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</si>
  <si>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</si>
  <si>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</si>
  <si>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</si>
  <si>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</si>
  <si>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</si>
  <si>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</si>
  <si>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</si>
  <si>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</si>
  <si>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</si>
  <si>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</si>
  <si>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</si>
  <si>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</si>
  <si>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</si>
  <si>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</si>
  <si>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</si>
  <si>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</si>
  <si>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</si>
  <si>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</si>
  <si>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</si>
  <si>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</si>
  <si>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</si>
  <si>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</si>
  <si>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</si>
  <si>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</si>
  <si>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</si>
  <si>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</si>
  <si>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</si>
  <si>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</si>
  <si>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</si>
  <si>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</si>
  <si>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</si>
  <si>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</si>
  <si>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</si>
  <si>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</si>
  <si>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</si>
  <si>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</si>
  <si>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</si>
  <si>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</si>
  <si>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</si>
  <si>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</si>
  <si>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</si>
  <si>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</si>
  <si>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</si>
  <si>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</si>
  <si>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</si>
  <si>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</si>
  <si>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</si>
  <si>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</si>
  <si>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</si>
  <si>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</si>
  <si>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</si>
  <si>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</si>
  <si>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</si>
  <si>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</si>
  <si>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</si>
  <si>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</si>
  <si>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</si>
  <si>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</si>
  <si>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</si>
  <si>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</si>
  <si>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</si>
  <si>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</si>
  <si>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</si>
  <si>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</si>
  <si>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</si>
  <si>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</si>
  <si>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</si>
  <si>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</si>
  <si>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</si>
  <si>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</si>
  <si>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</si>
  <si>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</si>
  <si>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</si>
  <si>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</si>
  <si>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</si>
  <si>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</si>
  <si>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</si>
  <si>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</si>
  <si>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</si>
  <si>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</si>
  <si>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</si>
  <si>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</si>
  <si>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</si>
  <si>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</si>
  <si>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</si>
  <si>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</si>
  <si>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</si>
  <si>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</si>
  <si>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</si>
  <si>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</si>
  <si>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</si>
  <si>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</si>
  <si>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</si>
  <si>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</si>
  <si>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</si>
  <si>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</si>
  <si>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</si>
  <si>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</si>
  <si>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</si>
  <si>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</si>
  <si>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</si>
  <si>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</si>
  <si>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</si>
  <si>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</si>
  <si>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</si>
  <si>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</si>
  <si>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</si>
  <si>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</si>
  <si>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</si>
  <si>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</si>
  <si>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</si>
  <si>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</si>
  <si>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</si>
  <si>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</si>
  <si>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</si>
  <si>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</si>
  <si>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</si>
  <si>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</si>
  <si>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</si>
  <si>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</si>
  <si>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</si>
  <si>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</si>
  <si>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</si>
  <si>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</si>
  <si>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</si>
  <si>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</si>
  <si>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</si>
  <si>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</si>
  <si>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</si>
  <si>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</si>
  <si>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</si>
  <si>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</si>
  <si>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</si>
  <si>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</si>
  <si>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</si>
  <si>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</si>
  <si>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</si>
  <si>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</si>
  <si>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</si>
  <si>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</si>
  <si>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</si>
  <si>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</si>
  <si>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</si>
  <si>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</si>
  <si>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</si>
  <si>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</si>
  <si>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</si>
  <si>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</si>
  <si>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</si>
  <si>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</si>
  <si>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</si>
  <si>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</si>
  <si>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</si>
  <si>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</si>
  <si>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</si>
  <si>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</si>
  <si>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</si>
  <si>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</si>
  <si>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</si>
  <si>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</si>
  <si>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</si>
  <si>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</si>
  <si>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</si>
  <si>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</si>
  <si>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</si>
  <si>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</si>
  <si>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</si>
  <si>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</si>
  <si>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</si>
  <si>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</si>
  <si>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</si>
  <si>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</si>
  <si>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</si>
  <si>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</si>
  <si>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</si>
  <si>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</si>
  <si>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</si>
  <si>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</si>
  <si>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</si>
  <si>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</si>
  <si>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</si>
  <si>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</si>
  <si>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</si>
  <si>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</si>
  <si>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</si>
  <si>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</si>
  <si>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</si>
  <si>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</si>
  <si>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</si>
  <si>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</si>
  <si>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</si>
  <si>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</si>
  <si>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</si>
  <si>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</si>
  <si>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</si>
  <si>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</si>
  <si>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</si>
  <si>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</si>
  <si>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</si>
  <si>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</si>
  <si>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</si>
  <si>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</si>
  <si>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</si>
  <si>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</si>
  <si>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</si>
  <si>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</si>
  <si>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</si>
  <si>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</si>
  <si>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</si>
  <si>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</si>
  <si>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</si>
  <si>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</si>
  <si>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</si>
  <si>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</si>
  <si>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</si>
  <si>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</si>
  <si>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</si>
  <si>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</si>
  <si>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</si>
  <si>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</si>
  <si>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</si>
  <si>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</si>
  <si>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</si>
  <si>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</si>
  <si>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</si>
  <si>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</si>
  <si>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</si>
  <si>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</si>
  <si>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</si>
  <si>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</si>
  <si>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</si>
  <si>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</si>
  <si>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</si>
  <si>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</si>
  <si>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</si>
  <si>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</si>
  <si>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</si>
  <si>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</si>
  <si>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</si>
  <si>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</si>
  <si>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</si>
  <si>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</si>
  <si>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</si>
  <si>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</si>
  <si>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</si>
  <si>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</si>
  <si>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</si>
  <si>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</si>
  <si>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</si>
  <si>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</si>
  <si>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</si>
  <si>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</si>
  <si>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</si>
  <si>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</si>
  <si>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</si>
  <si>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</si>
  <si>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</si>
  <si>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</si>
  <si>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</si>
  <si>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</si>
  <si>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</si>
  <si>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</si>
  <si>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</si>
  <si>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</si>
  <si>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</si>
  <si>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</si>
  <si>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</si>
  <si>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</si>
  <si>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</si>
  <si>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</si>
  <si>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</si>
  <si>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</si>
  <si>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</si>
  <si>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</si>
  <si>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</si>
  <si>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</si>
  <si>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</si>
  <si>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</si>
  <si>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</si>
  <si>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</si>
  <si>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</si>
  <si>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</si>
  <si>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</si>
  <si>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</si>
  <si>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</si>
  <si>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</si>
  <si>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</si>
  <si>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</si>
  <si>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</si>
  <si>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</si>
  <si>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</si>
  <si>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</si>
  <si>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</si>
  <si>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</si>
  <si>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</si>
  <si>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</si>
  <si>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</si>
  <si>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</si>
  <si>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</si>
  <si>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</si>
  <si>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</si>
  <si>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</si>
  <si>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</si>
  <si>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</si>
  <si>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</si>
  <si>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</si>
  <si>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</si>
  <si>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</si>
  <si>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</si>
  <si>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</si>
  <si>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</si>
  <si>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</si>
  <si>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</si>
  <si>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</si>
  <si>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</si>
  <si>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</si>
  <si>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</si>
  <si>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</si>
  <si>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</si>
  <si>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</si>
  <si>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</si>
  <si>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</si>
  <si>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</si>
  <si>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</si>
  <si>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</si>
  <si>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</si>
  <si>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</si>
  <si>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</si>
  <si>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</si>
  <si>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</si>
  <si>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</si>
  <si>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</si>
  <si>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</si>
  <si>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</si>
  <si>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</si>
  <si>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</si>
  <si>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</si>
  <si>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</si>
  <si>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</si>
  <si>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</si>
  <si>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</si>
  <si>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</si>
  <si>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</si>
  <si>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</si>
  <si>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</si>
  <si>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</si>
  <si>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</si>
  <si>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</si>
  <si>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</si>
  <si>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</si>
  <si>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</si>
  <si>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</si>
  <si>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</si>
  <si>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</si>
  <si>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</si>
  <si>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</si>
  <si>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</si>
  <si>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</si>
  <si>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</si>
  <si>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</si>
  <si>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</si>
  <si>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</si>
  <si>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</si>
  <si>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</si>
  <si>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</si>
  <si>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</si>
  <si>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</si>
  <si>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</si>
  <si>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</si>
  <si>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</si>
  <si>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</si>
  <si>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</si>
  <si>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</si>
  <si>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</si>
  <si>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</si>
  <si>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r>
      <t>3.2</t>
    </r>
    <r>
      <rPr>
        <sz val="10"/>
        <color indexed="8"/>
        <rFont val="宋体"/>
        <family val="3"/>
        <charset val="134"/>
      </rPr>
      <t>亿</t>
    </r>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</si>
  <si>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</si>
  <si>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</si>
  <si>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</si>
  <si>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</si>
  <si>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</si>
  <si>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</si>
  <si>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</si>
  <si>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</si>
  <si>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</si>
  <si>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</si>
  <si>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</si>
  <si>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</si>
  <si>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</si>
  <si>
    <r>
      <rPr>
        <sz val="10"/>
        <color rgb="FFFF0000"/>
        <rFont val="宋体"/>
        <family val="3"/>
        <charset val="134"/>
      </rPr>
      <t>按房产原值计税</t>
    </r>
  </si>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</sst>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0" fontId="50" fillId="7" borderId="0" xfId="0" applyFont="1" applyFill="1" applyAlignment="1" applyProtection="1">
      <alignment horizontal="left"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50" fillId="19" borderId="0" xfId="0" applyFont="1" applyFill="1" applyProtection="1">
      <alignment vertical="center"/>
      <protection locked="0"/>
    </xf>
    <xf numFmtId="0" fontId="148" fillId="5" borderId="24" xfId="1" applyFont="1" applyFill="1" applyBorder="1" applyAlignment="1" applyProtection="1">
      <alignment horizontal="left" vertical="center"/>
      <protection locked="0"/>
    </xf>
    <xf numFmtId="177" fontId="120" fillId="5" borderId="1" xfId="1" applyNumberFormat="1" applyFont="1" applyFill="1" applyBorder="1" applyAlignment="1" applyProtection="1">
      <alignment horizontal="center"/>
    </xf>
    <xf numFmtId="177" fontId="148" fillId="5" borderId="1" xfId="1" applyNumberFormat="1" applyFont="1" applyFill="1" applyBorder="1" applyAlignment="1" applyProtection="1">
      <alignment horizontal="center"/>
    </xf>
    <xf numFmtId="0" fontId="120" fillId="2" borderId="1" xfId="0" applyFont="1" applyFill="1" applyBorder="1" applyAlignment="1" applyProtection="1">
      <alignment horizontal="left" vertical="center" wrapText="1"/>
      <protection locked="0"/>
    </xf>
    <xf numFmtId="0" fontId="106" fillId="5" borderId="54"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30034</v>
      </c>
    </row>
    <row r="21" spans="1:2" s="1596" customFormat="1">
      <c r="A21" s="1594" t="s">
        <v>1235</v>
      </c>
      <c r="B21" s="1595">
        <f ca="1">'预评函-2'!D7</f>
        <v>36755</v>
      </c>
    </row>
    <row r="22" spans="1:2" s="1596" customFormat="1">
      <c r="A22" s="1594" t="s">
        <v>1236</v>
      </c>
      <c r="B22" s="1595" t="str">
        <f ca="1">'预评函-2'!D6</f>
        <v>叁亿零叁拾肆万元整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30034</v>
      </c>
    </row>
    <row r="31" spans="1:2" s="1596" customFormat="1">
      <c r="A31" s="1594" t="s">
        <v>1274</v>
      </c>
      <c r="B31" s="1595">
        <f ca="1">'预评函-2'!D15</f>
        <v>36755</v>
      </c>
    </row>
    <row r="32" spans="1:2" s="1596" customFormat="1">
      <c r="A32" s="1594" t="s">
        <v>1241</v>
      </c>
      <c r="B32" s="1595" t="str">
        <f ca="1">'预评函-2'!D14</f>
        <v>叁亿零叁拾肆万元整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22997</v>
      </c>
    </row>
    <row r="39" spans="1:2" s="1596" customFormat="1">
      <c r="A39" s="1594" t="s">
        <v>1243</v>
      </c>
      <c r="B39" s="1595">
        <f ca="1">'预评函-2'!D21</f>
        <v>28143</v>
      </c>
    </row>
    <row r="40" spans="1:2" s="1596" customFormat="1">
      <c r="A40" s="1594" t="s">
        <v>1244</v>
      </c>
      <c r="B40" s="1595" t="str">
        <f ca="1">'预评函-2'!D20</f>
        <v>贰亿贰仟玖佰玖拾柒万元整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25259</v>
      </c>
    </row>
    <row r="48" spans="1:2" s="1596" customFormat="1">
      <c r="A48" s="1594" t="s">
        <v>1247</v>
      </c>
      <c r="B48" s="1595">
        <f ca="1">'预评函-3'!E4</f>
        <v>30911</v>
      </c>
    </row>
    <row r="49" spans="1:2" s="1596" customFormat="1">
      <c r="A49" s="1594" t="s">
        <v>1248</v>
      </c>
      <c r="B49" s="1595" t="str">
        <f ca="1">'预评函-3'!D5</f>
        <v>贰亿伍仟贰佰伍拾玖万元整</v>
      </c>
    </row>
    <row r="50" spans="1:2" s="1596" customFormat="1">
      <c r="A50" s="1594" t="s">
        <v>1272</v>
      </c>
      <c r="B50" s="1595" t="str">
        <f>'预评函-3'!F2</f>
        <v>建筑物价值</v>
      </c>
    </row>
    <row r="51" spans="1:2" s="1596" customFormat="1">
      <c r="A51" s="1594" t="s">
        <v>1249</v>
      </c>
      <c r="B51" s="1595">
        <f ca="1">'预评函-3'!F4</f>
        <v>4775</v>
      </c>
    </row>
    <row r="52" spans="1:2" s="1596" customFormat="1">
      <c r="A52" s="1594" t="s">
        <v>1250</v>
      </c>
      <c r="B52" s="1595">
        <f ca="1">'预评函-3'!G4</f>
        <v>5844</v>
      </c>
    </row>
    <row r="53" spans="1:2" s="1596" customFormat="1">
      <c r="A53" s="1594" t="s">
        <v>1278</v>
      </c>
      <c r="B53" s="1595" t="str">
        <f ca="1">'预评函-3'!F5</f>
        <v>肆仟柒佰柒拾伍万元整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23"/>
      <c r="B54" s="2025" t="s">
        <v>864</v>
      </c>
      <c r="C54" s="2022" t="s">
        <v>1281</v>
      </c>
    </row>
    <row r="55" spans="1:4">
      <c r="A55" s="3023"/>
      <c r="B55" s="2025" t="s">
        <v>865</v>
      </c>
      <c r="C55" s="2022" t="s">
        <v>1282</v>
      </c>
    </row>
    <row r="56" spans="1:4">
      <c r="A56" s="3023"/>
      <c r="B56" s="2025" t="s">
        <v>866</v>
      </c>
      <c r="C56" s="2022" t="s">
        <v>1286</v>
      </c>
    </row>
    <row r="57" spans="1:4">
      <c r="A57" s="302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32"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33"/>
      <c r="D1" s="3033"/>
      <c r="E1" s="3033"/>
      <c r="F1" s="3033"/>
      <c r="G1" s="3033"/>
      <c r="H1" s="3033"/>
      <c r="I1" s="303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35"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36"/>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42" t="s">
        <v>3094</v>
      </c>
      <c r="C16" s="3043"/>
      <c r="D16" s="3044"/>
      <c r="E16" s="2086" t="s">
        <v>1802</v>
      </c>
      <c r="F16" s="3045" t="s">
        <v>3095</v>
      </c>
      <c r="G16" s="3046"/>
      <c r="H16" s="3046"/>
      <c r="I16" s="3047"/>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48" t="s">
        <v>3096</v>
      </c>
      <c r="F17" s="3049"/>
      <c r="G17" s="3049"/>
      <c r="H17" s="3049"/>
      <c r="I17" s="3050"/>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51" t="s">
        <v>3097</v>
      </c>
      <c r="F18" s="3052"/>
      <c r="G18" s="3052"/>
      <c r="H18" s="3052"/>
      <c r="I18" s="305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38" t="s">
        <v>1811</v>
      </c>
      <c r="C20" s="3039"/>
      <c r="D20" s="3040" t="s">
        <v>1812</v>
      </c>
      <c r="E20" s="3041"/>
      <c r="F20" s="2097" t="s">
        <v>1813</v>
      </c>
      <c r="G20" s="2045"/>
      <c r="H20" s="2045"/>
      <c r="I20" s="2045"/>
      <c r="J20" s="2045"/>
      <c r="K20" s="303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3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25"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5"/>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25"/>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26"/>
      <c r="B30" s="2038" t="s">
        <v>1828</v>
      </c>
      <c r="C30" s="3027"/>
      <c r="D30" s="3028"/>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29"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30"/>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24" t="s">
        <v>1838</v>
      </c>
      <c r="T34" s="2131" t="str">
        <f>NUMBERSTRING(7-K34,1)&amp;"通"</f>
        <v>七通</v>
      </c>
      <c r="U34" s="2032"/>
      <c r="V34" s="2032"/>
    </row>
    <row r="35" spans="1:22" ht="18" customHeight="1">
      <c r="A35" s="2132"/>
      <c r="B35" s="3031" t="s">
        <v>1839</v>
      </c>
      <c r="C35" s="3031"/>
      <c r="D35" s="3031"/>
      <c r="E35" s="3031"/>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4"/>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6813.6499999999987</v>
      </c>
      <c r="I5" s="16">
        <f t="shared" si="0"/>
        <v>5618.3899999999985</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1357.82</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95.09</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6813.6499999999987</v>
      </c>
      <c r="BB5" s="18">
        <f t="shared" si="1"/>
        <v>5618.3899999999985</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1357.82</v>
      </c>
      <c r="BM5" s="18">
        <f t="shared" si="1"/>
        <v>0</v>
      </c>
      <c r="BN5" s="18">
        <f t="shared" si="1"/>
        <v>0</v>
      </c>
      <c r="BO5" s="18">
        <f t="shared" si="1"/>
        <v>0</v>
      </c>
      <c r="BP5" s="18">
        <f t="shared" si="1"/>
        <v>0</v>
      </c>
      <c r="BQ5" s="18">
        <f t="shared" si="1"/>
        <v>95.09</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3197.9700000000003</v>
      </c>
      <c r="I6" s="16">
        <f t="shared" ref="I6:AB6" si="2">ROUND($A$3*I5/$B$3,2)</f>
        <v>2636.98</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637.29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44.63</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3197.97</v>
      </c>
      <c r="BB6" s="16">
        <f>ROUND($AY$6*BB5/$AZ$5,2)</f>
        <v>2636.98</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637.29</v>
      </c>
      <c r="BM6" s="16">
        <f t="shared" si="5"/>
        <v>0</v>
      </c>
      <c r="BN6" s="16">
        <f t="shared" si="5"/>
        <v>0</v>
      </c>
      <c r="BO6" s="16">
        <f t="shared" si="5"/>
        <v>0</v>
      </c>
      <c r="BP6" s="16">
        <f t="shared" si="5"/>
        <v>0</v>
      </c>
      <c r="BQ6" s="16">
        <f t="shared" si="5"/>
        <v>44.63</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95.09</v>
      </c>
      <c r="AD23" s="40"/>
      <c r="AE23" s="40"/>
      <c r="AF23" s="40"/>
      <c r="AG23" s="40"/>
      <c r="AH23" s="40"/>
      <c r="AI23" s="40"/>
      <c r="AJ23" s="40"/>
      <c r="AK23" s="40"/>
      <c r="AL23" s="40">
        <v>95.09</v>
      </c>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95.09</v>
      </c>
      <c r="BM23" s="35">
        <f t="shared" si="28"/>
        <v>0</v>
      </c>
      <c r="BN23" s="35">
        <f t="shared" si="29"/>
        <v>0</v>
      </c>
      <c r="BO23" s="35">
        <f t="shared" si="30"/>
        <v>0</v>
      </c>
      <c r="BP23" s="35">
        <f t="shared" si="31"/>
        <v>0</v>
      </c>
      <c r="BQ23" s="35">
        <f t="shared" si="32"/>
        <v>95.09</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65" t="s">
        <v>1934</v>
      </c>
      <c r="B2" s="3065"/>
      <c r="C2" s="3065"/>
      <c r="D2" s="970" t="s">
        <v>1910</v>
      </c>
      <c r="E2" s="2224" t="s">
        <v>1911</v>
      </c>
      <c r="F2" s="1395"/>
      <c r="G2" s="2225"/>
      <c r="H2" s="2226"/>
      <c r="I2" s="2227" t="s">
        <v>1935</v>
      </c>
      <c r="J2" s="1395"/>
      <c r="K2" s="1395"/>
      <c r="L2" s="1395"/>
      <c r="M2" s="1395"/>
      <c r="N2" s="1430"/>
      <c r="O2" s="1395"/>
      <c r="P2" s="1395"/>
    </row>
    <row r="3" spans="1:16" ht="15.75" thickBot="1">
      <c r="A3" s="3066" t="s">
        <v>1908</v>
      </c>
      <c r="B3" s="3066"/>
      <c r="C3" s="3066"/>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67"/>
      <c r="B4" s="3068"/>
      <c r="C4" s="3069"/>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70" t="s">
        <v>1913</v>
      </c>
      <c r="C5" s="3070"/>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70" t="s">
        <v>1914</v>
      </c>
      <c r="C6" s="3070"/>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62"/>
      <c r="B7" s="3063"/>
      <c r="C7" s="3064"/>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2636.98</v>
      </c>
      <c r="E8" s="51">
        <f>SUMIF('数据-基础表'!BB10:BK10,"地上",'数据-基础表'!BB5:BK5)</f>
        <v>5618.3899999999985</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3197.9700000000003</v>
      </c>
      <c r="E16" s="53">
        <f>SUM(E8:E15)</f>
        <v>6813.6499999999987</v>
      </c>
      <c r="F16" s="1395"/>
      <c r="G16" s="2234"/>
      <c r="H16" s="2237" t="s">
        <v>1938</v>
      </c>
      <c r="I16" s="2238"/>
      <c r="J16" s="1395"/>
      <c r="K16" s="3059" t="s">
        <v>1938</v>
      </c>
      <c r="L16" s="3060"/>
      <c r="M16" s="3060"/>
      <c r="N16" s="3060"/>
      <c r="O16" s="3060"/>
      <c r="P16" s="3061"/>
    </row>
    <row r="17" spans="1:19" ht="15">
      <c r="A17" s="2239" t="s">
        <v>1939</v>
      </c>
      <c r="B17" s="2240" t="s">
        <v>1940</v>
      </c>
      <c r="C17" s="2241" t="s">
        <v>1941</v>
      </c>
      <c r="D17" s="2242" t="s">
        <v>1929</v>
      </c>
      <c r="E17" s="2243" t="s">
        <v>1930</v>
      </c>
      <c r="F17" s="2244"/>
      <c r="G17" s="2245"/>
      <c r="H17" s="2246" t="s">
        <v>1942</v>
      </c>
      <c r="I17" s="2247" t="s">
        <v>1927</v>
      </c>
      <c r="J17" s="1395"/>
      <c r="K17" s="3056" t="s">
        <v>1943</v>
      </c>
      <c r="L17" s="3057"/>
      <c r="M17" s="3058"/>
      <c r="N17" s="3056" t="s">
        <v>1944</v>
      </c>
      <c r="O17" s="3057"/>
      <c r="P17" s="3058"/>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3197.97</v>
      </c>
      <c r="E19" s="56">
        <f t="shared" ref="E19:E26" si="1">SUM(F19:G19)</f>
        <v>6813.6499999999987</v>
      </c>
      <c r="F19" s="57">
        <f>'数据-基础表'!I5</f>
        <v>5618.3899999999985</v>
      </c>
      <c r="G19" s="58">
        <f>'数据-基础表'!K5</f>
        <v>1195.26</v>
      </c>
      <c r="H19" s="723">
        <f>ROUND($D$3*I19/$E$3,2)</f>
        <v>637.29</v>
      </c>
      <c r="I19" s="51">
        <f t="shared" ref="I19:I26" si="2">IF($I$17="自定义",P19,M19)</f>
        <v>1357.82</v>
      </c>
      <c r="J19" s="1395"/>
      <c r="K19" s="1394">
        <f t="shared" ref="K19:K26" si="3">ROUND(E$28*E19/E$27,2)</f>
        <v>1357.82</v>
      </c>
      <c r="L19" s="1250">
        <f t="shared" ref="L19:L26" si="4">ROUND(IF(COUNTIF(C19,"*住宅*")&gt;0,E$29*E19/E$32,0),2)</f>
        <v>0</v>
      </c>
      <c r="M19" s="1406">
        <f>K19+L19</f>
        <v>1357.82</v>
      </c>
      <c r="N19" s="2258"/>
      <c r="O19" s="2259"/>
      <c r="P19" s="1406">
        <f>N19+O19</f>
        <v>0</v>
      </c>
      <c r="R19" s="1250">
        <f t="shared" ref="R19:S26" si="5">D19+H19</f>
        <v>3835.2599999999998</v>
      </c>
      <c r="S19" s="1251">
        <f t="shared" si="5"/>
        <v>8171.4699999999984</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3197.97</v>
      </c>
      <c r="E27" s="1397">
        <f>IF(SUM(E19:E26)='数据-基础表'!BA5,SUM(E19:E26),IF(F27="地上面积有误","面积有误","地下面积有误"))</f>
        <v>6813.6499999999987</v>
      </c>
      <c r="F27" s="1396">
        <f>IF(SUM(F19:F26)=E8,SUM(F19:F26),"地上面积有误")</f>
        <v>5618.3899999999985</v>
      </c>
      <c r="G27" s="1398">
        <f>SUM(G19:G26)</f>
        <v>1195.26</v>
      </c>
      <c r="H27" s="1399">
        <f>SUM(H19:H26)</f>
        <v>637.29</v>
      </c>
      <c r="I27" s="1400">
        <f>SUM(I19:I26)</f>
        <v>1357.82</v>
      </c>
      <c r="J27" s="1395"/>
      <c r="K27" s="1403">
        <f>SUM(K19:K26)</f>
        <v>1357.82</v>
      </c>
      <c r="L27" s="1404">
        <f>SUM(L19:L26)</f>
        <v>0</v>
      </c>
      <c r="M27" s="1407">
        <f>SUM(M19:M26)</f>
        <v>1357.82</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8171.4699999999984</v>
      </c>
    </row>
    <row r="28" spans="1:19">
      <c r="A28" s="2260"/>
      <c r="B28" s="50" t="s">
        <v>1958</v>
      </c>
      <c r="C28" s="1262" t="s">
        <v>1959</v>
      </c>
      <c r="D28" s="48">
        <f>ROUND($D$3*E28/$E$3,2)</f>
        <v>637.29</v>
      </c>
      <c r="E28" s="56">
        <f>SUM(F28:G28)</f>
        <v>1357.82</v>
      </c>
      <c r="F28" s="64">
        <f>'数据-基础表'!BQ5+'数据-基础表'!BS5</f>
        <v>95.09</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637.29</v>
      </c>
      <c r="E30" s="1396">
        <f>SUM(E28:E29)</f>
        <v>1357.82</v>
      </c>
      <c r="F30" s="1396">
        <f>SUM(F28:F29)</f>
        <v>95.09</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8171.4699999999984</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70">
        <v>5.5E-2</v>
      </c>
      <c r="J6" s="74">
        <v>8.5000000000000006E-2</v>
      </c>
      <c r="K6" s="1254">
        <f>SUMIF('数据-汇总表'!C$19:C$33,A6,'数据-汇总表'!E$19:E$33)</f>
        <v>6813.6499999999987</v>
      </c>
      <c r="L6" s="803">
        <v>3500</v>
      </c>
      <c r="M6" s="75">
        <f t="shared" ref="M6:M14" si="0">ROUND(K6*L6/10000,0)</f>
        <v>2385</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1357.82</v>
      </c>
      <c r="T6" s="1446">
        <f>ROUND($L$14*S6/10000,0)</f>
        <v>339</v>
      </c>
      <c r="U6" s="2967">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71">
        <v>0.01</v>
      </c>
      <c r="AL6" s="88">
        <v>1.5E-3</v>
      </c>
      <c r="AM6" s="89">
        <v>0.01</v>
      </c>
      <c r="AN6" s="2306" t="s">
        <v>3065</v>
      </c>
      <c r="AO6" s="55">
        <f ca="1">SUMIF(INDIRECT("'"&amp;AN6&amp;"'"&amp;"!A:A"),"总价",INDIRECT("'"&amp;AN6&amp;"'"&amp;"!B:B"))</f>
        <v>32833</v>
      </c>
      <c r="AP6" s="2307">
        <f>IF(C6="住宅",K6*L6,0)</f>
        <v>0</v>
      </c>
      <c r="AQ6" s="55">
        <f>ROUND($L$14*$N$14*S6/10000,0)</f>
        <v>289</v>
      </c>
      <c r="AR6" s="55">
        <f>ROUND($L$14*(1-$N$14)*S6/10000,0)</f>
        <v>51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1357.82</v>
      </c>
      <c r="L14" s="91">
        <v>2500</v>
      </c>
      <c r="M14" s="75">
        <f t="shared" si="0"/>
        <v>339</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8171.4699999999984</v>
      </c>
      <c r="L16" s="102">
        <f>ROUND(M16*10000/SUM(K6:K14),0)</f>
        <v>3334</v>
      </c>
      <c r="M16" s="102">
        <f>SUM(M6:M14)</f>
        <v>2724</v>
      </c>
      <c r="N16" s="103">
        <f>ROUND(SUMPRODUCT(M6:M14,N6:N14)/M16,3)</f>
        <v>0.85</v>
      </c>
      <c r="O16" s="102">
        <f>SUM(O6:O14)</f>
        <v>0</v>
      </c>
      <c r="P16" s="102">
        <f>SUM(P6:P14)</f>
        <v>0</v>
      </c>
      <c r="Q16" s="104">
        <f>ROUND(SUMPRODUCT(Q6:Q13,K6:K13)/SUMPRODUCT((Q6:Q13&gt;0)*(K6:K13)),2)</f>
        <v>0.25</v>
      </c>
      <c r="R16" s="1258">
        <f ca="1">SUM(R6:R13)</f>
        <v>3835.2599999999998</v>
      </c>
      <c r="S16" s="105">
        <f>SUM(S6:S13)</f>
        <v>1357.82</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22997</v>
      </c>
      <c r="AM19" s="1584"/>
    </row>
    <row r="20" spans="1:67" ht="14.25">
      <c r="A20" s="2314" t="s">
        <v>2016</v>
      </c>
      <c r="B20" s="113">
        <v>1.5</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1.5</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1.5</v>
      </c>
      <c r="C22" s="2274"/>
      <c r="D22" s="2275"/>
      <c r="E22" s="2274"/>
      <c r="F22" s="2274"/>
      <c r="G22" s="2274"/>
      <c r="H22" s="2274"/>
      <c r="I22" s="2274"/>
      <c r="J22" s="2274"/>
      <c r="K22" s="168"/>
      <c r="L22" s="168"/>
      <c r="M22" s="1584"/>
      <c r="N22" s="1584"/>
      <c r="O22" s="1584"/>
      <c r="P22" s="1584"/>
      <c r="Q22" s="1584"/>
      <c r="R22" s="1584"/>
      <c r="S22" s="1584">
        <f ca="1">结果表!G19</f>
        <v>30034</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1.5</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30034</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71" t="s">
        <v>2079</v>
      </c>
      <c r="B1" s="3072"/>
      <c r="C1" s="3072"/>
      <c r="D1" s="3072"/>
      <c r="E1" s="3072"/>
      <c r="F1" s="3072"/>
      <c r="G1" s="307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30034</v>
      </c>
      <c r="C5" s="1746">
        <f ca="1">ROUND(B5*10000/$B$1,0)</f>
        <v>36755</v>
      </c>
      <c r="D5" s="1746">
        <f ca="1">ROUND(B5*10000/$B$2,0)</f>
        <v>78310</v>
      </c>
      <c r="E5" s="1745"/>
      <c r="F5" s="1743"/>
      <c r="G5" s="1743"/>
    </row>
    <row r="6" spans="1:10" ht="16.5">
      <c r="A6" s="1746" t="s">
        <v>1356</v>
      </c>
      <c r="B6" s="1746">
        <f ca="1">SUM(G14:G23)</f>
        <v>30034</v>
      </c>
      <c r="C6" s="1746">
        <f ca="1">ROUND(B6*10000/$B$1,0)</f>
        <v>36755</v>
      </c>
      <c r="D6" s="1746">
        <f ca="1">ROUND(B6*10000/$B$2,0)</f>
        <v>78310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22997</v>
      </c>
      <c r="C8" s="1746">
        <f ca="1">ROUND(B8*10000/$B$1,0)</f>
        <v>28143</v>
      </c>
      <c r="D8" s="1746">
        <f ca="1">ROUND(B8*10000/$B$2,0)</f>
        <v>59962</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30034</v>
      </c>
      <c r="E14" s="1744">
        <f ca="1">ROUND(D14*10000/B14,0)</f>
        <v>36755</v>
      </c>
      <c r="F14" s="1744">
        <f ca="1">ROUND(D14*10000/C14,0)</f>
        <v>78310</v>
      </c>
      <c r="G14" s="1744">
        <f ca="1">结果表!D122</f>
        <v>30034</v>
      </c>
      <c r="H14" s="1744" t="str">
        <f>结果表!D124</f>
        <v>——</v>
      </c>
      <c r="I14" s="1744">
        <f ca="1">结果表!D126</f>
        <v>22997</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 zoomScaleNormal="100" zoomScaleSheetLayoutView="100" zoomScalePageLayoutView="80" workbookViewId="0">
      <selection activeCell="J40" sqref="J4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106" t="str">
        <f>项目基本情况!S2</f>
        <v>北京市朝阳区望京利泽中园二区203号内3号综合用房房地产</v>
      </c>
      <c r="B2" s="3107"/>
      <c r="C2" s="3107"/>
      <c r="D2" s="3107"/>
      <c r="E2" s="3107"/>
      <c r="F2" s="3107"/>
      <c r="G2" s="3107"/>
      <c r="H2" s="3107"/>
      <c r="I2" s="3108"/>
    </row>
    <row r="3" spans="1:12" ht="12.75">
      <c r="A3" s="3110" t="s">
        <v>2114</v>
      </c>
      <c r="B3" s="3111"/>
      <c r="C3" s="3111"/>
      <c r="D3" s="3111"/>
      <c r="E3" s="3111"/>
      <c r="F3" s="3111"/>
      <c r="G3" s="3111"/>
      <c r="H3" s="3111"/>
      <c r="I3" s="3111"/>
    </row>
    <row r="4" spans="1:12" ht="14.25">
      <c r="A4" s="2422" t="s">
        <v>2115</v>
      </c>
      <c r="B4" s="2423" t="s">
        <v>2116</v>
      </c>
      <c r="C4" s="2424" t="s">
        <v>3082</v>
      </c>
      <c r="D4" s="2424" t="s">
        <v>3065</v>
      </c>
      <c r="E4" s="3103" t="s">
        <v>2117</v>
      </c>
      <c r="F4" s="3104"/>
      <c r="G4" s="3104"/>
      <c r="H4" s="3104"/>
      <c r="I4" s="3112"/>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6" t="s">
        <v>2118</v>
      </c>
      <c r="B5" s="3024">
        <v>25</v>
      </c>
      <c r="C5" s="3089"/>
      <c r="D5" s="3109"/>
      <c r="E5" s="140" t="s">
        <v>2119</v>
      </c>
      <c r="F5" s="2426"/>
      <c r="G5" s="2426"/>
      <c r="H5" s="2426"/>
      <c r="I5" s="1834"/>
    </row>
    <row r="6" spans="1:12" ht="12.75">
      <c r="A6" s="3086"/>
      <c r="B6" s="3024"/>
      <c r="C6" s="3090"/>
      <c r="D6" s="3109"/>
      <c r="E6" s="140" t="s">
        <v>2120</v>
      </c>
      <c r="F6" s="2426"/>
      <c r="G6" s="2426"/>
      <c r="H6" s="2426"/>
      <c r="I6" s="1834"/>
    </row>
    <row r="7" spans="1:12" ht="12.75">
      <c r="A7" s="3086"/>
      <c r="B7" s="3024"/>
      <c r="C7" s="3091"/>
      <c r="D7" s="3109"/>
      <c r="E7" s="140" t="s">
        <v>2121</v>
      </c>
      <c r="F7" s="2426"/>
      <c r="G7" s="2426"/>
      <c r="H7" s="2426"/>
      <c r="I7" s="1834"/>
    </row>
    <row r="8" spans="1:12" ht="12.75">
      <c r="A8" s="3086" t="s">
        <v>2122</v>
      </c>
      <c r="B8" s="3024">
        <v>15</v>
      </c>
      <c r="C8" s="3089"/>
      <c r="D8" s="3109"/>
      <c r="E8" s="140" t="s">
        <v>2123</v>
      </c>
      <c r="F8" s="2426"/>
      <c r="G8" s="2426"/>
      <c r="H8" s="2426"/>
      <c r="I8" s="1834"/>
    </row>
    <row r="9" spans="1:12" ht="12.75">
      <c r="A9" s="3086"/>
      <c r="B9" s="3024"/>
      <c r="C9" s="3091"/>
      <c r="D9" s="3109"/>
      <c r="E9" s="140" t="s">
        <v>2124</v>
      </c>
      <c r="F9" s="2426"/>
      <c r="G9" s="2426"/>
      <c r="H9" s="2426"/>
      <c r="I9" s="1834"/>
    </row>
    <row r="10" spans="1:12" ht="12.75">
      <c r="A10" s="3086" t="s">
        <v>2125</v>
      </c>
      <c r="B10" s="3024">
        <v>15</v>
      </c>
      <c r="C10" s="3089"/>
      <c r="D10" s="3109"/>
      <c r="E10" s="140" t="s">
        <v>2126</v>
      </c>
      <c r="F10" s="2426"/>
      <c r="G10" s="2426"/>
      <c r="H10" s="2426"/>
      <c r="I10" s="1834"/>
    </row>
    <row r="11" spans="1:12" ht="12.75">
      <c r="A11" s="3086"/>
      <c r="B11" s="3024"/>
      <c r="C11" s="3091"/>
      <c r="D11" s="3109"/>
      <c r="E11" s="140" t="s">
        <v>2127</v>
      </c>
      <c r="F11" s="2426"/>
      <c r="G11" s="2426"/>
      <c r="H11" s="2426"/>
      <c r="I11" s="1834"/>
    </row>
    <row r="12" spans="1:12" ht="12.75">
      <c r="A12" s="3086" t="s">
        <v>2128</v>
      </c>
      <c r="B12" s="3024">
        <v>15</v>
      </c>
      <c r="C12" s="3089"/>
      <c r="D12" s="3109"/>
      <c r="E12" s="140" t="s">
        <v>2129</v>
      </c>
      <c r="F12" s="2426"/>
      <c r="G12" s="2426"/>
      <c r="H12" s="2426"/>
      <c r="I12" s="1834"/>
    </row>
    <row r="13" spans="1:12" ht="12.75">
      <c r="A13" s="3086"/>
      <c r="B13" s="3024"/>
      <c r="C13" s="3091"/>
      <c r="D13" s="3109"/>
      <c r="E13" s="140" t="s">
        <v>2130</v>
      </c>
      <c r="F13" s="2426"/>
      <c r="G13" s="2426"/>
      <c r="H13" s="2426"/>
      <c r="I13" s="1834"/>
    </row>
    <row r="14" spans="1:12" ht="12.75">
      <c r="A14" s="3086" t="s">
        <v>2131</v>
      </c>
      <c r="B14" s="3024">
        <v>30</v>
      </c>
      <c r="C14" s="3089">
        <v>3</v>
      </c>
      <c r="D14" s="3109">
        <v>7</v>
      </c>
      <c r="E14" s="140" t="s">
        <v>2132</v>
      </c>
      <c r="F14" s="2426"/>
      <c r="G14" s="2426"/>
      <c r="H14" s="2426"/>
      <c r="I14" s="1834"/>
    </row>
    <row r="15" spans="1:12" ht="12.75">
      <c r="A15" s="3086"/>
      <c r="B15" s="3024"/>
      <c r="C15" s="3090"/>
      <c r="D15" s="3109"/>
      <c r="E15" s="140" t="s">
        <v>2133</v>
      </c>
      <c r="F15" s="2426"/>
      <c r="G15" s="2426"/>
      <c r="H15" s="2426"/>
      <c r="I15" s="1834"/>
    </row>
    <row r="16" spans="1:12" ht="12.75">
      <c r="A16" s="3086"/>
      <c r="B16" s="3024"/>
      <c r="C16" s="3091"/>
      <c r="D16" s="3109"/>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23502</v>
      </c>
      <c r="D19" s="144">
        <f ca="1">SUMIF(INDIRECT("'"&amp;D4&amp;"'"&amp;"!A:A"),结果表!B19,INDIRECT("'"&amp;D4&amp;"'"&amp;"!B:B"))</f>
        <v>32833</v>
      </c>
      <c r="E19" s="2431" t="s">
        <v>2142</v>
      </c>
      <c r="F19" s="2432" t="s">
        <v>2141</v>
      </c>
      <c r="G19" s="145">
        <f ca="1">ROUND(C19*$C$18+D19*$D$18,0)</f>
        <v>30034</v>
      </c>
      <c r="H19" s="2433" t="s">
        <v>2143</v>
      </c>
      <c r="I19" s="138"/>
      <c r="J19" s="2963"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28761</v>
      </c>
      <c r="D20" s="147">
        <f ca="1">SUMIF(INDIRECT("'"&amp;D4&amp;"'"&amp;"!A:A"),结果表!B20,INDIRECT("'"&amp;D4&amp;"'"&amp;"!B:B"))</f>
        <v>48187</v>
      </c>
      <c r="E20" s="2434"/>
      <c r="F20" s="1250" t="s">
        <v>2145</v>
      </c>
      <c r="G20" s="148">
        <f ca="1">ROUND(C20*$C$18+D20*$D$18,0)</f>
        <v>42359</v>
      </c>
      <c r="H20" s="983" t="s">
        <v>2146</v>
      </c>
      <c r="I20" s="138"/>
      <c r="J20" s="795" t="s">
        <v>3151</v>
      </c>
    </row>
    <row r="21" spans="1:35" ht="15" customHeight="1" thickBot="1">
      <c r="A21" s="1003"/>
      <c r="B21" s="2435" t="s">
        <v>2147</v>
      </c>
      <c r="C21" s="789">
        <f ca="1">ROUND(C19*10000/L19,0)</f>
        <v>61279</v>
      </c>
      <c r="D21" s="790">
        <f ca="1">ROUND(D19*10000/L19,0)</f>
        <v>85608</v>
      </c>
      <c r="E21" s="1003"/>
      <c r="F21" s="2435" t="s">
        <v>2147</v>
      </c>
      <c r="G21" s="149">
        <f ca="1">ROUND(G19*10000/L19,0)</f>
        <v>78310</v>
      </c>
      <c r="H21" s="2436" t="s">
        <v>2146</v>
      </c>
      <c r="I21" s="138"/>
      <c r="J21" s="2963" t="s">
        <v>3152</v>
      </c>
      <c r="K21" s="2972" t="s">
        <v>3084</v>
      </c>
      <c r="L21" s="2972" t="s">
        <v>3085</v>
      </c>
      <c r="M21" s="2972" t="s">
        <v>3086</v>
      </c>
      <c r="N21" s="2972" t="s">
        <v>3087</v>
      </c>
      <c r="O21" s="2972" t="s">
        <v>3088</v>
      </c>
      <c r="P21" s="2972" t="s">
        <v>3086</v>
      </c>
    </row>
    <row r="22" spans="1:35" ht="15" thickBot="1">
      <c r="A22" s="2278" t="s">
        <v>2148</v>
      </c>
      <c r="B22" s="2437"/>
      <c r="C22" s="2438"/>
      <c r="D22" s="791">
        <f ca="1">IF(C19&lt;D19,D19/C19-1,C19/D19-1)</f>
        <v>0.39703003999659603</v>
      </c>
      <c r="E22" s="138"/>
      <c r="F22" s="138"/>
      <c r="G22" s="138"/>
      <c r="H22" s="138"/>
      <c r="I22" s="138"/>
      <c r="J22" s="2969">
        <v>2.5</v>
      </c>
      <c r="K22" s="2972" t="s">
        <v>3082</v>
      </c>
      <c r="L22" s="2972">
        <v>19713</v>
      </c>
      <c r="M22" s="2972"/>
      <c r="N22" s="2972">
        <v>0.3</v>
      </c>
      <c r="O22" s="2972">
        <v>30039</v>
      </c>
      <c r="P22" s="2972">
        <v>36761</v>
      </c>
    </row>
    <row r="23" spans="1:35" ht="13.5" thickBot="1">
      <c r="A23" s="2415"/>
      <c r="B23" s="2415"/>
      <c r="C23" s="2415"/>
      <c r="D23" s="2415"/>
      <c r="E23" s="138"/>
      <c r="F23" s="138"/>
      <c r="G23" s="138"/>
      <c r="H23" s="138"/>
      <c r="I23" s="138"/>
      <c r="K23" s="2972" t="s">
        <v>3065</v>
      </c>
      <c r="L23" s="2972">
        <v>34465</v>
      </c>
      <c r="M23" s="2972"/>
      <c r="N23" s="2972">
        <v>0.7</v>
      </c>
      <c r="O23" s="2972"/>
      <c r="P23" s="2972"/>
    </row>
    <row r="24" spans="1:35" ht="14.25" hidden="1">
      <c r="A24" s="3080"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081"/>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30034</v>
      </c>
      <c r="D32" s="2446" t="s">
        <v>2156</v>
      </c>
      <c r="E32" s="138"/>
      <c r="F32" s="138"/>
      <c r="G32" s="138"/>
      <c r="H32" s="138"/>
      <c r="I32" s="138"/>
      <c r="K32" s="2416" t="s">
        <v>3155</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2972" t="s">
        <v>3156</v>
      </c>
      <c r="L33" s="2972" t="s">
        <v>3157</v>
      </c>
      <c r="M33" s="2972" t="s">
        <v>3158</v>
      </c>
      <c r="N33" s="2972" t="s">
        <v>3159</v>
      </c>
      <c r="O33" s="2972"/>
      <c r="P33" s="2972" t="s">
        <v>3160</v>
      </c>
      <c r="Q33" s="2972"/>
      <c r="R33" s="2972" t="s">
        <v>3161</v>
      </c>
      <c r="S33" s="2972"/>
    </row>
    <row r="34" spans="1:19" ht="15">
      <c r="A34" s="2452"/>
      <c r="B34" s="2453" t="s">
        <v>2159</v>
      </c>
      <c r="C34" s="157">
        <f ca="1">IF(C33="自定义",F34,C32-C35)</f>
        <v>25259</v>
      </c>
      <c r="D34" s="1058">
        <f ca="1">IF(C33="自定义",ROUND(C34/C32,3),IF(C33="收益比率",SUMIF(INDIRECT("'"&amp;D33&amp;"'"&amp;"!b:b"),"土地收益比率",INDIRECT("'"&amp;D33&amp;"'"&amp;"!c:c")),SUMIF(INDIRECT("'"&amp;D33&amp;"'"&amp;"!b:b"),"土地成本比率",INDIRECT("'"&amp;D33&amp;"'"&amp;"!c:c"))))</f>
        <v>0.84099999999999997</v>
      </c>
      <c r="E34" s="2454" t="s">
        <v>2160</v>
      </c>
      <c r="F34" s="1739"/>
      <c r="G34" s="138"/>
      <c r="H34" s="138"/>
      <c r="I34" s="138"/>
      <c r="K34" s="2972"/>
      <c r="L34" s="2972"/>
      <c r="M34" s="2972"/>
      <c r="N34" s="2972" t="s">
        <v>3162</v>
      </c>
      <c r="O34" s="2972" t="s">
        <v>3086</v>
      </c>
      <c r="P34" s="2972" t="s">
        <v>3162</v>
      </c>
      <c r="Q34" s="2972" t="s">
        <v>3086</v>
      </c>
      <c r="R34" s="2972" t="s">
        <v>3162</v>
      </c>
      <c r="S34" s="2972" t="s">
        <v>3086</v>
      </c>
    </row>
    <row r="35" spans="1:19" ht="15.75" thickBot="1">
      <c r="A35" s="2455"/>
      <c r="B35" s="2456" t="s">
        <v>2161</v>
      </c>
      <c r="C35" s="1444">
        <f ca="1">IF(C33="自定义",F35,ROUND(C32*D35,0))</f>
        <v>4775</v>
      </c>
      <c r="D35" s="1445">
        <f ca="1">IF(C33="自定义",ROUND(C35/C32,3),IF(C33="收益比率",SUMIF(INDIRECT("'"&amp;D33&amp;"'"&amp;"!b:b"),"建筑物收益比率",INDIRECT("'"&amp;D33&amp;"'"&amp;"!c:c")),SUMIF(INDIRECT("'"&amp;D33&amp;"'"&amp;"!b:b"),"建筑物成本比率",INDIRECT("'"&amp;D33&amp;"'"&amp;"!c:c"))))</f>
        <v>0.159</v>
      </c>
      <c r="E35" s="2457" t="s">
        <v>2162</v>
      </c>
      <c r="F35" s="163"/>
      <c r="G35" s="138"/>
      <c r="H35" s="138"/>
      <c r="I35" s="138"/>
      <c r="K35" s="2972" t="s">
        <v>3163</v>
      </c>
      <c r="L35" s="2972">
        <v>8171.4699999999984</v>
      </c>
      <c r="M35" s="2972">
        <v>3835.26</v>
      </c>
      <c r="N35" s="2972">
        <v>22547</v>
      </c>
      <c r="O35" s="2972">
        <v>27593</v>
      </c>
      <c r="P35" s="2972">
        <v>7492</v>
      </c>
      <c r="Q35" s="2972">
        <v>9168</v>
      </c>
      <c r="R35" s="2972">
        <v>30039</v>
      </c>
      <c r="S35" s="2972">
        <v>36761</v>
      </c>
    </row>
    <row r="36" spans="1:19" ht="15.75" thickBot="1">
      <c r="A36" s="3098" t="s">
        <v>2163</v>
      </c>
      <c r="B36" s="2458" t="s">
        <v>2164</v>
      </c>
      <c r="C36" s="154"/>
      <c r="D36" s="2459"/>
      <c r="E36" s="2460"/>
      <c r="F36" s="2461"/>
      <c r="G36" s="138"/>
      <c r="H36" s="138"/>
      <c r="I36" s="138"/>
    </row>
    <row r="37" spans="1:19" ht="15.75" thickBot="1">
      <c r="A37" s="3099"/>
      <c r="B37" s="2264" t="s">
        <v>2165</v>
      </c>
      <c r="C37" s="156"/>
      <c r="D37" s="1395"/>
      <c r="E37" s="1395"/>
      <c r="F37" s="2461"/>
      <c r="G37" s="138"/>
      <c r="H37" s="138"/>
      <c r="I37" s="138"/>
    </row>
    <row r="38" spans="1:19" ht="15.75" thickBot="1">
      <c r="A38" s="3100"/>
      <c r="B38" s="2462" t="s">
        <v>2166</v>
      </c>
      <c r="C38" s="727"/>
      <c r="D38" s="2463" t="s">
        <v>2167</v>
      </c>
      <c r="E38" s="1395"/>
      <c r="F38" s="2461"/>
      <c r="G38" s="138"/>
      <c r="H38" s="139"/>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f>32000/'数据-汇总表'!F31*10000</f>
        <v>56007.897113493018</v>
      </c>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077" t="s">
        <v>2177</v>
      </c>
      <c r="B45" s="3078"/>
      <c r="C45" s="3079"/>
      <c r="D45" s="164">
        <f ca="1">ROUND(H101*F45,0)</f>
        <v>18020</v>
      </c>
      <c r="E45" s="165" t="s">
        <v>2178</v>
      </c>
      <c r="F45" s="166">
        <v>0.6</v>
      </c>
      <c r="G45" s="167" t="s">
        <v>2179</v>
      </c>
      <c r="H45" s="138"/>
      <c r="I45" s="138"/>
      <c r="J45" s="3137" t="s">
        <v>2180</v>
      </c>
      <c r="K45" s="3137"/>
      <c r="L45" s="3137"/>
      <c r="M45" s="3137"/>
      <c r="N45" s="3137"/>
      <c r="O45" s="3137"/>
    </row>
    <row r="46" spans="1:19" ht="14.25" customHeight="1">
      <c r="A46" s="3074" t="s">
        <v>2181</v>
      </c>
      <c r="B46" s="3075"/>
      <c r="C46" s="3075"/>
      <c r="D46" s="3075"/>
      <c r="E46" s="3075"/>
      <c r="F46" s="3075"/>
      <c r="G46" s="3076"/>
      <c r="H46" s="2477"/>
      <c r="I46" s="168"/>
      <c r="J46" s="1812">
        <v>1</v>
      </c>
      <c r="K46" s="3137" t="s">
        <v>2182</v>
      </c>
      <c r="L46" s="3137"/>
      <c r="M46" s="3157"/>
      <c r="N46" s="3157"/>
      <c r="O46" s="3157"/>
    </row>
    <row r="47" spans="1:19" ht="12" customHeight="1">
      <c r="A47" s="169" t="s">
        <v>2183</v>
      </c>
      <c r="B47" s="170"/>
      <c r="C47" s="171"/>
      <c r="D47" s="172" t="s">
        <v>2184</v>
      </c>
      <c r="E47" s="24" t="s">
        <v>2185</v>
      </c>
      <c r="F47" s="173" t="s">
        <v>2186</v>
      </c>
      <c r="G47" s="174" t="s">
        <v>2187</v>
      </c>
      <c r="H47" s="2477"/>
      <c r="I47" s="168"/>
      <c r="J47" s="1812">
        <v>2</v>
      </c>
      <c r="K47" s="3137" t="s">
        <v>2188</v>
      </c>
      <c r="L47" s="3137"/>
      <c r="M47" s="3158">
        <f>'数据-取费表'!B2</f>
        <v>43257</v>
      </c>
      <c r="N47" s="3158"/>
      <c r="O47" s="3158"/>
    </row>
    <row r="48" spans="1:19" ht="25.5">
      <c r="A48" s="3105" t="s">
        <v>2189</v>
      </c>
      <c r="B48" s="3088"/>
      <c r="C48" s="3088"/>
      <c r="D48" s="140">
        <f ca="1">IF(H48="情况1",0,IF(H48="情况2",D52,IF(H48="情况3",D53,IF(H48="情况4",D54))))</f>
        <v>961</v>
      </c>
      <c r="E48" s="1801" t="str">
        <f>IF(H48="情况4","(销售额-原购置价)×税（费）率","销售额×税（费）率")</f>
        <v>销售额×税（费）率</v>
      </c>
      <c r="F48" s="175">
        <f>IF(H48="情况1","免征",'数据-取费表'!B41)</f>
        <v>5.6000000000000001E-2</v>
      </c>
      <c r="G48" s="2478" t="s">
        <v>2190</v>
      </c>
      <c r="H48" s="2479" t="s">
        <v>3090</v>
      </c>
      <c r="I48" s="2477"/>
      <c r="J48" s="1812">
        <v>3</v>
      </c>
      <c r="K48" s="3137" t="s">
        <v>2191</v>
      </c>
      <c r="L48" s="3137"/>
      <c r="M48" s="3159">
        <f ca="1">H101</f>
        <v>30034</v>
      </c>
      <c r="N48" s="3159"/>
      <c r="O48" s="3159"/>
    </row>
    <row r="49" spans="1:35" ht="25.5" customHeight="1">
      <c r="A49" s="176" t="s">
        <v>2192</v>
      </c>
      <c r="B49" s="3073" t="s">
        <v>2193</v>
      </c>
      <c r="C49" s="3073"/>
      <c r="D49" s="177">
        <v>0</v>
      </c>
      <c r="E49" s="23" t="s">
        <v>2194</v>
      </c>
      <c r="F49" s="28" t="s">
        <v>34</v>
      </c>
      <c r="G49" s="3143"/>
      <c r="H49" s="138"/>
      <c r="I49" s="2480"/>
      <c r="J49" s="1812">
        <v>4</v>
      </c>
      <c r="K49" s="3137" t="str">
        <f>IF(项目基本情况!E8="房地产抵押价值","房地产抵押价值","抵押担保权已注销时的房地产抵押价值")</f>
        <v>房地产抵押价值</v>
      </c>
      <c r="L49" s="3137"/>
      <c r="M49" s="3159">
        <f ca="1">IF(项目基本情况!E8="房地产抵押价值",H107,H109)</f>
        <v>30034</v>
      </c>
      <c r="N49" s="3159"/>
      <c r="O49" s="3159"/>
    </row>
    <row r="50" spans="1:35" ht="25.5" customHeight="1">
      <c r="A50" s="178"/>
      <c r="B50" s="3073" t="s">
        <v>2195</v>
      </c>
      <c r="C50" s="3073"/>
      <c r="D50" s="179"/>
      <c r="E50" s="31"/>
      <c r="F50" s="180"/>
      <c r="G50" s="3144"/>
      <c r="H50" s="138"/>
      <c r="I50" s="2480"/>
      <c r="J50" s="3137" t="s">
        <v>2196</v>
      </c>
      <c r="K50" s="3137"/>
      <c r="L50" s="3137"/>
      <c r="M50" s="3137"/>
      <c r="N50" s="3137"/>
      <c r="O50" s="3137"/>
    </row>
    <row r="51" spans="1:35" ht="12" customHeight="1">
      <c r="A51" s="181"/>
      <c r="B51" s="3073" t="s">
        <v>2197</v>
      </c>
      <c r="C51" s="3073"/>
      <c r="D51" s="182"/>
      <c r="E51" s="30"/>
      <c r="F51" s="180"/>
      <c r="G51" s="3145"/>
      <c r="H51" s="138"/>
      <c r="I51" s="2480"/>
      <c r="J51" s="2481" t="s">
        <v>2198</v>
      </c>
      <c r="K51" s="3137" t="s">
        <v>2199</v>
      </c>
      <c r="L51" s="3137"/>
      <c r="M51" s="2481" t="s">
        <v>2200</v>
      </c>
      <c r="N51" s="2481" t="s">
        <v>2201</v>
      </c>
      <c r="O51" s="2481" t="s">
        <v>2202</v>
      </c>
    </row>
    <row r="52" spans="1:35" ht="24" customHeight="1">
      <c r="A52" s="183" t="s">
        <v>2203</v>
      </c>
      <c r="B52" s="3073" t="s">
        <v>2204</v>
      </c>
      <c r="C52" s="3073"/>
      <c r="D52" s="182">
        <f ca="1">ROUND(D45*'数据-取费表'!B41/(1+'数据-取费表'!C42),0)</f>
        <v>961</v>
      </c>
      <c r="E52" s="11" t="s">
        <v>2205</v>
      </c>
      <c r="F52" s="184">
        <f>'数据-取费表'!B41</f>
        <v>5.6000000000000001E-2</v>
      </c>
      <c r="G52" s="2482"/>
      <c r="H52" s="138"/>
      <c r="I52" s="2480"/>
      <c r="J52" s="1812">
        <v>1</v>
      </c>
      <c r="K52" s="3138" t="s">
        <v>2206</v>
      </c>
      <c r="L52" s="3138"/>
      <c r="M52" s="1754">
        <f ca="1">D48</f>
        <v>961</v>
      </c>
      <c r="N52" s="1812" t="str">
        <f>E48</f>
        <v>销售额×税（费）率</v>
      </c>
      <c r="O52" s="1755">
        <f>F48</f>
        <v>5.6000000000000001E-2</v>
      </c>
    </row>
    <row r="53" spans="1:35" ht="12" customHeight="1">
      <c r="A53" s="183" t="s">
        <v>2207</v>
      </c>
      <c r="B53" s="3096" t="s">
        <v>2208</v>
      </c>
      <c r="C53" s="3097"/>
      <c r="D53" s="182">
        <f ca="1">ROUND(D45*'数据-取费表'!B41/(1+'数据-取费表'!C42),0)</f>
        <v>961</v>
      </c>
      <c r="E53" s="11" t="s">
        <v>2205</v>
      </c>
      <c r="F53" s="184">
        <f>'数据-取费表'!B41</f>
        <v>5.6000000000000001E-2</v>
      </c>
      <c r="G53" s="2482"/>
      <c r="H53" s="138"/>
      <c r="I53" s="2480"/>
      <c r="J53" s="1812">
        <v>2</v>
      </c>
      <c r="K53" s="3138" t="s">
        <v>2209</v>
      </c>
      <c r="L53" s="3138"/>
      <c r="M53" s="1754">
        <f t="shared" ref="M53:O54" ca="1" si="0">D55</f>
        <v>9</v>
      </c>
      <c r="N53" s="1812" t="str">
        <f t="shared" si="0"/>
        <v>销售额×税（费）率</v>
      </c>
      <c r="O53" s="1755">
        <f t="shared" si="0"/>
        <v>5.0000000000000001E-4</v>
      </c>
    </row>
    <row r="54" spans="1:35" ht="12" customHeight="1">
      <c r="A54" s="183" t="s">
        <v>2210</v>
      </c>
      <c r="B54" s="3096" t="s">
        <v>2211</v>
      </c>
      <c r="C54" s="3097"/>
      <c r="D54" s="182">
        <f ca="1">C68</f>
        <v>961</v>
      </c>
      <c r="E54" s="30" t="s">
        <v>2212</v>
      </c>
      <c r="F54" s="184">
        <f>'数据-取费表'!B41</f>
        <v>5.6000000000000001E-2</v>
      </c>
      <c r="G54" s="2482"/>
      <c r="H54" s="2483"/>
      <c r="I54" s="2480"/>
      <c r="J54" s="1812">
        <v>3</v>
      </c>
      <c r="K54" s="3138" t="s">
        <v>2213</v>
      </c>
      <c r="L54" s="3138"/>
      <c r="M54" s="1754">
        <f t="shared" ca="1" si="0"/>
        <v>6067</v>
      </c>
      <c r="N54" s="1812" t="str">
        <f t="shared" si="0"/>
        <v>增值额×税（费）率</v>
      </c>
      <c r="O54" s="1756" t="str">
        <f t="shared" si="0"/>
        <v>——</v>
      </c>
    </row>
    <row r="55" spans="1:35" ht="24" customHeight="1">
      <c r="A55" s="3087" t="s">
        <v>2214</v>
      </c>
      <c r="B55" s="3088"/>
      <c r="C55" s="3088"/>
      <c r="D55" s="185">
        <f ca="1">IF(H55="个人住宅",0,ROUND(D45*I55,0))</f>
        <v>9</v>
      </c>
      <c r="E55" s="11" t="s">
        <v>2215</v>
      </c>
      <c r="F55" s="184">
        <f>IF(H55="正常",I55,"免征")</f>
        <v>5.0000000000000001E-4</v>
      </c>
      <c r="G55" s="2482"/>
      <c r="H55" s="2479" t="s">
        <v>2216</v>
      </c>
      <c r="I55" s="186">
        <f>'数据-取费表'!B49</f>
        <v>5.0000000000000001E-4</v>
      </c>
      <c r="J55" s="1812" t="str">
        <f>IF(H59="非个人房产","",4)</f>
        <v/>
      </c>
      <c r="K55" s="3138" t="str">
        <f>IF(H59="非个人房产","——","个人所得税")</f>
        <v>——</v>
      </c>
      <c r="L55" s="3138"/>
      <c r="M55" s="1757" t="str">
        <f>D59</f>
        <v>——</v>
      </c>
      <c r="N55" s="1810" t="str">
        <f>E59</f>
        <v>——</v>
      </c>
      <c r="O55" s="1758" t="str">
        <f>F59</f>
        <v>——</v>
      </c>
    </row>
    <row r="56" spans="1:35" ht="24.75">
      <c r="A56" s="3087" t="s">
        <v>2217</v>
      </c>
      <c r="B56" s="3088"/>
      <c r="C56" s="3088"/>
      <c r="D56" s="185">
        <f ca="1">IF(H56="个人住宅",D57,D58)</f>
        <v>6067</v>
      </c>
      <c r="E56" s="11" t="s">
        <v>2218</v>
      </c>
      <c r="F56" s="184" t="str">
        <f>IF(H56="正常",F58,"免征")</f>
        <v>——</v>
      </c>
      <c r="G56" s="2484" t="s">
        <v>2219</v>
      </c>
      <c r="H56" s="2485" t="s">
        <v>2216</v>
      </c>
      <c r="I56" s="2486"/>
      <c r="J56" s="1812" t="str">
        <f>IF(项目基本情况!K6="上海银行",IF(J55="",4,J55+1),"")</f>
        <v/>
      </c>
      <c r="K56" s="3161" t="str">
        <f>IF(项目基本情况!K6="上海银行","其他处置费用","")</f>
        <v/>
      </c>
      <c r="L56" s="3162"/>
      <c r="M56" s="1754" t="str">
        <f>IF(项目基本情况!K6="上海银行",M69,"")</f>
        <v/>
      </c>
      <c r="N56" s="3164" t="str">
        <f>IF(项目基本情况!K6="上海银行","包含处置中涉及的律师、诉讼、拍卖、评估等费用","")</f>
        <v/>
      </c>
      <c r="O56" s="3165"/>
    </row>
    <row r="57" spans="1:35" ht="12.75">
      <c r="A57" s="183" t="s">
        <v>2192</v>
      </c>
      <c r="B57" s="3103" t="s">
        <v>2220</v>
      </c>
      <c r="C57" s="3112"/>
      <c r="D57" s="187">
        <v>0</v>
      </c>
      <c r="E57" s="23" t="s">
        <v>2194</v>
      </c>
      <c r="F57" s="155"/>
      <c r="G57" s="2482"/>
      <c r="H57" s="2486"/>
      <c r="I57" s="2486"/>
      <c r="J57" s="3138">
        <f>IF(AND(J55="",J56=""),4,IF(项目基本情况!K6="上海银行",结果表!J56+1,结果表!J55+1))</f>
        <v>4</v>
      </c>
      <c r="K57" s="3138" t="s">
        <v>2221</v>
      </c>
      <c r="L57" s="2487" t="s">
        <v>2222</v>
      </c>
      <c r="M57" s="1759"/>
      <c r="N57" s="1760">
        <f ca="1">SUMIF(M52:M56,"&lt;9e307")</f>
        <v>7037</v>
      </c>
      <c r="O57" s="2488"/>
      <c r="P57" s="1753">
        <f ca="1">N57/M49</f>
        <v>0.23430112539122327</v>
      </c>
    </row>
    <row r="58" spans="1:35" ht="24.75">
      <c r="A58" s="183" t="s">
        <v>2203</v>
      </c>
      <c r="B58" s="3103" t="s">
        <v>2223</v>
      </c>
      <c r="C58" s="3104"/>
      <c r="D58" s="185">
        <f ca="1">IF(H58="转让取得",C81,C97)</f>
        <v>6067</v>
      </c>
      <c r="E58" s="11" t="s">
        <v>2218</v>
      </c>
      <c r="F58" s="24" t="s">
        <v>34</v>
      </c>
      <c r="G58" s="2482"/>
      <c r="H58" s="2485" t="s">
        <v>2224</v>
      </c>
      <c r="I58" s="2486"/>
      <c r="J58" s="3138"/>
      <c r="K58" s="3138"/>
      <c r="L58" s="2487" t="s">
        <v>2225</v>
      </c>
      <c r="M58" s="1761"/>
      <c r="N58" s="2489" t="str">
        <f ca="1">NUMBERSTRING(INT(N57*10000),2)&amp;"元整"</f>
        <v>柒仟零叁拾柒万元整</v>
      </c>
      <c r="O58" s="2490"/>
    </row>
    <row r="59" spans="1:35" ht="24.75" thickBot="1">
      <c r="A59" s="3141" t="s">
        <v>2226</v>
      </c>
      <c r="B59" s="3142"/>
      <c r="C59" s="3142"/>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139">
        <f>J57+1</f>
        <v>5</v>
      </c>
      <c r="K59" s="3138" t="s">
        <v>2228</v>
      </c>
      <c r="L59" s="1812" t="s">
        <v>2222</v>
      </c>
      <c r="M59" s="1762"/>
      <c r="N59" s="1763">
        <f ca="1">M49-N57</f>
        <v>22997</v>
      </c>
      <c r="O59" s="2492"/>
    </row>
    <row r="60" spans="1:35" ht="12" customHeight="1">
      <c r="A60" s="2493"/>
      <c r="B60" s="2415"/>
      <c r="C60" s="2415"/>
      <c r="D60" s="2415"/>
      <c r="E60" s="2163"/>
      <c r="F60" s="2486"/>
      <c r="G60" s="2486"/>
      <c r="H60" s="2494"/>
      <c r="I60" s="138"/>
      <c r="J60" s="3140"/>
      <c r="K60" s="3138"/>
      <c r="L60" s="2487" t="s">
        <v>2225</v>
      </c>
      <c r="M60" s="1761"/>
      <c r="N60" s="2489" t="str">
        <f ca="1">NUMBERSTRING(INT(N59*10000),2)&amp;"元整"</f>
        <v>贰亿贰仟玖佰玖拾柒万元整</v>
      </c>
      <c r="O60" s="2490"/>
    </row>
    <row r="61" spans="1:35" ht="13.5" thickBot="1">
      <c r="A61" s="3085" t="s">
        <v>2229</v>
      </c>
      <c r="B61" s="3085"/>
      <c r="C61" s="3085"/>
      <c r="D61" s="3085"/>
      <c r="E61" s="3085"/>
      <c r="F61" s="2486"/>
      <c r="G61" s="2486"/>
      <c r="H61" s="2494"/>
      <c r="I61" s="138"/>
      <c r="J61" s="1812">
        <f>J59+1</f>
        <v>6</v>
      </c>
      <c r="K61" s="3138" t="s">
        <v>2230</v>
      </c>
      <c r="L61" s="3138"/>
      <c r="M61" s="1764"/>
      <c r="N61" s="1765">
        <f ca="1">ROUND(N59*10000/'数据-汇总表'!E3,0)</f>
        <v>28143</v>
      </c>
      <c r="O61" s="2495"/>
    </row>
    <row r="62" spans="1:35" ht="12.75">
      <c r="A62" s="3101" t="s">
        <v>2231</v>
      </c>
      <c r="B62" s="3102"/>
      <c r="C62" s="1804"/>
      <c r="D62" s="1804" t="s">
        <v>2232</v>
      </c>
      <c r="E62" s="192" t="s">
        <v>2233</v>
      </c>
      <c r="F62" s="2486"/>
      <c r="G62" s="2486"/>
      <c r="H62" s="2494"/>
      <c r="I62" s="138"/>
    </row>
    <row r="63" spans="1:35" ht="12.75">
      <c r="A63" s="203" t="s">
        <v>775</v>
      </c>
      <c r="B63" s="193" t="s">
        <v>2234</v>
      </c>
      <c r="C63" s="194">
        <f ca="1">ROUND((C64+C65)/(1+'数据-取费表'!C42),0)</f>
        <v>17162</v>
      </c>
      <c r="D63" s="195"/>
      <c r="E63" s="196"/>
      <c r="F63" s="2486"/>
      <c r="G63" s="2486"/>
      <c r="H63" s="2494"/>
      <c r="I63" s="138"/>
      <c r="J63" s="3163" t="s">
        <v>2235</v>
      </c>
      <c r="K63" s="2496" t="s">
        <v>2236</v>
      </c>
      <c r="L63" s="1752">
        <f ca="1">IF(M49&gt;10000,M49*0.5%,IF(AND(M49&gt;1000,M49&lt;=10000),M49*1%,IF(AND(M49&gt;100,M49&lt;=1000),M49*3%,IF(AND(M49&gt;10,M49&lt;=100),M49*5%,M49*8%))))</f>
        <v>150.17000000000002</v>
      </c>
      <c r="M63" s="24">
        <f ca="1">ROUND(L63,1)</f>
        <v>150.19999999999999</v>
      </c>
      <c r="Z63" s="2420"/>
      <c r="AI63" s="2421"/>
    </row>
    <row r="64" spans="1:35" ht="14.25" customHeight="1">
      <c r="A64" s="197" t="s">
        <v>770</v>
      </c>
      <c r="B64" s="198" t="s">
        <v>2237</v>
      </c>
      <c r="C64" s="199">
        <f ca="1">D45</f>
        <v>18020</v>
      </c>
      <c r="D64" s="200" t="s">
        <v>32</v>
      </c>
      <c r="E64" s="201"/>
      <c r="F64" s="2486"/>
      <c r="G64" s="2486"/>
      <c r="H64" s="2494"/>
      <c r="I64" s="138"/>
      <c r="J64" s="3163"/>
      <c r="K64" s="2496" t="s">
        <v>2238</v>
      </c>
      <c r="L64" s="1752">
        <f ca="1">IF(M49&gt;2000,M49*0.5%,IF(AND(M49&gt;1000,M49&lt;=2000),M49*0.6%,IF(AND(M49&gt;500,M49&lt;=1000),M49*0.7%,IF(AND(M49&gt;200,M49&lt;=500),M49*0.8%,IF(AND(M49&gt;100,M49&lt;=200),M49*0.9%,IF(AND(M49&gt;50,M49&lt;=100),M49*1%,IF(AND(M49&gt;20,M49&lt;=50),M49*1.5%,IF(AND(M49&gt;10,M49&lt;=20),M49*2%,IF(AND(M49&gt;1,M49&lt;=10),M49*2.5%)))))))))</f>
        <v>150.17000000000002</v>
      </c>
      <c r="M64" s="24">
        <f t="shared" ref="M64:M65" ca="1" si="1">ROUND(L64,1)</f>
        <v>150.19999999999999</v>
      </c>
      <c r="N64" s="138" t="s">
        <v>2239</v>
      </c>
      <c r="Z64" s="2420"/>
      <c r="AI64" s="2421"/>
    </row>
    <row r="65" spans="1:35" ht="14.25" customHeight="1">
      <c r="A65" s="197" t="s">
        <v>771</v>
      </c>
      <c r="B65" s="198" t="s">
        <v>2240</v>
      </c>
      <c r="C65" s="202"/>
      <c r="D65" s="200"/>
      <c r="E65" s="201"/>
      <c r="F65" s="2486"/>
      <c r="G65" s="2486"/>
      <c r="H65" s="2494"/>
      <c r="I65" s="138"/>
      <c r="J65" s="3163"/>
      <c r="K65" s="2496" t="s">
        <v>2241</v>
      </c>
      <c r="L65" s="1752">
        <f ca="1">IF(M49&gt;1000,M49*0.1%,IF(AND(M49&gt;500,M49&lt;=1000),M49*0.5%,IF(AND(M49&gt;50,M49&lt;=500),M49*1%,IF(AND(M49&gt;1,M49&lt;=50),M49*1.5%))))</f>
        <v>30.033999999999999</v>
      </c>
      <c r="M65" s="24">
        <f t="shared" ca="1" si="1"/>
        <v>30</v>
      </c>
      <c r="N65" s="138" t="s">
        <v>2239</v>
      </c>
      <c r="Z65" s="2420"/>
      <c r="AI65" s="2421"/>
    </row>
    <row r="66" spans="1:35" ht="14.25" customHeight="1">
      <c r="A66" s="203" t="s">
        <v>772</v>
      </c>
      <c r="B66" s="204" t="s">
        <v>2242</v>
      </c>
      <c r="C66" s="205"/>
      <c r="D66" s="206" t="s">
        <v>32</v>
      </c>
      <c r="E66" s="1776" t="s">
        <v>1371</v>
      </c>
      <c r="F66" s="2486"/>
      <c r="G66" s="2486"/>
      <c r="H66" s="2494"/>
      <c r="I66" s="138"/>
      <c r="J66" s="3163"/>
      <c r="K66" s="2496" t="s">
        <v>2243</v>
      </c>
      <c r="L66" s="1752">
        <f ca="1">M49*0.5%</f>
        <v>150.17000000000002</v>
      </c>
      <c r="M66" s="24">
        <f ca="1">IF(L66&gt;0.5,0.5,ROUND(L66,0))</f>
        <v>0.5</v>
      </c>
      <c r="N66" s="138" t="s">
        <v>2244</v>
      </c>
      <c r="Z66" s="2420"/>
      <c r="AI66" s="2421"/>
    </row>
    <row r="67" spans="1:35" ht="14.25" customHeight="1">
      <c r="A67" s="203" t="s">
        <v>773</v>
      </c>
      <c r="B67" s="204" t="s">
        <v>2245</v>
      </c>
      <c r="C67" s="207">
        <f ca="1">C63-C66</f>
        <v>17162</v>
      </c>
      <c r="D67" s="200" t="s">
        <v>32</v>
      </c>
      <c r="E67" s="201"/>
      <c r="F67" s="2486"/>
      <c r="G67" s="2486"/>
      <c r="H67" s="2494"/>
      <c r="I67" s="138"/>
      <c r="J67" s="3163"/>
      <c r="K67" s="2496" t="s">
        <v>2246</v>
      </c>
      <c r="L67" s="1752">
        <f ca="1">IF(M49&gt;=10000,(8.25+(M49-10000)*0.01%),IF(AND(M49&gt;=8000,M49&lt;10000),(7.85+(M49-8000)*0.02%),IF(AND(M49&gt;=5000,M49&lt;8000),(6.65+(M49-5000)*0.04%),IF(AND(M49&gt;=2000,M49&lt;5000),(4.25+(PM49-2000)*0.08%),IF(AND(M49&gt;=1000,M49&lt;2000),(2.75+(M49-1000)*0.15%),IF(AND(M49&gt;=100,M49&lt;1000),(0.5+(M49-100)*0.25%),IF(AND(M49&gt;0,M49&lt;100),M49*0.5%)))))))</f>
        <v>10.253399999999999</v>
      </c>
      <c r="M67" s="24">
        <f ca="1">ROUND(L67*0.9,1)</f>
        <v>9.1999999999999993</v>
      </c>
      <c r="Z67" s="2420"/>
      <c r="AI67" s="2421"/>
    </row>
    <row r="68" spans="1:35" ht="14.25" customHeight="1" thickBot="1">
      <c r="A68" s="208" t="s">
        <v>774</v>
      </c>
      <c r="B68" s="209" t="s">
        <v>2247</v>
      </c>
      <c r="C68" s="210">
        <f ca="1">IF(C67&lt;=0,0,ROUND(C67*D68,0))</f>
        <v>961</v>
      </c>
      <c r="D68" s="211">
        <f>'数据-取费表'!B41</f>
        <v>5.6000000000000001E-2</v>
      </c>
      <c r="E68" s="212"/>
      <c r="F68" s="2486"/>
      <c r="G68" s="2486"/>
      <c r="H68" s="2494"/>
      <c r="I68" s="138"/>
      <c r="J68" s="3163"/>
      <c r="K68" s="2496" t="s">
        <v>2248</v>
      </c>
      <c r="L68" s="1752">
        <f ca="1">IF(M49&gt;10000,M49*0.5%,IF(AND(M49&gt;5000,M49&lt;=10000),M49*1%,IF(AND(M49&gt;1000,M49&lt;=5000),M49*2%,IF(AND(M49&gt;200,M49&lt;=1000),M49*3%,M49*5%))))</f>
        <v>150.17000000000002</v>
      </c>
      <c r="M68" s="24">
        <f ca="1">ROUND(L68,1)</f>
        <v>150.19999999999999</v>
      </c>
      <c r="Z68" s="2420"/>
      <c r="AI68" s="2421"/>
    </row>
    <row r="69" spans="1:35" s="2443" customFormat="1" ht="16.5" customHeight="1">
      <c r="A69" s="2497"/>
      <c r="B69" s="2498"/>
      <c r="C69" s="2499"/>
      <c r="D69" s="2500"/>
      <c r="E69" s="2501"/>
      <c r="F69" s="2163"/>
      <c r="G69" s="2163"/>
      <c r="H69" s="2162"/>
      <c r="I69" s="2415"/>
      <c r="J69" s="3163"/>
      <c r="K69" s="2496" t="s">
        <v>2249</v>
      </c>
      <c r="L69" s="2502"/>
      <c r="M69" s="24">
        <f ca="1">ROUND(SUM(M63:M68),0)</f>
        <v>490</v>
      </c>
      <c r="N69" s="1753">
        <f ca="1">M69/M49</f>
        <v>1.6314843177731905E-2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2" t="s">
        <v>2250</v>
      </c>
      <c r="B70" s="3123"/>
      <c r="C70" s="3123"/>
      <c r="D70" s="3123"/>
      <c r="E70" s="3123"/>
      <c r="F70" s="3123"/>
      <c r="G70" s="3123"/>
      <c r="H70" s="312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01" t="s">
        <v>2231</v>
      </c>
      <c r="B71" s="3102"/>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17162</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103</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096" t="s">
        <v>2259</v>
      </c>
      <c r="F76" s="3073"/>
      <c r="G76" s="3073"/>
      <c r="H76" s="312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103</v>
      </c>
      <c r="D78" s="226">
        <f>'数据-取费表'!B43</f>
        <v>6.000000000000001E-3</v>
      </c>
      <c r="E78" s="3082" t="s">
        <v>2264</v>
      </c>
      <c r="F78" s="3083"/>
      <c r="G78" s="3083"/>
      <c r="H78" s="309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17059</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165.62135922330097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10199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2" t="s">
        <v>2268</v>
      </c>
      <c r="B83" s="3123"/>
      <c r="C83" s="3123"/>
      <c r="D83" s="3123"/>
      <c r="E83" s="3123"/>
      <c r="F83" s="3123"/>
      <c r="G83" s="3123"/>
      <c r="H83" s="312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1" t="s">
        <v>2231</v>
      </c>
      <c r="B84" s="3102"/>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17162</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4452.6030000000001</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335.60300000000001</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325.60300000000001</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10</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3010</v>
      </c>
      <c r="D91" s="226"/>
      <c r="E91" s="3082" t="s">
        <v>2277</v>
      </c>
      <c r="F91" s="3083"/>
      <c r="G91" s="3083"/>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335</v>
      </c>
      <c r="D92" s="226">
        <v>0.1</v>
      </c>
      <c r="E92" s="3082" t="s">
        <v>2280</v>
      </c>
      <c r="F92" s="3083"/>
      <c r="G92" s="3083"/>
      <c r="H92" s="309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103</v>
      </c>
      <c r="D93" s="226">
        <f>'数据-取费表'!B43</f>
        <v>6.000000000000001E-3</v>
      </c>
      <c r="E93" s="3082" t="s">
        <v>2264</v>
      </c>
      <c r="F93" s="3083"/>
      <c r="G93" s="3083"/>
      <c r="H93" s="309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669</v>
      </c>
      <c r="D94" s="226">
        <v>0.2</v>
      </c>
      <c r="E94" s="3093" t="s">
        <v>2284</v>
      </c>
      <c r="F94" s="3094"/>
      <c r="G94" s="3094"/>
      <c r="H94" s="309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12709</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2.8542854595390605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6067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67" t="s">
        <v>2286</v>
      </c>
      <c r="B100" s="3068"/>
      <c r="C100" s="3068"/>
      <c r="D100" s="3084"/>
      <c r="E100" s="3068" t="s">
        <v>2287</v>
      </c>
      <c r="F100" s="3068"/>
      <c r="G100" s="3068"/>
      <c r="H100" s="3084"/>
      <c r="I100" s="138"/>
    </row>
    <row r="101" spans="1:35" ht="18.75" customHeight="1">
      <c r="A101" s="3146" t="s">
        <v>2288</v>
      </c>
      <c r="B101" s="3147"/>
      <c r="C101" s="736" t="str">
        <f>C4</f>
        <v>成本法</v>
      </c>
      <c r="D101" s="737" t="str">
        <f>D4</f>
        <v>收益法</v>
      </c>
      <c r="E101" s="3160" t="s">
        <v>2289</v>
      </c>
      <c r="F101" s="3114"/>
      <c r="G101" s="2517" t="s">
        <v>2290</v>
      </c>
      <c r="H101" s="1048">
        <f ca="1">H118</f>
        <v>30034</v>
      </c>
      <c r="I101" s="138"/>
    </row>
    <row r="102" spans="1:35" ht="18.75" customHeight="1">
      <c r="A102" s="3116" t="s">
        <v>2291</v>
      </c>
      <c r="B102" s="2517" t="s">
        <v>2290</v>
      </c>
      <c r="C102" s="736">
        <f ca="1">C19</f>
        <v>23502</v>
      </c>
      <c r="D102" s="737">
        <f ca="1">D19</f>
        <v>32833</v>
      </c>
      <c r="E102" s="3160"/>
      <c r="F102" s="3114"/>
      <c r="G102" s="2517" t="s">
        <v>2292</v>
      </c>
      <c r="H102" s="371">
        <f ca="1">I118</f>
        <v>36755</v>
      </c>
      <c r="I102" s="138"/>
    </row>
    <row r="103" spans="1:35" ht="42.75" customHeight="1">
      <c r="A103" s="3116"/>
      <c r="B103" s="2517" t="s">
        <v>2292</v>
      </c>
      <c r="C103" s="738">
        <f ca="1">C20</f>
        <v>28761</v>
      </c>
      <c r="D103" s="739">
        <f ca="1">D20</f>
        <v>48187</v>
      </c>
      <c r="E103" s="3155" t="s">
        <v>2293</v>
      </c>
      <c r="F103" s="3156"/>
      <c r="G103" s="2518" t="s">
        <v>2294</v>
      </c>
      <c r="H103" s="1048">
        <f>IF(D36="正常操作",H104+H105+H106,H105+H106)</f>
        <v>0</v>
      </c>
      <c r="I103" s="138"/>
    </row>
    <row r="104" spans="1:35" ht="18.75" customHeight="1">
      <c r="A104" s="3116" t="s">
        <v>2295</v>
      </c>
      <c r="B104" s="2519" t="s">
        <v>2290</v>
      </c>
      <c r="C104" s="740">
        <f ca="1">H118</f>
        <v>30034</v>
      </c>
      <c r="D104" s="741"/>
      <c r="E104" s="2264" t="s">
        <v>2296</v>
      </c>
      <c r="F104" s="2255"/>
      <c r="G104" s="2518" t="s">
        <v>2294</v>
      </c>
      <c r="H104" s="1049">
        <f>IF(D36="同一抵押权人同一抵押物续贷",C36&amp;"（未扣减，详见特别提示）",C36)</f>
        <v>0</v>
      </c>
      <c r="I104" s="138"/>
    </row>
    <row r="105" spans="1:35" ht="18.75" customHeight="1" thickBot="1">
      <c r="A105" s="3117"/>
      <c r="B105" s="2520" t="s">
        <v>2292</v>
      </c>
      <c r="C105" s="742">
        <f ca="1">I118</f>
        <v>36755</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13" t="str">
        <f>IF(项目基本情况!E8="已注销","——","3.房地产抵押价值")</f>
        <v>3.房地产抵押价值</v>
      </c>
      <c r="F107" s="3114"/>
      <c r="G107" s="2517" t="s">
        <v>2290</v>
      </c>
      <c r="H107" s="1048">
        <f ca="1">IF(E107="——","——",H101-H103)</f>
        <v>30034</v>
      </c>
      <c r="I107" s="138"/>
    </row>
    <row r="108" spans="1:35" ht="18.75" customHeight="1">
      <c r="A108" s="138"/>
      <c r="B108" s="138"/>
      <c r="C108" s="138"/>
      <c r="D108" s="138"/>
      <c r="E108" s="3113"/>
      <c r="F108" s="3114"/>
      <c r="G108" s="2517" t="s">
        <v>2292</v>
      </c>
      <c r="H108" s="371">
        <f ca="1">ROUND(H107*10000/'数据-汇总表'!E3,0)</f>
        <v>36755</v>
      </c>
      <c r="I108" s="138"/>
    </row>
    <row r="109" spans="1:35" ht="18.75" customHeight="1">
      <c r="A109" s="138"/>
      <c r="B109" s="138"/>
      <c r="C109" s="138"/>
      <c r="D109" s="138"/>
      <c r="E109" s="3113" t="str">
        <f>IF(项目基本情况!E8="已注销及未注销","4.抵押担保权已注销时的房地产抵押价值",IF(项目基本情况!E8="已注销","3.抵押担保权已注销时的房地产抵押价值","——"))</f>
        <v>——</v>
      </c>
      <c r="F109" s="3114"/>
      <c r="G109" s="2517" t="s">
        <v>2290</v>
      </c>
      <c r="H109" s="348" t="str">
        <f>IF(E109="——","——",H101-H105-H106)</f>
        <v>——</v>
      </c>
      <c r="I109" s="138"/>
    </row>
    <row r="110" spans="1:35" ht="18.75" customHeight="1">
      <c r="A110" s="138"/>
      <c r="B110" s="138"/>
      <c r="C110" s="138"/>
      <c r="D110" s="138"/>
      <c r="E110" s="3113"/>
      <c r="F110" s="3114"/>
      <c r="G110" s="2517" t="s">
        <v>2292</v>
      </c>
      <c r="H110" s="371" t="str">
        <f>IF(H109="——","——",ROUND(H109*10000/'数据-汇总表'!E3,0))</f>
        <v>——</v>
      </c>
      <c r="I110" s="138"/>
    </row>
    <row r="111" spans="1:35" ht="18.75" customHeight="1">
      <c r="A111" s="138"/>
      <c r="B111" s="138"/>
      <c r="C111" s="138"/>
      <c r="D111" s="138"/>
      <c r="E111" s="3148" t="str">
        <f>IF(项目基本情况!E9="抵押净值",IF(OR(项目基本情况!E8="已注销",项目基本情况!E8="房地产抵押价值"),"4.抵押净值","5.抵押净值"),"——")</f>
        <v>4.抵押净值</v>
      </c>
      <c r="F111" s="3149"/>
      <c r="G111" s="2517" t="s">
        <v>2290</v>
      </c>
      <c r="H111" s="1048">
        <f ca="1">IF(E111="——","——",N59)</f>
        <v>22997</v>
      </c>
      <c r="I111" s="138"/>
    </row>
    <row r="112" spans="1:35" ht="18.75" customHeight="1" thickBot="1">
      <c r="A112" s="138"/>
      <c r="B112" s="138"/>
      <c r="C112" s="138"/>
      <c r="D112" s="138"/>
      <c r="E112" s="3150"/>
      <c r="F112" s="3151"/>
      <c r="G112" s="2522" t="s">
        <v>2292</v>
      </c>
      <c r="H112" s="790">
        <f ca="1">IF(E111="——","——",N61)</f>
        <v>28143</v>
      </c>
      <c r="I112" s="138"/>
    </row>
    <row r="113" spans="1:11" ht="18.75" customHeight="1">
      <c r="A113" s="138"/>
      <c r="B113" s="138"/>
      <c r="C113" s="138"/>
      <c r="D113" s="138"/>
      <c r="E113" s="3118" t="s">
        <v>2298</v>
      </c>
      <c r="F113" s="3118"/>
      <c r="G113" s="3118"/>
      <c r="H113" s="3118"/>
      <c r="I113" s="138"/>
    </row>
    <row r="114" spans="1:11" ht="3.75" customHeight="1">
      <c r="A114" s="2415"/>
      <c r="B114" s="2415"/>
      <c r="C114" s="2415"/>
      <c r="D114" s="2415"/>
      <c r="E114" s="2493"/>
      <c r="F114" s="2493"/>
      <c r="G114" s="2493"/>
      <c r="H114" s="2493"/>
      <c r="I114" s="2415"/>
    </row>
    <row r="115" spans="1:11" ht="18.75" customHeight="1">
      <c r="A115" s="3131" t="s">
        <v>2300</v>
      </c>
      <c r="B115" s="3132"/>
      <c r="C115" s="3132"/>
      <c r="D115" s="3132"/>
      <c r="E115" s="3132"/>
      <c r="F115" s="3132"/>
      <c r="G115" s="3132"/>
      <c r="H115" s="3132"/>
      <c r="I115" s="3133"/>
    </row>
    <row r="116" spans="1:11" ht="27" customHeight="1">
      <c r="A116" s="3024" t="s">
        <v>2301</v>
      </c>
      <c r="B116" s="3119" t="s">
        <v>3164</v>
      </c>
      <c r="C116" s="3119" t="s">
        <v>3158</v>
      </c>
      <c r="D116" s="3135" t="s">
        <v>2302</v>
      </c>
      <c r="E116" s="3136"/>
      <c r="F116" s="3127" t="s">
        <v>3160</v>
      </c>
      <c r="G116" s="3127"/>
      <c r="H116" s="3024" t="s">
        <v>2303</v>
      </c>
      <c r="I116" s="3024"/>
    </row>
    <row r="117" spans="1:11" ht="18.75" customHeight="1">
      <c r="A117" s="3024"/>
      <c r="B117" s="3120"/>
      <c r="C117" s="3120"/>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25259</v>
      </c>
      <c r="E118" s="1798">
        <f ca="1">ROUND(IF(C33="自定义",IF(D32="楼面单价",C34,D118*10000/B118),I118-G118),0)</f>
        <v>30911</v>
      </c>
      <c r="F118" s="1798">
        <f ca="1">ROUND(IF(D32="总价",C35,G118*B118/10000),0)</f>
        <v>4775</v>
      </c>
      <c r="G118" s="1798">
        <f ca="1">ROUND(IF(D32="楼面单价",C35,F118*10000/B118),0)</f>
        <v>5844</v>
      </c>
      <c r="H118" s="1798">
        <f ca="1">ROUND(IF(D32="总价",C32,I118*B118/10000),0)</f>
        <v>30034</v>
      </c>
      <c r="I118" s="1798">
        <f ca="1">ROUND(IF(D32="楼面单价",C32,H118*10000/B118),0)</f>
        <v>36755</v>
      </c>
    </row>
    <row r="119" spans="1:11" ht="18.75" customHeight="1">
      <c r="A119" s="3024" t="s">
        <v>2307</v>
      </c>
      <c r="B119" s="3024"/>
      <c r="C119" s="3024"/>
      <c r="D119" s="3124" t="str">
        <f ca="1">NUMBERSTRING(INT(D118*10000),2)&amp;"元整"</f>
        <v>贰亿伍仟贰佰伍拾玖万元整</v>
      </c>
      <c r="E119" s="3126"/>
      <c r="F119" s="3124" t="str">
        <f ca="1">NUMBERSTRING(INT(F118*10000),2)&amp;"元整"</f>
        <v>肆仟柒佰柒拾伍万元整</v>
      </c>
      <c r="G119" s="3126"/>
      <c r="H119" s="3124" t="str">
        <f ca="1">NUMBERSTRING(INT(H118*10000),2)&amp;"元整"</f>
        <v>叁亿零叁拾肆万元整</v>
      </c>
      <c r="I119" s="3126"/>
    </row>
    <row r="120" spans="1:11" ht="18.75" customHeight="1">
      <c r="A120" s="3152" t="str">
        <f>IF(项目基本情况!B9="房地产市场价值","",MID(E103,3,LEN(E103)-2))</f>
        <v>估价师知悉的法定优先受偿款</v>
      </c>
      <c r="B120" s="3153"/>
      <c r="C120" s="3154"/>
      <c r="D120" s="3152">
        <f>H103</f>
        <v>0</v>
      </c>
      <c r="E120" s="3153"/>
      <c r="F120" s="3153"/>
      <c r="G120" s="3153"/>
      <c r="H120" s="3153"/>
      <c r="I120" s="3154"/>
      <c r="K120" s="2420" t="str">
        <f>IF(D120=0,"故，本次评估不存在"&amp;A120,"故，本次评估"&amp;A120&amp;"为人民币"&amp;D120&amp;"万元整。")</f>
        <v>故，本次评估不存在估价师知悉的法定优先受偿款</v>
      </c>
    </row>
    <row r="121" spans="1:11" ht="18.75" customHeight="1">
      <c r="A121" s="3128" t="s">
        <v>2307</v>
      </c>
      <c r="B121" s="3129"/>
      <c r="C121" s="3130"/>
      <c r="D121" s="3124" t="str">
        <f>IF(D120=0,"零元整",NUMBERSTRING(INT(D120*10000),2)&amp;"元整")</f>
        <v>零元整</v>
      </c>
      <c r="E121" s="3125"/>
      <c r="F121" s="3125"/>
      <c r="G121" s="3125"/>
      <c r="H121" s="3125"/>
      <c r="I121" s="3126"/>
    </row>
    <row r="122" spans="1:11" ht="18.75" customHeight="1">
      <c r="A122" s="3115" t="str">
        <f>IF(项目基本情况!B9="房地产市场价值","",MID(E107,3,LEN(E107)-2))</f>
        <v>房地产抵押价值</v>
      </c>
      <c r="B122" s="3115"/>
      <c r="C122" s="3115"/>
      <c r="D122" s="3152">
        <f ca="1">H107</f>
        <v>30034</v>
      </c>
      <c r="E122" s="3153"/>
      <c r="F122" s="3153"/>
      <c r="G122" s="3153"/>
      <c r="H122" s="3153"/>
      <c r="I122" s="3154"/>
    </row>
    <row r="123" spans="1:11" ht="18.75" customHeight="1">
      <c r="A123" s="3024" t="s">
        <v>2307</v>
      </c>
      <c r="B123" s="3024"/>
      <c r="C123" s="3024"/>
      <c r="D123" s="3124" t="str">
        <f ca="1">NUMBERSTRING(INT(D122*10000),2)&amp;"元整"</f>
        <v>叁亿零叁拾肆万元整</v>
      </c>
      <c r="E123" s="3125"/>
      <c r="F123" s="3125"/>
      <c r="G123" s="3125"/>
      <c r="H123" s="3125"/>
      <c r="I123" s="3126"/>
    </row>
    <row r="124" spans="1:11" ht="18.75" hidden="1" customHeight="1">
      <c r="A124" s="3115" t="str">
        <f>IF(项目基本情况!B9="房地产市场价值","",MID(E109,3,LEN(E109)-2))</f>
        <v/>
      </c>
      <c r="B124" s="3115"/>
      <c r="C124" s="3115"/>
      <c r="D124" s="3152" t="str">
        <f>H109</f>
        <v>——</v>
      </c>
      <c r="E124" s="3153"/>
      <c r="F124" s="3153"/>
      <c r="G124" s="3153"/>
      <c r="H124" s="3153"/>
      <c r="I124" s="3154"/>
    </row>
    <row r="125" spans="1:11" ht="18.75" hidden="1" customHeight="1">
      <c r="A125" s="3024" t="s">
        <v>2307</v>
      </c>
      <c r="B125" s="3024"/>
      <c r="C125" s="3024"/>
      <c r="D125" s="3124" t="e">
        <f>NUMBERSTRING(INT(D124*10000),2)&amp;"元整"</f>
        <v>#VALUE!</v>
      </c>
      <c r="E125" s="3125"/>
      <c r="F125" s="3125"/>
      <c r="G125" s="3125"/>
      <c r="H125" s="3125"/>
      <c r="I125" s="3126"/>
    </row>
    <row r="126" spans="1:11" ht="18.75" customHeight="1">
      <c r="A126" s="3115" t="str">
        <f>IF(项目基本情况!B9="房地产市场价值","",MID(E111,3,LEN(E111)-2))</f>
        <v>抵押净值</v>
      </c>
      <c r="B126" s="3115"/>
      <c r="C126" s="3115"/>
      <c r="D126" s="3152">
        <f ca="1">H111</f>
        <v>22997</v>
      </c>
      <c r="E126" s="3153"/>
      <c r="F126" s="3153"/>
      <c r="G126" s="3153"/>
      <c r="H126" s="3153"/>
      <c r="I126" s="3154"/>
    </row>
    <row r="127" spans="1:11" ht="18.75" customHeight="1">
      <c r="A127" s="3024" t="s">
        <v>2307</v>
      </c>
      <c r="B127" s="3024"/>
      <c r="C127" s="3024"/>
      <c r="D127" s="3124" t="str">
        <f ca="1">NUMBERSTRING(INT(D126*10000),2)&amp;"元整"</f>
        <v>贰亿贰仟玖佰玖拾柒万元整</v>
      </c>
      <c r="E127" s="3125"/>
      <c r="F127" s="3125"/>
      <c r="G127" s="3125"/>
      <c r="H127" s="3125"/>
      <c r="I127" s="3126"/>
    </row>
    <row r="128" spans="1:11" ht="21.75" customHeight="1">
      <c r="A128" s="3134" t="s">
        <v>2308</v>
      </c>
      <c r="B128" s="3134"/>
      <c r="C128" s="3134"/>
      <c r="D128" s="3134"/>
      <c r="E128" s="3134"/>
      <c r="F128" s="3134"/>
      <c r="G128" s="3134"/>
      <c r="H128" s="3134"/>
      <c r="I128" s="3134"/>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8" sqref="K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6813.6499999999987</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12647</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18561</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9"/>
      <c r="B4" s="3170"/>
      <c r="C4" s="3170"/>
      <c r="D4" s="3171"/>
      <c r="E4" s="3171"/>
      <c r="F4" s="3171"/>
      <c r="G4" s="3171"/>
      <c r="H4" s="3171"/>
      <c r="I4" s="3171"/>
      <c r="J4" s="3172"/>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73"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74"/>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6" t="s">
        <v>2829</v>
      </c>
      <c r="X8" s="3167"/>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74"/>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8"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74"/>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74"/>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8"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73"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8"/>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5"/>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68"/>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75"/>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6"/>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3"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4"/>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12647</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5618.3899999999985</v>
      </c>
      <c r="E29" s="945">
        <f ca="1">ROUND(C29*D29/10000,0)</f>
        <v>12096</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83"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4"/>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4"/>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5"/>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77" t="s">
        <v>2961</v>
      </c>
      <c r="B90" s="3177"/>
      <c r="C90" s="3177"/>
      <c r="D90" s="3177"/>
      <c r="E90" s="3177"/>
      <c r="F90" s="3177"/>
      <c r="G90" s="3177"/>
      <c r="H90" s="3177"/>
      <c r="I90" s="3177"/>
      <c r="J90" s="3177"/>
      <c r="K90" s="2891"/>
      <c r="L90" s="2891"/>
      <c r="M90" s="2891"/>
      <c r="N90" s="2891"/>
    </row>
    <row r="91" spans="1:37">
      <c r="A91" s="3179" t="s">
        <v>2962</v>
      </c>
      <c r="B91" s="3179" t="s">
        <v>2963</v>
      </c>
      <c r="C91" s="2845" t="s">
        <v>2964</v>
      </c>
      <c r="D91" s="2846"/>
      <c r="E91" s="2846"/>
      <c r="F91" s="2846"/>
      <c r="G91" s="2846"/>
      <c r="H91" s="2846"/>
      <c r="I91" s="2846"/>
      <c r="J91" s="2892"/>
      <c r="K91" s="2893"/>
      <c r="L91" s="2893"/>
      <c r="M91" s="2893"/>
      <c r="N91" s="2893"/>
    </row>
    <row r="92" spans="1:37">
      <c r="A92" s="3179"/>
      <c r="B92" s="3179"/>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80"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8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8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8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8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8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81"/>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8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80"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81"/>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81"/>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81"/>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81"/>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81"/>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81"/>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81"/>
      <c r="B108" s="3139"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82"/>
      <c r="B109" s="3140"/>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78" t="s">
        <v>2969</v>
      </c>
      <c r="B110" s="3178"/>
      <c r="C110" s="3178"/>
      <c r="D110" s="3178"/>
      <c r="E110" s="3178"/>
      <c r="F110" s="3178"/>
      <c r="G110" s="3178"/>
      <c r="H110" s="3178"/>
      <c r="I110" s="3178"/>
      <c r="J110" s="3178"/>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0" t="str">
        <f>项目基本情况!B1</f>
        <v>北京市朝阳区望京利泽中园二区203号内3号综合用房房地产抵押价值预评估</v>
      </c>
      <c r="C37" s="2980"/>
      <c r="D37" s="2980"/>
      <c r="E37" s="2980"/>
      <c r="F37" s="2980"/>
      <c r="G37" s="2980"/>
      <c r="H37" s="2980"/>
      <c r="I37" s="2980"/>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23502</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28761</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13196</v>
      </c>
      <c r="D5" s="255" t="s">
        <v>2324</v>
      </c>
      <c r="E5" s="256" t="s">
        <v>2325</v>
      </c>
      <c r="F5" s="256" t="s">
        <v>2326</v>
      </c>
      <c r="G5" s="257"/>
    </row>
    <row r="6" spans="1:9" s="258" customFormat="1" ht="13.5" customHeight="1">
      <c r="A6" s="952" t="s">
        <v>2327</v>
      </c>
      <c r="B6" s="259" t="s">
        <v>2328</v>
      </c>
      <c r="C6" s="260">
        <f ca="1">基准地价修正!B2</f>
        <v>12647</v>
      </c>
      <c r="D6" s="261"/>
      <c r="E6" s="262"/>
      <c r="F6" s="262"/>
      <c r="G6" s="263"/>
    </row>
    <row r="7" spans="1:9" s="258" customFormat="1" ht="13.5" customHeight="1">
      <c r="A7" s="952" t="s">
        <v>2329</v>
      </c>
      <c r="B7" s="259" t="s">
        <v>2330</v>
      </c>
      <c r="C7" s="264">
        <f ca="1">ROUND(C6*F7,0)</f>
        <v>386</v>
      </c>
      <c r="D7" s="264"/>
      <c r="E7" s="262"/>
      <c r="F7" s="265">
        <f>'数据-取费表'!B48+'数据-取费表'!B49</f>
        <v>3.0499999999999999E-2</v>
      </c>
      <c r="G7" s="263"/>
    </row>
    <row r="8" spans="1:9" s="267" customFormat="1">
      <c r="A8" s="952" t="s">
        <v>2331</v>
      </c>
      <c r="B8" s="259" t="s">
        <v>2332</v>
      </c>
      <c r="C8" s="2974">
        <f>IF(G8="已包含在土地购买价格中","0",IF(B1="",'数据-取费表'!B29,IF(G9="全部缴纳",C9+C10,H9)))</f>
        <v>163</v>
      </c>
      <c r="D8" s="266"/>
      <c r="E8" s="264"/>
      <c r="F8" s="265"/>
      <c r="G8" s="2973" t="s">
        <v>3166</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975" t="str">
        <f>IF(G19="已包含在土地取得成本中","0",ROUND(D19*E19/10000,0))</f>
        <v>0</v>
      </c>
      <c r="D19" s="1039">
        <f ca="1">D9+D10</f>
        <v>8171.4699999999984</v>
      </c>
      <c r="E19" s="255">
        <f>'数据-取费表'!B31</f>
        <v>200</v>
      </c>
      <c r="F19" s="275"/>
      <c r="G19" s="2973" t="s">
        <v>3167</v>
      </c>
    </row>
    <row r="20" spans="1:7" s="258" customFormat="1" ht="13.5" customHeight="1">
      <c r="A20" s="299" t="s">
        <v>2348</v>
      </c>
      <c r="B20" s="254" t="s">
        <v>2349</v>
      </c>
      <c r="C20" s="276">
        <f ca="1">ROUND((C5+C19)*F20,0)</f>
        <v>396</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965</v>
      </c>
      <c r="D22" s="279">
        <f ca="1">C26</f>
        <v>1.1000000000000001E-3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951</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14</v>
      </c>
      <c r="D25" s="282"/>
      <c r="E25" s="285"/>
      <c r="F25" s="283"/>
      <c r="G25" s="286" t="s">
        <v>2365</v>
      </c>
    </row>
    <row r="26" spans="1:7" s="258" customFormat="1">
      <c r="A26" s="954" t="s">
        <v>795</v>
      </c>
      <c r="B26" s="259" t="s">
        <v>2366</v>
      </c>
      <c r="C26" s="282">
        <f ca="1">ROUND(IF('数据-取费表'!B22&lt;=1,F21*F22*'数据-取费表'!B23/2,F21*(POWER((1+F22),'数据-取费表'!B23/2)-1)),4)</f>
        <v>1.1000000000000001E-3</v>
      </c>
      <c r="D26" s="282"/>
      <c r="E26" s="285"/>
      <c r="F26" s="283"/>
      <c r="G26" s="287"/>
    </row>
    <row r="27" spans="1:7" s="258" customFormat="1" ht="24.75">
      <c r="A27" s="299" t="s">
        <v>2367</v>
      </c>
      <c r="B27" s="288" t="s">
        <v>2368</v>
      </c>
      <c r="C27" s="289">
        <f ca="1">C28</f>
        <v>3398</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3398</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19772</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3010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2724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110</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107</v>
      </c>
      <c r="D42" s="282"/>
      <c r="E42" s="282"/>
      <c r="F42" s="283"/>
      <c r="G42" s="3186" t="s">
        <v>2399</v>
      </c>
    </row>
    <row r="43" spans="1:7" ht="13.5" customHeight="1">
      <c r="A43" s="954" t="s">
        <v>792</v>
      </c>
      <c r="B43" s="259" t="s">
        <v>2400</v>
      </c>
      <c r="C43" s="282">
        <f ca="1">ROUND(IF('数据-取费表'!B22&lt;=1,C39*F22*'数据-取费表'!B21/2,C39*(POWER((1+F22),'数据-取费表'!B21/2)-1)),0)</f>
        <v>3</v>
      </c>
      <c r="D43" s="282"/>
      <c r="E43" s="282"/>
      <c r="F43" s="283"/>
      <c r="G43" s="3187"/>
    </row>
    <row r="44" spans="1:7" ht="13.5" customHeight="1">
      <c r="A44" s="954" t="s">
        <v>793</v>
      </c>
      <c r="B44" s="259" t="s">
        <v>2401</v>
      </c>
      <c r="C44" s="282">
        <f ca="1">ROUND(IF('数据-取费表'!B22&lt;=1,C40*F22*'数据-取费表'!B21/2,C40*(POWER((1+F22),'数据-取费表'!B21/2)-1)),4)</f>
        <v>1.1000000000000001E-3</v>
      </c>
      <c r="D44" s="282"/>
      <c r="E44" s="282"/>
      <c r="F44" s="283"/>
      <c r="G44" s="3188"/>
    </row>
    <row r="45" spans="1:7" s="258" customFormat="1" ht="13.5" customHeight="1">
      <c r="A45" s="299" t="s">
        <v>2402</v>
      </c>
      <c r="B45" s="288" t="s">
        <v>2368</v>
      </c>
      <c r="C45" s="289">
        <f ca="1">C46</f>
        <v>775</v>
      </c>
      <c r="D45" s="279">
        <f ca="1">C47</f>
        <v>7.4999999999999997E-3</v>
      </c>
      <c r="E45" s="280" t="s">
        <v>2394</v>
      </c>
      <c r="F45" s="290"/>
      <c r="G45" s="291" t="s">
        <v>2403</v>
      </c>
    </row>
    <row r="46" spans="1:7" s="258" customFormat="1" ht="13.5" customHeight="1">
      <c r="A46" s="954" t="s">
        <v>791</v>
      </c>
      <c r="B46" s="292" t="s">
        <v>2404</v>
      </c>
      <c r="C46" s="293">
        <f ca="1">ROUND((C33+C39)*F27,0)</f>
        <v>775</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4388</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3730</v>
      </c>
      <c r="D51" s="276"/>
      <c r="E51" s="276"/>
      <c r="F51" s="308"/>
      <c r="G51" s="278" t="s">
        <v>2415</v>
      </c>
    </row>
    <row r="52" spans="1:7" s="252" customFormat="1" ht="16.5" thickBot="1">
      <c r="A52" s="309" t="s">
        <v>2416</v>
      </c>
      <c r="B52" s="310"/>
      <c r="C52" s="311">
        <f ca="1">C31+C51</f>
        <v>23502</v>
      </c>
      <c r="D52" s="310"/>
      <c r="E52" s="310"/>
      <c r="F52" s="310"/>
      <c r="G52" s="312"/>
    </row>
    <row r="55" spans="1:7" ht="15">
      <c r="B55" s="314" t="s">
        <v>2417</v>
      </c>
      <c r="C55" s="315"/>
    </row>
    <row r="56" spans="1:7">
      <c r="B56" s="317" t="s">
        <v>1513</v>
      </c>
      <c r="C56" s="319">
        <f ca="1">1-C57</f>
        <v>0.84099999999999997</v>
      </c>
    </row>
    <row r="57" spans="1:7">
      <c r="B57" s="317" t="s">
        <v>1514</v>
      </c>
      <c r="C57" s="318">
        <f ca="1">ROUND(C51/C52,3)</f>
        <v>0.159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4220</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5164</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239103</v>
      </c>
      <c r="D22" s="279">
        <f ca="1">C26</f>
        <v>1.1000000000000001E-3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117815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117815</v>
      </c>
      <c r="D24" s="282"/>
      <c r="E24" s="282"/>
      <c r="F24" s="283"/>
      <c r="G24" s="284" t="s">
        <v>2441</v>
      </c>
    </row>
    <row r="25" spans="1:7" s="258" customFormat="1" ht="24">
      <c r="A25" s="954" t="s">
        <v>2331</v>
      </c>
      <c r="B25" s="259" t="s">
        <v>2442</v>
      </c>
      <c r="C25" s="1384">
        <f ca="1">ROUND(IF('数据-取费表'!B22&lt;=1,C20*F22*'数据-取费表'!B22/2,C20*(POWER((1+F22),'数据-取费表'!B22/2)-1)),0)</f>
        <v>3473</v>
      </c>
      <c r="D25" s="282"/>
      <c r="E25" s="285"/>
      <c r="F25" s="283"/>
      <c r="G25" s="286" t="s">
        <v>2443</v>
      </c>
    </row>
    <row r="26" spans="1:7" s="258" customFormat="1">
      <c r="A26" s="954" t="s">
        <v>795</v>
      </c>
      <c r="B26" s="259" t="s">
        <v>2366</v>
      </c>
      <c r="C26" s="282">
        <f ca="1">ROUND(IF('数据-取费表'!B22&lt;=1,F21*F22*'数据-取费表'!B22/2,F21*(POWER((1+F22),'数据-取费表'!B22/2)-1)),4)</f>
        <v>1.1000000000000001E-3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4897490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30102524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27242325</v>
      </c>
      <c r="D34" s="261"/>
      <c r="E34" s="264"/>
      <c r="F34" s="301"/>
      <c r="G34" s="263"/>
    </row>
    <row r="35" spans="1:7" ht="13.5" customHeight="1">
      <c r="A35" s="954" t="s">
        <v>796</v>
      </c>
      <c r="B35" s="259" t="s">
        <v>2382</v>
      </c>
      <c r="C35" s="264">
        <f ca="1">ROUND(C34*F35,0)</f>
        <v>817270</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408635</v>
      </c>
      <c r="D38" s="264"/>
      <c r="E38" s="264"/>
      <c r="F38" s="303">
        <f>'数据-取费表'!B36</f>
        <v>1.4999999999999999E-2</v>
      </c>
      <c r="G38" s="263" t="s">
        <v>2383</v>
      </c>
    </row>
    <row r="39" spans="1:7" s="258" customFormat="1" ht="13.5" customHeight="1">
      <c r="A39" s="299" t="s">
        <v>2389</v>
      </c>
      <c r="B39" s="254" t="s">
        <v>2390</v>
      </c>
      <c r="C39" s="276">
        <f ca="1">ROUND(C33*F20,0)</f>
        <v>903076</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1098143</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1066158</v>
      </c>
      <c r="D42" s="282"/>
      <c r="E42" s="282"/>
      <c r="F42" s="283"/>
      <c r="G42" s="3186" t="s">
        <v>2446</v>
      </c>
    </row>
    <row r="43" spans="1:7" ht="13.5" customHeight="1">
      <c r="A43" s="954" t="s">
        <v>792</v>
      </c>
      <c r="B43" s="259" t="s">
        <v>2400</v>
      </c>
      <c r="C43" s="282">
        <f ca="1">ROUND(IF('数据-取费表'!B22&lt;=1,C39*F22*'数据-取费表'!B20/2,C39*(POWER((1+F22),'数据-取费表'!B20/2)-1)),0)</f>
        <v>31985</v>
      </c>
      <c r="D43" s="282"/>
      <c r="E43" s="282"/>
      <c r="F43" s="283"/>
      <c r="G43" s="3187"/>
    </row>
    <row r="44" spans="1:7" ht="13.5" customHeight="1">
      <c r="A44" s="954" t="s">
        <v>793</v>
      </c>
      <c r="B44" s="259" t="s">
        <v>2401</v>
      </c>
      <c r="C44" s="282">
        <f ca="1">ROUND(IF('数据-取费表'!B22&lt;=1,C40*F22*'数据-取费表'!B20/2,C40*(POWER((1+F22),'数据-取费表'!B20/2)-1)),4)</f>
        <v>1.1000000000000001E-3</v>
      </c>
      <c r="D44" s="282"/>
      <c r="E44" s="282"/>
      <c r="F44" s="283"/>
      <c r="G44" s="3188"/>
    </row>
    <row r="45" spans="1:7" s="258" customFormat="1" ht="13.5" customHeight="1">
      <c r="A45" s="299" t="s">
        <v>2402</v>
      </c>
      <c r="B45" s="288" t="s">
        <v>2368</v>
      </c>
      <c r="C45" s="289">
        <f ca="1">C46</f>
        <v>7751400</v>
      </c>
      <c r="D45" s="279">
        <f ca="1">C47</f>
        <v>7.4999999999999997E-3</v>
      </c>
      <c r="E45" s="280" t="s">
        <v>2394</v>
      </c>
      <c r="F45" s="290"/>
      <c r="G45" s="291" t="s">
        <v>2403</v>
      </c>
    </row>
    <row r="46" spans="1:7" s="258" customFormat="1" ht="13.5" customHeight="1">
      <c r="A46" s="954" t="s">
        <v>791</v>
      </c>
      <c r="B46" s="292" t="s">
        <v>2404</v>
      </c>
      <c r="C46" s="293">
        <f ca="1">ROUND((C33+C39)*F27,0)</f>
        <v>7751400</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43888496</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37305222</v>
      </c>
      <c r="D51" s="276"/>
      <c r="E51" s="276"/>
      <c r="F51" s="308"/>
      <c r="G51" s="278" t="s">
        <v>2415</v>
      </c>
    </row>
    <row r="52" spans="1:7" s="252" customFormat="1" ht="16.5" thickBot="1">
      <c r="A52" s="309" t="s">
        <v>2416</v>
      </c>
      <c r="B52" s="310"/>
      <c r="C52" s="311">
        <f ca="1">C31+C51</f>
        <v>42202712</v>
      </c>
      <c r="D52" s="310"/>
      <c r="E52" s="310"/>
      <c r="F52" s="310"/>
      <c r="G52" s="312"/>
    </row>
    <row r="55" spans="1:7" ht="15">
      <c r="B55" s="314" t="s">
        <v>2417</v>
      </c>
      <c r="C55" s="315"/>
    </row>
    <row r="56" spans="1:7">
      <c r="B56" s="317" t="s">
        <v>1513</v>
      </c>
      <c r="C56" s="319">
        <f ca="1">1-C57</f>
        <v>0.11599999999999999</v>
      </c>
    </row>
    <row r="57" spans="1:7">
      <c r="B57" s="317" t="s">
        <v>1514</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32833</v>
      </c>
      <c r="C2" s="1848" t="s">
        <v>1516</v>
      </c>
      <c r="D2" s="1848"/>
      <c r="E2" s="1849"/>
      <c r="F2" s="1850"/>
      <c r="G2" s="1851"/>
      <c r="H2" s="1843"/>
      <c r="I2" s="1843"/>
      <c r="J2" s="1843"/>
      <c r="K2" s="1844"/>
      <c r="L2" s="1843"/>
      <c r="M2" s="1843"/>
    </row>
    <row r="3" spans="1:37" ht="18" customHeight="1" thickBot="1">
      <c r="A3" s="1852" t="s">
        <v>1517</v>
      </c>
      <c r="B3" s="1853">
        <f ca="1">IF(ISERROR(B2*10000/F43),0,ROUND(B2*10000/F43,0))</f>
        <v>48187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1490</v>
      </c>
      <c r="D5" s="1825" t="s">
        <v>1402</v>
      </c>
      <c r="E5" s="1296"/>
      <c r="F5" s="1297"/>
      <c r="G5" s="1854"/>
      <c r="H5" s="344">
        <v>1</v>
      </c>
      <c r="I5" s="345" t="s">
        <v>1401</v>
      </c>
      <c r="J5" s="1295">
        <f ca="1">J6+J10+J12</f>
        <v>0</v>
      </c>
      <c r="K5" s="1825" t="s">
        <v>1402</v>
      </c>
      <c r="L5" s="1296"/>
      <c r="M5" s="1297"/>
    </row>
    <row r="6" spans="1:37" ht="18" customHeight="1">
      <c r="A6" s="1294" t="s">
        <v>1035</v>
      </c>
      <c r="B6" s="3191" t="s">
        <v>1403</v>
      </c>
      <c r="C6" s="1299">
        <f ca="1">ROUND(F6*F8*F7*(1-F9)/10000,0)</f>
        <v>1488</v>
      </c>
      <c r="D6" s="164" t="s">
        <v>3021</v>
      </c>
      <c r="E6" s="347" t="s">
        <v>1405</v>
      </c>
      <c r="F6" s="348">
        <f ca="1">INDIRECT("'数据-取费表'!u"&amp;$G$1)</f>
        <v>6.3</v>
      </c>
      <c r="G6" s="1854"/>
      <c r="H6" s="1294" t="s">
        <v>1035</v>
      </c>
      <c r="I6" s="3191" t="s">
        <v>1403</v>
      </c>
      <c r="J6" s="346">
        <f ca="1">ROUND(M6*M8*M7*(1-M9)/10000,0)</f>
        <v>0</v>
      </c>
      <c r="K6" s="164" t="s">
        <v>3020</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6813.6499999999987</v>
      </c>
      <c r="G7" s="1854"/>
      <c r="H7" s="349"/>
      <c r="I7" s="3192"/>
      <c r="J7" s="351"/>
      <c r="K7" s="352"/>
      <c r="L7" s="347" t="s">
        <v>1406</v>
      </c>
      <c r="M7" s="348">
        <f ca="1">F7</f>
        <v>6813.6499999999987</v>
      </c>
    </row>
    <row r="8" spans="1:37" ht="18" customHeight="1">
      <c r="A8" s="349"/>
      <c r="B8" s="3192"/>
      <c r="C8" s="351"/>
      <c r="D8" s="352"/>
      <c r="E8" s="347" t="s">
        <v>1407</v>
      </c>
      <c r="F8" s="348">
        <f ca="1">INDIRECT("'数据-取费表'!ai"&amp;$G$1)</f>
        <v>365</v>
      </c>
      <c r="G8" s="1854"/>
      <c r="H8" s="349"/>
      <c r="I8" s="3192"/>
      <c r="J8" s="351"/>
      <c r="K8" s="352"/>
      <c r="L8" s="347" t="s">
        <v>1407</v>
      </c>
      <c r="M8" s="348">
        <f ca="1">INDIRECT("'数据-取费表'!ai"&amp;$G$1)</f>
        <v>365</v>
      </c>
    </row>
    <row r="9" spans="1:37" ht="18" customHeight="1">
      <c r="A9" s="349"/>
      <c r="B9" s="3193"/>
      <c r="C9" s="351"/>
      <c r="D9" s="352"/>
      <c r="E9" s="347" t="s">
        <v>1408</v>
      </c>
      <c r="F9" s="357">
        <f ca="1">INDIRECT("'数据-取费表'!w"&amp;$G$1)</f>
        <v>0.05</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3730</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2724</v>
      </c>
      <c r="D14" s="1803" t="s">
        <v>1418</v>
      </c>
      <c r="E14" s="1797"/>
      <c r="F14" s="364"/>
      <c r="G14" s="1854"/>
      <c r="H14" s="1204" t="s">
        <v>1035</v>
      </c>
      <c r="I14" s="347" t="s">
        <v>1419</v>
      </c>
      <c r="J14" s="24">
        <f ca="1">C29</f>
        <v>4388</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85</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3010</v>
      </c>
      <c r="D19" s="140" t="s">
        <v>1436</v>
      </c>
      <c r="E19" s="1821"/>
      <c r="F19" s="26"/>
      <c r="G19" s="1854"/>
      <c r="H19" s="1204" t="s">
        <v>1036</v>
      </c>
      <c r="I19" s="347" t="s">
        <v>1437</v>
      </c>
      <c r="J19" s="24">
        <f ca="1">IF(K19="按租金收入计税",ROUND(J5*M19,2),ROUND(C29*M19*0.7,2))</f>
        <v>36.86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90</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43.9</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-85</v>
      </c>
      <c r="K25" s="1348" t="s">
        <v>1464</v>
      </c>
      <c r="L25" s="1349"/>
      <c r="M25" s="1350"/>
    </row>
    <row r="26" spans="1:37">
      <c r="A26" s="1204" t="s">
        <v>1034</v>
      </c>
      <c r="B26" s="347" t="s">
        <v>1465</v>
      </c>
      <c r="C26" s="24">
        <f ca="1">ROUND((C19+C20)*F26,0)</f>
        <v>775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4388</v>
      </c>
      <c r="D29" s="1345"/>
      <c r="E29" s="1343"/>
      <c r="F29" s="1346"/>
      <c r="G29" s="1857"/>
      <c r="H29" s="380" t="s">
        <v>1033</v>
      </c>
      <c r="I29" s="381" t="s">
        <v>1479</v>
      </c>
      <c r="J29" s="382">
        <f ca="1">ROUND(J26/(1+F40)^F41,0)</f>
        <v>0</v>
      </c>
      <c r="K29" s="383" t="s">
        <v>1480</v>
      </c>
      <c r="L29" s="384"/>
      <c r="M29" s="385">
        <f ca="1">INDIRECT("'数据-取费表'!k"&amp;$G$1)</f>
        <v>6813.6499999999987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120.9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36.86</v>
      </c>
      <c r="D33" s="2976" t="s">
        <v>3165</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43.9</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14.9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1305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32833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48187</v>
      </c>
      <c r="D43" s="383" t="s">
        <v>1488</v>
      </c>
      <c r="E43" s="384" t="s">
        <v>1489</v>
      </c>
      <c r="F43" s="385">
        <f ca="1">INDIRECT("'数据-取费表'!k"&amp;$G$1)</f>
        <v>6813.6499999999987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-34254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32833</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4388</v>
      </c>
      <c r="R49" s="1889" t="s">
        <v>1529</v>
      </c>
    </row>
    <row r="50" spans="1:18" s="1845" customFormat="1" ht="13.5" thickBot="1">
      <c r="A50" s="1198"/>
      <c r="B50" s="1201"/>
      <c r="C50" s="1371"/>
      <c r="D50" s="1175"/>
      <c r="E50" s="1280" t="s">
        <v>1406</v>
      </c>
      <c r="F50" s="1281">
        <f ca="1">F7</f>
        <v>6813.6499999999987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17561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9" t="s">
        <v>1548</v>
      </c>
      <c r="L53" s="3190"/>
      <c r="O53" s="1887" t="s">
        <v>1046</v>
      </c>
      <c r="P53" s="1888" t="s">
        <v>1549</v>
      </c>
      <c r="Q53" s="1889">
        <f ca="1">Q47+Q48</f>
        <v>32833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3730</v>
      </c>
      <c r="D56" s="1917"/>
      <c r="E56" s="1918"/>
      <c r="F56" s="1910"/>
      <c r="I56" s="1919" t="s">
        <v>1554</v>
      </c>
      <c r="J56" s="1920" t="s">
        <v>3044</v>
      </c>
      <c r="K56" s="1890" t="s">
        <v>1555</v>
      </c>
      <c r="L56" s="1893" t="str">
        <f ca="1">IF(L48&lt;J51,"——",L48-J53)</f>
        <v>——</v>
      </c>
      <c r="O56" s="1887" t="s">
        <v>1040</v>
      </c>
      <c r="P56" s="1888" t="s">
        <v>1528</v>
      </c>
      <c r="Q56" s="1889">
        <f ca="1">C40+J29</f>
        <v>32833</v>
      </c>
      <c r="R56" s="1889" t="s">
        <v>1529</v>
      </c>
    </row>
    <row r="57" spans="1:18" s="1845" customFormat="1" ht="24.75" thickBot="1">
      <c r="A57" s="1921"/>
      <c r="B57" s="1172" t="s">
        <v>1478</v>
      </c>
      <c r="C57" s="282">
        <f ca="1">C29</f>
        <v>4388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32833</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43.9</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32833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-91</v>
      </c>
      <c r="D67" s="1185" t="s">
        <v>1464</v>
      </c>
      <c r="E67" s="1190"/>
      <c r="F67" s="1191"/>
      <c r="O67" s="1897" t="s">
        <v>1042</v>
      </c>
      <c r="P67" s="1888" t="s">
        <v>1562</v>
      </c>
      <c r="Q67" s="1936">
        <f ca="1">L51</f>
        <v>17561</v>
      </c>
      <c r="R67" s="1889" t="s">
        <v>1582</v>
      </c>
    </row>
    <row r="68" spans="1:18" s="1845" customFormat="1" ht="16.5" thickBot="1">
      <c r="A68" s="1169" t="s">
        <v>1032</v>
      </c>
      <c r="B68" s="1170" t="s">
        <v>1485</v>
      </c>
      <c r="C68" s="346">
        <f ca="1">ROUND(C67*(1-((1+F70)/(1+F68))^F69)/(F68-F70),0)</f>
        <v>-1421</v>
      </c>
      <c r="D68" s="1187" t="s">
        <v>1469</v>
      </c>
      <c r="E68" s="1172" t="s">
        <v>1470</v>
      </c>
      <c r="F68" s="357">
        <f ca="1">F40</f>
        <v>5.5E-2</v>
      </c>
      <c r="O68" s="1897" t="s">
        <v>1043</v>
      </c>
      <c r="P68" s="1937" t="s">
        <v>1583</v>
      </c>
      <c r="Q68" s="1889">
        <f ca="1">ROUND(Q69-Q70*Q71,0)</f>
        <v>988</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1305</v>
      </c>
      <c r="R69" s="1889" t="s">
        <v>1529</v>
      </c>
    </row>
    <row r="70" spans="1:18" s="1845" customFormat="1" ht="13.5" thickBot="1">
      <c r="A70" s="1176"/>
      <c r="B70" s="1177"/>
      <c r="C70" s="355"/>
      <c r="D70" s="1188"/>
      <c r="E70" s="1172" t="s">
        <v>1477</v>
      </c>
      <c r="F70" s="1278"/>
      <c r="O70" s="1897" t="s">
        <v>1049</v>
      </c>
      <c r="P70" s="1937" t="s">
        <v>1585</v>
      </c>
      <c r="Q70" s="1889">
        <f ca="1">C13</f>
        <v>3730</v>
      </c>
      <c r="R70" s="1889" t="s">
        <v>1529</v>
      </c>
    </row>
    <row r="71" spans="1:18" s="1845" customFormat="1" ht="13.5" thickBot="1">
      <c r="A71" s="1193" t="s">
        <v>1033</v>
      </c>
      <c r="B71" s="1194" t="s">
        <v>1487</v>
      </c>
      <c r="C71" s="382">
        <f ca="1">ROUND(C68*10000/F71,0)</f>
        <v>-2086</v>
      </c>
      <c r="D71" s="1195" t="s">
        <v>1488</v>
      </c>
      <c r="E71" s="1196" t="s">
        <v>1489</v>
      </c>
      <c r="F71" s="385">
        <f ca="1">F43</f>
        <v>6813.6499999999987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317</v>
      </c>
      <c r="D75" s="1845"/>
      <c r="E75" s="1845"/>
      <c r="F75" s="1845"/>
      <c r="K75" s="1871"/>
      <c r="L75" s="1845"/>
      <c r="O75" s="1887" t="s">
        <v>1046</v>
      </c>
      <c r="P75" s="1888" t="s">
        <v>1549</v>
      </c>
      <c r="Q75" s="1889">
        <f ca="1">Q65+Q66</f>
        <v>32833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0.75700000000000001</v>
      </c>
    </row>
    <row r="80" spans="1:18">
      <c r="B80" s="386" t="s">
        <v>1511</v>
      </c>
      <c r="C80" s="318">
        <f ca="1">ROUND(C75/C39,3)</f>
        <v>0.24299999999999999</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1" t="s">
        <v>1403</v>
      </c>
      <c r="C6" s="1299">
        <f ca="1">ROUND(F6*F8*F7*(1-F9),0)</f>
        <v>0</v>
      </c>
      <c r="D6" s="164" t="s">
        <v>3018</v>
      </c>
      <c r="E6" s="347" t="s">
        <v>1405</v>
      </c>
      <c r="F6" s="348">
        <f ca="1">INDIRECT("'数据-取费表'!u"&amp;$G$1)</f>
        <v>0</v>
      </c>
      <c r="G6" s="1854"/>
      <c r="H6" s="1294" t="s">
        <v>1035</v>
      </c>
      <c r="I6" s="3191" t="s">
        <v>1403</v>
      </c>
      <c r="J6" s="346">
        <f ca="1">ROUND(M6*M8*M7*(1-M9),0)</f>
        <v>0</v>
      </c>
      <c r="K6" s="1837" t="s">
        <v>3019</v>
      </c>
      <c r="L6" s="347" t="s">
        <v>1405</v>
      </c>
      <c r="M6" s="348">
        <f ca="1">INDIRECT("'数据-取费表'!z"&amp;$G$1)</f>
        <v>0</v>
      </c>
    </row>
    <row r="7" spans="1:37" ht="18" customHeight="1">
      <c r="A7" s="1298"/>
      <c r="B7" s="3192"/>
      <c r="C7" s="1300"/>
      <c r="D7" s="352"/>
      <c r="E7" s="1301" t="s">
        <v>1406</v>
      </c>
      <c r="F7" s="348">
        <f ca="1">IF(INDIRECT("'数据-取费表'!ah"&amp;$G$1)="",INDIRECT("'数据-取费表'!k"&amp;$G$1),INDIRECT("'数据-取费表'!ah"&amp;$G$1))</f>
        <v>0</v>
      </c>
      <c r="G7" s="1854"/>
      <c r="H7" s="349"/>
      <c r="I7" s="3192"/>
      <c r="J7" s="351"/>
      <c r="K7" s="352"/>
      <c r="L7" s="347" t="s">
        <v>1406</v>
      </c>
      <c r="M7" s="348">
        <f ca="1">F7</f>
        <v>0</v>
      </c>
    </row>
    <row r="8" spans="1:37" ht="18" customHeight="1">
      <c r="A8" s="349"/>
      <c r="B8" s="3192"/>
      <c r="C8" s="351"/>
      <c r="D8" s="352"/>
      <c r="E8" s="347" t="s">
        <v>1407</v>
      </c>
      <c r="F8" s="348">
        <f ca="1">INDIRECT("'数据-取费表'!ai"&amp;$G$1)</f>
        <v>0</v>
      </c>
      <c r="G8" s="1854"/>
      <c r="H8" s="349"/>
      <c r="I8" s="3192"/>
      <c r="J8" s="351"/>
      <c r="K8" s="352"/>
      <c r="L8" s="347" t="s">
        <v>1407</v>
      </c>
      <c r="M8" s="348">
        <f ca="1">INDIRECT("'数据-取费表'!ai"&amp;$G$1)</f>
        <v>0</v>
      </c>
    </row>
    <row r="9" spans="1:37" ht="18" customHeight="1">
      <c r="A9" s="349"/>
      <c r="B9" s="3193"/>
      <c r="C9" s="351"/>
      <c r="D9" s="352"/>
      <c r="E9" s="347" t="s">
        <v>1408</v>
      </c>
      <c r="F9" s="357">
        <f ca="1">INDIRECT("'数据-取费表'!w"&amp;$G$1)</f>
        <v>0</v>
      </c>
      <c r="G9" s="1854"/>
      <c r="H9" s="349"/>
      <c r="I9" s="319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9" t="s">
        <v>1548</v>
      </c>
      <c r="L53" s="31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32833</v>
      </c>
      <c r="C2" s="2565" t="s">
        <v>2509</v>
      </c>
      <c r="D2" s="2566" t="s">
        <v>2510</v>
      </c>
      <c r="E2" s="2567">
        <f>SUM(E6:E13)</f>
        <v>8171.4699999999984</v>
      </c>
    </row>
    <row r="3" spans="1:6" ht="15.75">
      <c r="A3" s="2563" t="s">
        <v>1395</v>
      </c>
      <c r="B3" s="2564">
        <f ca="1">ROUND(B2*10000/E2,0)</f>
        <v>40180</v>
      </c>
      <c r="C3" s="2565" t="s">
        <v>2517</v>
      </c>
      <c r="D3" s="2568"/>
      <c r="E3" s="2569"/>
    </row>
    <row r="4" spans="1:6" ht="15.75">
      <c r="A4" s="2570"/>
      <c r="B4" s="2568"/>
      <c r="C4" s="2568"/>
      <c r="D4" s="2568"/>
      <c r="E4" s="2569"/>
    </row>
    <row r="5" spans="1:6" ht="15">
      <c r="A5" s="2571" t="s">
        <v>2511</v>
      </c>
      <c r="B5" s="3194" t="s">
        <v>2512</v>
      </c>
      <c r="C5" s="3194"/>
      <c r="D5" s="2572"/>
      <c r="E5" s="2573" t="s">
        <v>2513</v>
      </c>
      <c r="F5" s="2574" t="s">
        <v>2514</v>
      </c>
    </row>
    <row r="6" spans="1:6">
      <c r="A6" s="2575" t="str">
        <f>'数据-取费表'!AN6</f>
        <v>收益法</v>
      </c>
      <c r="B6" s="2574">
        <f ca="1">IF(F6="是",'数据-取费表'!AO6,0)</f>
        <v>32833</v>
      </c>
      <c r="C6" s="2565" t="s">
        <v>2509</v>
      </c>
      <c r="D6" s="2568"/>
      <c r="E6" s="2576">
        <f>IF(OR(A6=0,F6="否"),0,'数据-取费表'!K6+'数据-取费表'!S6)</f>
        <v>8171.4699999999984</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01" t="s">
        <v>1077</v>
      </c>
      <c r="B2" s="3202" t="s">
        <v>1078</v>
      </c>
      <c r="C2" s="3202"/>
      <c r="D2" s="1304" t="s">
        <v>1079</v>
      </c>
      <c r="E2" s="1304" t="s">
        <v>1080</v>
      </c>
      <c r="F2" s="1304" t="s">
        <v>1081</v>
      </c>
      <c r="G2" s="1304" t="s">
        <v>1082</v>
      </c>
      <c r="H2" s="1304" t="s">
        <v>1083</v>
      </c>
      <c r="I2" s="1305" t="s">
        <v>1084</v>
      </c>
    </row>
    <row r="3" spans="1:9">
      <c r="A3" s="3201"/>
      <c r="B3" s="3202" t="s">
        <v>1085</v>
      </c>
      <c r="C3" s="3202"/>
      <c r="D3" s="1306"/>
      <c r="E3" s="1304"/>
      <c r="F3" s="1307"/>
      <c r="G3" s="1307"/>
      <c r="H3" s="1308"/>
      <c r="I3" s="1309">
        <f>ROUND(D3*E3*F3*G3*H3/10000,0)</f>
        <v>0</v>
      </c>
    </row>
    <row r="4" spans="1:9">
      <c r="A4" s="3201"/>
      <c r="B4" s="3202" t="s">
        <v>1086</v>
      </c>
      <c r="C4" s="3202"/>
      <c r="D4" s="1306"/>
      <c r="E4" s="1304"/>
      <c r="F4" s="1307"/>
      <c r="G4" s="1307"/>
      <c r="H4" s="1308"/>
      <c r="I4" s="1309">
        <f t="shared" ref="I4:I9" si="0">ROUND(D4*E4*F4*G4*H4/10000,0)</f>
        <v>0</v>
      </c>
    </row>
    <row r="5" spans="1:9">
      <c r="A5" s="3201"/>
      <c r="B5" s="3202" t="s">
        <v>1087</v>
      </c>
      <c r="C5" s="3202"/>
      <c r="D5" s="1306"/>
      <c r="E5" s="1304"/>
      <c r="F5" s="1307"/>
      <c r="G5" s="1307"/>
      <c r="H5" s="1308"/>
      <c r="I5" s="1309">
        <f t="shared" si="0"/>
        <v>0</v>
      </c>
    </row>
    <row r="6" spans="1:9">
      <c r="A6" s="3201"/>
      <c r="B6" s="3202" t="s">
        <v>1088</v>
      </c>
      <c r="C6" s="3202"/>
      <c r="D6" s="1306"/>
      <c r="E6" s="1304"/>
      <c r="F6" s="1307"/>
      <c r="G6" s="1307"/>
      <c r="H6" s="1308"/>
      <c r="I6" s="1309">
        <f t="shared" si="0"/>
        <v>0</v>
      </c>
    </row>
    <row r="7" spans="1:9">
      <c r="A7" s="3201"/>
      <c r="B7" s="3202" t="s">
        <v>1089</v>
      </c>
      <c r="C7" s="3202"/>
      <c r="D7" s="1306"/>
      <c r="E7" s="1304"/>
      <c r="F7" s="1307"/>
      <c r="G7" s="1307"/>
      <c r="H7" s="1308"/>
      <c r="I7" s="1309">
        <f t="shared" si="0"/>
        <v>0</v>
      </c>
    </row>
    <row r="8" spans="1:9">
      <c r="A8" s="3201"/>
      <c r="B8" s="3202" t="s">
        <v>1090</v>
      </c>
      <c r="C8" s="3202"/>
      <c r="D8" s="1306"/>
      <c r="E8" s="1304"/>
      <c r="F8" s="1307"/>
      <c r="G8" s="1307"/>
      <c r="H8" s="1308"/>
      <c r="I8" s="1309">
        <f t="shared" si="0"/>
        <v>0</v>
      </c>
    </row>
    <row r="9" spans="1:9">
      <c r="A9" s="3201"/>
      <c r="B9" s="3202" t="s">
        <v>1091</v>
      </c>
      <c r="C9" s="3202"/>
      <c r="D9" s="1306"/>
      <c r="E9" s="1304"/>
      <c r="F9" s="1307"/>
      <c r="G9" s="1307"/>
      <c r="H9" s="1308"/>
      <c r="I9" s="1309">
        <f t="shared" si="0"/>
        <v>0</v>
      </c>
    </row>
    <row r="10" spans="1:9">
      <c r="A10" s="3201"/>
      <c r="B10" s="3203" t="s">
        <v>1092</v>
      </c>
      <c r="C10" s="3203"/>
      <c r="D10" s="1310"/>
      <c r="E10" s="1310" t="e">
        <f>ROUND(D1*10000/D10/H9,0)</f>
        <v>#DIV/0!</v>
      </c>
      <c r="F10" s="1311"/>
      <c r="G10" s="1311"/>
      <c r="H10" s="1312"/>
      <c r="I10" s="1313">
        <f>SUM(I3:I9)</f>
        <v>0</v>
      </c>
    </row>
    <row r="11" spans="1:9" ht="14.25">
      <c r="A11" s="3201" t="s">
        <v>1093</v>
      </c>
      <c r="B11" s="3202" t="s">
        <v>1094</v>
      </c>
      <c r="C11" s="3202"/>
      <c r="D11" s="1306" t="s">
        <v>1095</v>
      </c>
      <c r="E11" s="1306" t="s">
        <v>1096</v>
      </c>
      <c r="F11" s="1307" t="s">
        <v>1097</v>
      </c>
      <c r="G11" s="1307" t="s">
        <v>1083</v>
      </c>
      <c r="H11" s="1314" t="s">
        <v>1098</v>
      </c>
      <c r="I11" s="1305" t="s">
        <v>1084</v>
      </c>
    </row>
    <row r="12" spans="1:9">
      <c r="A12" s="3201"/>
      <c r="B12" s="3202" t="s">
        <v>1099</v>
      </c>
      <c r="C12" s="3202"/>
      <c r="D12" s="1306"/>
      <c r="E12" s="1306"/>
      <c r="F12" s="1307"/>
      <c r="G12" s="1308"/>
      <c r="H12" s="1315"/>
      <c r="I12" s="1305">
        <f>ROUND(D12*E12*F12*G12/10000,0)</f>
        <v>0</v>
      </c>
    </row>
    <row r="13" spans="1:9">
      <c r="A13" s="3201"/>
      <c r="B13" s="3202" t="s">
        <v>1100</v>
      </c>
      <c r="C13" s="3202"/>
      <c r="D13" s="1306"/>
      <c r="E13" s="1306"/>
      <c r="F13" s="1307"/>
      <c r="G13" s="1308"/>
      <c r="H13" s="1315"/>
      <c r="I13" s="1305">
        <f>ROUND(D13*E13*F13*G13/10000,0)</f>
        <v>0</v>
      </c>
    </row>
    <row r="14" spans="1:9">
      <c r="A14" s="3201"/>
      <c r="B14" s="3202" t="s">
        <v>1101</v>
      </c>
      <c r="C14" s="3202"/>
      <c r="D14" s="1306"/>
      <c r="E14" s="1306"/>
      <c r="F14" s="1307"/>
      <c r="G14" s="1308"/>
      <c r="H14" s="1315"/>
      <c r="I14" s="1305">
        <f>ROUND(D14*E14*F14*G14/10000,0)</f>
        <v>0</v>
      </c>
    </row>
    <row r="15" spans="1:9">
      <c r="A15" s="3201"/>
      <c r="B15" s="3203" t="s">
        <v>1092</v>
      </c>
      <c r="C15" s="3203"/>
      <c r="D15" s="1310"/>
      <c r="E15" s="1310">
        <f>SUM(E12:E14)</f>
        <v>0</v>
      </c>
      <c r="F15" s="1311"/>
      <c r="G15" s="1308"/>
      <c r="H15" s="1315"/>
      <c r="I15" s="1316">
        <f>SUM(I12:I14)</f>
        <v>0</v>
      </c>
    </row>
    <row r="16" spans="1:9" ht="24">
      <c r="A16" s="3201" t="s">
        <v>1102</v>
      </c>
      <c r="B16" s="3202" t="s">
        <v>1103</v>
      </c>
      <c r="C16" s="3202"/>
      <c r="D16" s="1306" t="s">
        <v>1079</v>
      </c>
      <c r="E16" s="1317" t="s">
        <v>1104</v>
      </c>
      <c r="F16" s="1307" t="s">
        <v>1105</v>
      </c>
      <c r="G16" s="1308" t="s">
        <v>1083</v>
      </c>
      <c r="H16" s="1314" t="s">
        <v>1098</v>
      </c>
      <c r="I16" s="1305" t="s">
        <v>1084</v>
      </c>
    </row>
    <row r="17" spans="1:9" ht="14.25">
      <c r="A17" s="3201"/>
      <c r="B17" s="3202" t="s">
        <v>1106</v>
      </c>
      <c r="C17" s="3202"/>
      <c r="D17" s="1306"/>
      <c r="E17" s="1306"/>
      <c r="F17" s="1307"/>
      <c r="G17" s="1308"/>
      <c r="H17" s="1318"/>
      <c r="I17" s="1319">
        <f>ROUND(D17*E17*F17*G17/10000,0)</f>
        <v>0</v>
      </c>
    </row>
    <row r="18" spans="1:9" ht="14.25">
      <c r="A18" s="3201"/>
      <c r="B18" s="3202" t="s">
        <v>1107</v>
      </c>
      <c r="C18" s="3202"/>
      <c r="D18" s="1306"/>
      <c r="E18" s="1306"/>
      <c r="F18" s="1307"/>
      <c r="G18" s="1308"/>
      <c r="H18" s="1318"/>
      <c r="I18" s="1319">
        <f>ROUND(D18*E18*F18*G18/10000,0)</f>
        <v>0</v>
      </c>
    </row>
    <row r="19" spans="1:9" ht="14.25">
      <c r="A19" s="3201"/>
      <c r="B19" s="3202" t="s">
        <v>1108</v>
      </c>
      <c r="C19" s="3202"/>
      <c r="D19" s="1306"/>
      <c r="E19" s="1306"/>
      <c r="F19" s="1307"/>
      <c r="G19" s="1308"/>
      <c r="H19" s="1318"/>
      <c r="I19" s="1319">
        <f>ROUND(D19*E19*F19*G19/10000,0)</f>
        <v>0</v>
      </c>
    </row>
    <row r="20" spans="1:9">
      <c r="A20" s="3201"/>
      <c r="B20" s="3203" t="s">
        <v>1092</v>
      </c>
      <c r="C20" s="3203"/>
      <c r="D20" s="1310">
        <f>SUM(D17:D19)</f>
        <v>0</v>
      </c>
      <c r="E20" s="1310"/>
      <c r="F20" s="1311"/>
      <c r="G20" s="1308"/>
      <c r="H20" s="1315"/>
      <c r="I20" s="1316">
        <f>SUM(I17:I19)</f>
        <v>0</v>
      </c>
    </row>
    <row r="21" spans="1:9">
      <c r="A21" s="3201" t="s">
        <v>1109</v>
      </c>
      <c r="B21" s="3204"/>
      <c r="C21" s="3204"/>
      <c r="D21" s="3204"/>
      <c r="E21" s="3204"/>
      <c r="F21" s="3204"/>
      <c r="G21" s="3204"/>
      <c r="H21" s="1768">
        <v>0.1</v>
      </c>
      <c r="I21" s="1313">
        <f>ROUND(I10*H21,0)</f>
        <v>0</v>
      </c>
    </row>
    <row r="22" spans="1:9" ht="14.25">
      <c r="A22" s="3205" t="s">
        <v>1110</v>
      </c>
      <c r="B22" s="3206"/>
      <c r="C22" s="3207"/>
      <c r="D22" s="1320" t="s">
        <v>1111</v>
      </c>
      <c r="E22" s="1320" t="s">
        <v>1112</v>
      </c>
      <c r="F22" s="1321" t="s">
        <v>1113</v>
      </c>
      <c r="G22" s="1321" t="s">
        <v>1114</v>
      </c>
      <c r="H22" s="1314" t="s">
        <v>1115</v>
      </c>
      <c r="I22" s="1305" t="s">
        <v>1116</v>
      </c>
    </row>
    <row r="23" spans="1:9" ht="14.25" thickBot="1">
      <c r="A23" s="3208"/>
      <c r="B23" s="3209"/>
      <c r="C23" s="3210"/>
      <c r="D23" s="1322"/>
      <c r="E23" s="1322"/>
      <c r="F23" s="1322"/>
      <c r="G23" s="1323"/>
      <c r="H23" s="1324"/>
      <c r="I23" s="1325">
        <f>ROUND(E23*D23*F23*(1-G23)/10000,0)</f>
        <v>0</v>
      </c>
    </row>
    <row r="26" spans="1:9">
      <c r="A26" s="1326" t="s">
        <v>1117</v>
      </c>
      <c r="B26" s="1326"/>
      <c r="C26" s="1326"/>
      <c r="D26" s="1326"/>
      <c r="E26" s="3198">
        <f>C27-C30-C31-C32</f>
        <v>0</v>
      </c>
      <c r="F26" s="3198"/>
      <c r="G26" s="3198"/>
      <c r="H26" s="1740" t="s">
        <v>1340</v>
      </c>
    </row>
    <row r="27" spans="1:9">
      <c r="A27" s="1327">
        <v>1</v>
      </c>
      <c r="B27" s="1328" t="s">
        <v>1118</v>
      </c>
      <c r="C27" s="1328">
        <f>C28+C29</f>
        <v>0</v>
      </c>
      <c r="D27" s="1328"/>
      <c r="E27" s="3199"/>
      <c r="F27" s="3199"/>
      <c r="G27" s="3199"/>
    </row>
    <row r="28" spans="1:9">
      <c r="A28" s="1329" t="s">
        <v>1119</v>
      </c>
      <c r="B28" s="1328" t="s">
        <v>1120</v>
      </c>
      <c r="C28" s="1328"/>
      <c r="D28" s="1328"/>
      <c r="E28" s="3199"/>
      <c r="F28" s="3199"/>
      <c r="G28" s="319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0"/>
      <c r="F32" s="3200"/>
      <c r="G32" s="3200"/>
    </row>
    <row r="33" spans="1:7" hidden="1">
      <c r="A33" s="3195" t="s">
        <v>1129</v>
      </c>
      <c r="B33" s="3196"/>
      <c r="C33" s="3196"/>
      <c r="D33" s="3197"/>
      <c r="E33" s="3198"/>
      <c r="F33" s="3198"/>
      <c r="G33" s="3198"/>
    </row>
    <row r="34" spans="1:7" hidden="1">
      <c r="A34" s="1331">
        <v>1</v>
      </c>
      <c r="B34" s="1328" t="s">
        <v>1130</v>
      </c>
      <c r="C34" s="1328"/>
      <c r="D34" s="1328"/>
      <c r="E34" s="3199"/>
      <c r="F34" s="3199"/>
      <c r="G34" s="3199"/>
    </row>
    <row r="35" spans="1:7" hidden="1">
      <c r="A35" s="1331">
        <v>2</v>
      </c>
      <c r="B35" s="1328" t="s">
        <v>1131</v>
      </c>
      <c r="C35" s="1328"/>
      <c r="D35" s="1328"/>
      <c r="E35" s="3199"/>
      <c r="F35" s="3199"/>
      <c r="G35" s="3199"/>
    </row>
    <row r="36" spans="1:7" hidden="1">
      <c r="A36" s="1331">
        <v>3</v>
      </c>
      <c r="B36" s="1328" t="s">
        <v>1132</v>
      </c>
      <c r="C36" s="1328"/>
      <c r="D36" s="1328"/>
      <c r="E36" s="3199"/>
      <c r="F36" s="3199"/>
      <c r="G36" s="3199"/>
    </row>
    <row r="37" spans="1:7" hidden="1">
      <c r="A37" s="1331">
        <v>4</v>
      </c>
      <c r="B37" s="1328" t="s">
        <v>1133</v>
      </c>
      <c r="C37" s="1328"/>
      <c r="D37" s="1328"/>
      <c r="E37" s="3199"/>
      <c r="F37" s="3199"/>
      <c r="G37" s="3199"/>
    </row>
    <row r="38" spans="1:7" hidden="1">
      <c r="A38" s="3195" t="s">
        <v>1134</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34" t="s">
        <v>2526</v>
      </c>
      <c r="D4" s="3235"/>
      <c r="E4" s="3236" t="s">
        <v>2527</v>
      </c>
      <c r="F4" s="3237"/>
      <c r="G4" s="3234" t="s">
        <v>2528</v>
      </c>
      <c r="H4" s="3235"/>
      <c r="I4" s="3234" t="s">
        <v>2529</v>
      </c>
      <c r="J4" s="3235"/>
      <c r="K4" s="2595" t="s">
        <v>2530</v>
      </c>
      <c r="L4" s="1133"/>
      <c r="M4" s="1134"/>
      <c r="N4" s="1134"/>
      <c r="O4" s="1134"/>
      <c r="P4" s="3238" t="s">
        <v>2531</v>
      </c>
      <c r="Q4" s="3239"/>
      <c r="R4" s="3244" t="s">
        <v>2527</v>
      </c>
      <c r="S4" s="3245"/>
      <c r="T4" s="3244" t="s">
        <v>2528</v>
      </c>
      <c r="U4" s="3245"/>
      <c r="V4" s="3250" t="s">
        <v>2529</v>
      </c>
      <c r="W4" s="3250"/>
      <c r="X4" s="1816"/>
      <c r="Y4" s="3244" t="s">
        <v>2531</v>
      </c>
      <c r="Z4" s="3245"/>
      <c r="AA4" s="3231" t="s">
        <v>2527</v>
      </c>
      <c r="AB4" s="3231" t="s">
        <v>2528</v>
      </c>
      <c r="AC4" s="3231" t="s">
        <v>2529</v>
      </c>
    </row>
    <row r="5" spans="1:29" ht="15">
      <c r="A5" s="404"/>
      <c r="B5" s="405"/>
      <c r="C5" s="3253" t="s">
        <v>2532</v>
      </c>
      <c r="D5" s="3254"/>
      <c r="E5" s="3260" t="s">
        <v>2533</v>
      </c>
      <c r="F5" s="3261"/>
      <c r="G5" s="3253" t="s">
        <v>2534</v>
      </c>
      <c r="H5" s="3254"/>
      <c r="I5" s="3253" t="s">
        <v>2535</v>
      </c>
      <c r="J5" s="3254"/>
      <c r="K5" s="2596"/>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2596"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55" t="s">
        <v>2539</v>
      </c>
      <c r="Q7" s="3257"/>
      <c r="R7" s="770" t="s">
        <v>23</v>
      </c>
      <c r="S7" s="771">
        <f t="shared" ref="S7:S15" si="0">F7</f>
        <v>0</v>
      </c>
      <c r="T7" s="770" t="s">
        <v>23</v>
      </c>
      <c r="U7" s="771">
        <f t="shared" ref="U7:U15" si="1">H7</f>
        <v>0</v>
      </c>
      <c r="V7" s="770" t="s">
        <v>23</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55" t="s">
        <v>2542</v>
      </c>
      <c r="Q8" s="3256"/>
      <c r="R8" s="770" t="s">
        <v>23</v>
      </c>
      <c r="S8" s="771">
        <f t="shared" si="0"/>
        <v>0</v>
      </c>
      <c r="T8" s="770" t="s">
        <v>23</v>
      </c>
      <c r="U8" s="771">
        <f t="shared" si="1"/>
        <v>0</v>
      </c>
      <c r="V8" s="770" t="s">
        <v>23</v>
      </c>
      <c r="W8" s="771">
        <f t="shared" si="2"/>
        <v>0</v>
      </c>
      <c r="X8" s="772"/>
      <c r="Y8" s="3255" t="s">
        <v>2542</v>
      </c>
      <c r="Z8" s="3256"/>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0"/>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30"/>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30"/>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30"/>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2550</v>
      </c>
      <c r="Q15" s="1813" t="str">
        <f t="shared" si="6"/>
        <v>居住社区成熟度</v>
      </c>
      <c r="R15" s="774" t="s">
        <v>21</v>
      </c>
      <c r="S15" s="775">
        <f t="shared" si="0"/>
        <v>100</v>
      </c>
      <c r="T15" s="774" t="s">
        <v>21</v>
      </c>
      <c r="U15" s="775">
        <f t="shared" si="1"/>
        <v>100</v>
      </c>
      <c r="V15" s="774" t="s">
        <v>21</v>
      </c>
      <c r="W15" s="775">
        <f t="shared" si="2"/>
        <v>100</v>
      </c>
      <c r="X15" s="1816"/>
      <c r="Y15" s="3221"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29"/>
      <c r="Q16" s="1813"/>
      <c r="R16" s="774"/>
      <c r="S16" s="775"/>
      <c r="T16" s="774"/>
      <c r="U16" s="775"/>
      <c r="V16" s="774"/>
      <c r="W16" s="775"/>
      <c r="X16" s="1816"/>
      <c r="Y16" s="3222"/>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13" t="str">
        <f>B17</f>
        <v>交通便捷度</v>
      </c>
      <c r="R17" s="774" t="s">
        <v>21</v>
      </c>
      <c r="S17" s="775">
        <f>F17</f>
        <v>100</v>
      </c>
      <c r="T17" s="774" t="s">
        <v>21</v>
      </c>
      <c r="U17" s="775">
        <f>H17</f>
        <v>100</v>
      </c>
      <c r="V17" s="774" t="s">
        <v>21</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29"/>
      <c r="Q18" s="1813"/>
      <c r="R18" s="774"/>
      <c r="S18" s="775"/>
      <c r="T18" s="774"/>
      <c r="U18" s="775"/>
      <c r="V18" s="774"/>
      <c r="W18" s="775"/>
      <c r="X18" s="1816"/>
      <c r="Y18" s="3222"/>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13" t="str">
        <f>B19</f>
        <v>公共配套设施</v>
      </c>
      <c r="R19" s="774" t="s">
        <v>21</v>
      </c>
      <c r="S19" s="775">
        <f>F19</f>
        <v>100</v>
      </c>
      <c r="T19" s="774" t="s">
        <v>21</v>
      </c>
      <c r="U19" s="775">
        <f>H19</f>
        <v>100</v>
      </c>
      <c r="V19" s="774" t="s">
        <v>21</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29"/>
      <c r="Q20" s="1813"/>
      <c r="R20" s="774"/>
      <c r="S20" s="775"/>
      <c r="T20" s="774"/>
      <c r="U20" s="775"/>
      <c r="V20" s="774"/>
      <c r="W20" s="775"/>
      <c r="X20" s="1816"/>
      <c r="Y20" s="3222"/>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29"/>
      <c r="Q22" s="1813"/>
      <c r="R22" s="774"/>
      <c r="S22" s="775"/>
      <c r="T22" s="774"/>
      <c r="U22" s="775"/>
      <c r="V22" s="774"/>
      <c r="W22" s="775"/>
      <c r="X22" s="1816"/>
      <c r="Y22" s="3222"/>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13" t="str">
        <f>B23</f>
        <v>自然及人文环境</v>
      </c>
      <c r="R23" s="774" t="s">
        <v>21</v>
      </c>
      <c r="S23" s="775">
        <f>F23</f>
        <v>100</v>
      </c>
      <c r="T23" s="774" t="s">
        <v>21</v>
      </c>
      <c r="U23" s="775">
        <f>H23</f>
        <v>100</v>
      </c>
      <c r="V23" s="774" t="s">
        <v>21</v>
      </c>
      <c r="W23" s="775">
        <f>J23</f>
        <v>100</v>
      </c>
      <c r="X23" s="1816"/>
      <c r="Y23" s="3222"/>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29"/>
      <c r="Q24" s="1813"/>
      <c r="R24" s="774"/>
      <c r="S24" s="775"/>
      <c r="T24" s="774"/>
      <c r="U24" s="775"/>
      <c r="V24" s="774"/>
      <c r="W24" s="775"/>
      <c r="X24" s="1816"/>
      <c r="Y24" s="3222"/>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2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2"/>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29"/>
      <c r="Q26" s="1813" t="str">
        <f t="shared" si="11"/>
        <v>朝向</v>
      </c>
      <c r="R26" s="774" t="s">
        <v>21</v>
      </c>
      <c r="S26" s="775">
        <f t="shared" si="12"/>
        <v>100</v>
      </c>
      <c r="T26" s="774" t="s">
        <v>21</v>
      </c>
      <c r="U26" s="775">
        <f t="shared" si="13"/>
        <v>100</v>
      </c>
      <c r="V26" s="774" t="s">
        <v>21</v>
      </c>
      <c r="W26" s="775">
        <f t="shared" si="14"/>
        <v>100</v>
      </c>
      <c r="X26" s="1816"/>
      <c r="Y26" s="322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29"/>
      <c r="Q27" s="1798">
        <f t="shared" si="11"/>
        <v>111</v>
      </c>
      <c r="R27" s="770" t="s">
        <v>21</v>
      </c>
      <c r="S27" s="771">
        <f t="shared" si="12"/>
        <v>100</v>
      </c>
      <c r="T27" s="770" t="s">
        <v>21</v>
      </c>
      <c r="U27" s="771">
        <f t="shared" si="13"/>
        <v>100</v>
      </c>
      <c r="V27" s="770" t="s">
        <v>21</v>
      </c>
      <c r="W27" s="771">
        <f t="shared" si="14"/>
        <v>100</v>
      </c>
      <c r="X27" s="772"/>
      <c r="Y27" s="322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29"/>
      <c r="Q28" s="1813">
        <f t="shared" si="11"/>
        <v>111</v>
      </c>
      <c r="R28" s="774" t="s">
        <v>21</v>
      </c>
      <c r="S28" s="775">
        <f t="shared" si="12"/>
        <v>100</v>
      </c>
      <c r="T28" s="774" t="s">
        <v>21</v>
      </c>
      <c r="U28" s="775">
        <f t="shared" si="13"/>
        <v>100</v>
      </c>
      <c r="V28" s="774" t="s">
        <v>21</v>
      </c>
      <c r="W28" s="775">
        <f t="shared" si="14"/>
        <v>100</v>
      </c>
      <c r="X28" s="1816"/>
      <c r="Y28" s="322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29"/>
      <c r="Q29" s="1813">
        <f t="shared" si="11"/>
        <v>111</v>
      </c>
      <c r="R29" s="774" t="s">
        <v>21</v>
      </c>
      <c r="S29" s="775">
        <f t="shared" si="12"/>
        <v>100</v>
      </c>
      <c r="T29" s="774" t="s">
        <v>21</v>
      </c>
      <c r="U29" s="775">
        <f t="shared" si="13"/>
        <v>100</v>
      </c>
      <c r="V29" s="774" t="s">
        <v>21</v>
      </c>
      <c r="W29" s="775">
        <f t="shared" si="14"/>
        <v>100</v>
      </c>
      <c r="X29" s="1816"/>
      <c r="Y29" s="322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29"/>
      <c r="Q30" s="1813">
        <f t="shared" si="11"/>
        <v>111</v>
      </c>
      <c r="R30" s="774" t="s">
        <v>21</v>
      </c>
      <c r="S30" s="775">
        <f t="shared" si="12"/>
        <v>100</v>
      </c>
      <c r="T30" s="774" t="s">
        <v>21</v>
      </c>
      <c r="U30" s="775">
        <f t="shared" si="13"/>
        <v>100</v>
      </c>
      <c r="V30" s="774" t="s">
        <v>21</v>
      </c>
      <c r="W30" s="775">
        <f t="shared" si="14"/>
        <v>100</v>
      </c>
      <c r="X30" s="1816"/>
      <c r="Y30" s="322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29"/>
      <c r="Q31" s="1813">
        <f t="shared" si="11"/>
        <v>111</v>
      </c>
      <c r="R31" s="774" t="s">
        <v>21</v>
      </c>
      <c r="S31" s="775">
        <f t="shared" si="12"/>
        <v>100</v>
      </c>
      <c r="T31" s="774" t="s">
        <v>21</v>
      </c>
      <c r="U31" s="775">
        <f t="shared" si="13"/>
        <v>100</v>
      </c>
      <c r="V31" s="774" t="s">
        <v>21</v>
      </c>
      <c r="W31" s="775">
        <f t="shared" si="14"/>
        <v>100</v>
      </c>
      <c r="X31" s="1816"/>
      <c r="Y31" s="3222"/>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3" t="s">
        <v>2555</v>
      </c>
      <c r="Q32" s="1813" t="str">
        <f t="shared" si="11"/>
        <v>建筑类型</v>
      </c>
      <c r="R32" s="774" t="s">
        <v>21</v>
      </c>
      <c r="S32" s="775">
        <f t="shared" si="12"/>
        <v>100</v>
      </c>
      <c r="T32" s="774" t="s">
        <v>21</v>
      </c>
      <c r="U32" s="775">
        <f t="shared" si="13"/>
        <v>100</v>
      </c>
      <c r="V32" s="774" t="s">
        <v>21</v>
      </c>
      <c r="W32" s="775">
        <f t="shared" si="14"/>
        <v>100</v>
      </c>
      <c r="X32" s="1816"/>
      <c r="Y32" s="3226"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24"/>
      <c r="Q33" s="776" t="str">
        <f t="shared" si="11"/>
        <v>项目建筑规模</v>
      </c>
      <c r="R33" s="777" t="s">
        <v>21</v>
      </c>
      <c r="S33" s="778" t="e">
        <f t="shared" si="12"/>
        <v>#N/A</v>
      </c>
      <c r="T33" s="777" t="s">
        <v>21</v>
      </c>
      <c r="U33" s="778" t="e">
        <f t="shared" si="13"/>
        <v>#N/A</v>
      </c>
      <c r="V33" s="777" t="s">
        <v>21</v>
      </c>
      <c r="W33" s="778" t="e">
        <f t="shared" si="14"/>
        <v>#N/A</v>
      </c>
      <c r="X33" s="779"/>
      <c r="Y33" s="3226"/>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24"/>
      <c r="Q34" s="1813" t="str">
        <f t="shared" si="11"/>
        <v>建筑结构</v>
      </c>
      <c r="R34" s="774" t="s">
        <v>21</v>
      </c>
      <c r="S34" s="775">
        <f t="shared" si="12"/>
        <v>100</v>
      </c>
      <c r="T34" s="774" t="s">
        <v>21</v>
      </c>
      <c r="U34" s="775">
        <f t="shared" si="13"/>
        <v>100</v>
      </c>
      <c r="V34" s="774" t="s">
        <v>21</v>
      </c>
      <c r="W34" s="775">
        <f t="shared" si="14"/>
        <v>100</v>
      </c>
      <c r="X34" s="1816"/>
      <c r="Y34" s="3226"/>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24"/>
      <c r="Q35" s="1813" t="str">
        <f t="shared" si="11"/>
        <v>建筑品质</v>
      </c>
      <c r="R35" s="774" t="s">
        <v>21</v>
      </c>
      <c r="S35" s="775">
        <f t="shared" si="12"/>
        <v>100</v>
      </c>
      <c r="T35" s="774" t="s">
        <v>21</v>
      </c>
      <c r="U35" s="775">
        <f t="shared" si="13"/>
        <v>100</v>
      </c>
      <c r="V35" s="774" t="s">
        <v>21</v>
      </c>
      <c r="W35" s="775">
        <f t="shared" si="14"/>
        <v>100</v>
      </c>
      <c r="X35" s="1816"/>
      <c r="Y35" s="3226"/>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24"/>
      <c r="Q36" s="1813" t="str">
        <f t="shared" si="11"/>
        <v>公共部分装修</v>
      </c>
      <c r="R36" s="774" t="s">
        <v>21</v>
      </c>
      <c r="S36" s="775">
        <f t="shared" si="12"/>
        <v>100</v>
      </c>
      <c r="T36" s="774" t="s">
        <v>21</v>
      </c>
      <c r="U36" s="775">
        <f t="shared" si="13"/>
        <v>100</v>
      </c>
      <c r="V36" s="774" t="s">
        <v>21</v>
      </c>
      <c r="W36" s="775">
        <f t="shared" si="14"/>
        <v>100</v>
      </c>
      <c r="X36" s="1816"/>
      <c r="Y36" s="3226"/>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4"/>
      <c r="Q37" s="1798" t="str">
        <f t="shared" si="11"/>
        <v>成新度</v>
      </c>
      <c r="R37" s="770" t="s">
        <v>21</v>
      </c>
      <c r="S37" s="771" t="e">
        <f t="shared" si="12"/>
        <v>#N/A</v>
      </c>
      <c r="T37" s="770" t="s">
        <v>21</v>
      </c>
      <c r="U37" s="771" t="e">
        <f t="shared" si="13"/>
        <v>#N/A</v>
      </c>
      <c r="V37" s="770" t="s">
        <v>21</v>
      </c>
      <c r="W37" s="771" t="e">
        <f t="shared" si="14"/>
        <v>#N/A</v>
      </c>
      <c r="X37" s="772"/>
      <c r="Y37" s="3226"/>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24" t="s">
        <v>2555</v>
      </c>
      <c r="Q38" s="1813" t="str">
        <f t="shared" si="11"/>
        <v>物业管理</v>
      </c>
      <c r="R38" s="774" t="s">
        <v>21</v>
      </c>
      <c r="S38" s="775">
        <f t="shared" si="12"/>
        <v>100</v>
      </c>
      <c r="T38" s="774" t="s">
        <v>21</v>
      </c>
      <c r="U38" s="775">
        <f t="shared" si="13"/>
        <v>100</v>
      </c>
      <c r="V38" s="774" t="s">
        <v>21</v>
      </c>
      <c r="W38" s="775">
        <f t="shared" si="14"/>
        <v>100</v>
      </c>
      <c r="X38" s="1816"/>
      <c r="Y38" s="3226"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24"/>
      <c r="Q39" s="1813" t="str">
        <f t="shared" si="11"/>
        <v>市政基础设施</v>
      </c>
      <c r="R39" s="774" t="s">
        <v>21</v>
      </c>
      <c r="S39" s="775">
        <f t="shared" si="12"/>
        <v>100</v>
      </c>
      <c r="T39" s="774" t="s">
        <v>21</v>
      </c>
      <c r="U39" s="775">
        <f t="shared" si="13"/>
        <v>100</v>
      </c>
      <c r="V39" s="774" t="s">
        <v>21</v>
      </c>
      <c r="W39" s="775">
        <f t="shared" si="14"/>
        <v>100</v>
      </c>
      <c r="X39" s="1816"/>
      <c r="Y39" s="3226"/>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24"/>
      <c r="Q40" s="1813" t="str">
        <f t="shared" si="11"/>
        <v>房型</v>
      </c>
      <c r="R40" s="774" t="s">
        <v>21</v>
      </c>
      <c r="S40" s="775">
        <f t="shared" si="12"/>
        <v>100</v>
      </c>
      <c r="T40" s="774" t="s">
        <v>21</v>
      </c>
      <c r="U40" s="775">
        <f t="shared" si="13"/>
        <v>100</v>
      </c>
      <c r="V40" s="774" t="s">
        <v>21</v>
      </c>
      <c r="W40" s="775">
        <f t="shared" si="14"/>
        <v>100</v>
      </c>
      <c r="X40" s="1816"/>
      <c r="Y40" s="3226"/>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24"/>
      <c r="Q41" s="776" t="str">
        <f t="shared" si="11"/>
        <v>单套/主力户型建筑面积</v>
      </c>
      <c r="R41" s="777" t="s">
        <v>21</v>
      </c>
      <c r="S41" s="778">
        <f t="shared" si="12"/>
        <v>100</v>
      </c>
      <c r="T41" s="777" t="s">
        <v>21</v>
      </c>
      <c r="U41" s="778">
        <f t="shared" si="13"/>
        <v>100</v>
      </c>
      <c r="V41" s="777" t="s">
        <v>21</v>
      </c>
      <c r="W41" s="778">
        <f t="shared" si="14"/>
        <v>100</v>
      </c>
      <c r="X41" s="779"/>
      <c r="Y41" s="3226"/>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24"/>
      <c r="Q42" s="1813" t="str">
        <f t="shared" si="11"/>
        <v>内部装修</v>
      </c>
      <c r="R42" s="774" t="s">
        <v>21</v>
      </c>
      <c r="S42" s="775">
        <f t="shared" si="12"/>
        <v>100</v>
      </c>
      <c r="T42" s="774" t="s">
        <v>21</v>
      </c>
      <c r="U42" s="775">
        <f t="shared" si="13"/>
        <v>100</v>
      </c>
      <c r="V42" s="774" t="s">
        <v>21</v>
      </c>
      <c r="W42" s="775">
        <f t="shared" si="14"/>
        <v>100</v>
      </c>
      <c r="X42" s="1816"/>
      <c r="Y42" s="3226"/>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24"/>
      <c r="Q43" s="1813" t="str">
        <f t="shared" si="11"/>
        <v>内部装修维护情况</v>
      </c>
      <c r="R43" s="774" t="s">
        <v>21</v>
      </c>
      <c r="S43" s="775">
        <f t="shared" si="12"/>
        <v>100</v>
      </c>
      <c r="T43" s="774" t="s">
        <v>21</v>
      </c>
      <c r="U43" s="775">
        <f t="shared" si="13"/>
        <v>100</v>
      </c>
      <c r="V43" s="774" t="s">
        <v>21</v>
      </c>
      <c r="W43" s="775">
        <f t="shared" si="14"/>
        <v>100</v>
      </c>
      <c r="X43" s="1816"/>
      <c r="Y43" s="322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24"/>
      <c r="Q44" s="1798">
        <f t="shared" si="11"/>
        <v>111</v>
      </c>
      <c r="R44" s="770" t="s">
        <v>21</v>
      </c>
      <c r="S44" s="771">
        <f t="shared" si="12"/>
        <v>100</v>
      </c>
      <c r="T44" s="770" t="s">
        <v>21</v>
      </c>
      <c r="U44" s="771">
        <f t="shared" si="13"/>
        <v>100</v>
      </c>
      <c r="V44" s="770" t="s">
        <v>21</v>
      </c>
      <c r="W44" s="771">
        <f t="shared" si="14"/>
        <v>100</v>
      </c>
      <c r="X44" s="772"/>
      <c r="Y44" s="322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24"/>
      <c r="Q45" s="1813">
        <f t="shared" si="11"/>
        <v>111</v>
      </c>
      <c r="R45" s="774" t="s">
        <v>21</v>
      </c>
      <c r="S45" s="775">
        <f t="shared" si="12"/>
        <v>100</v>
      </c>
      <c r="T45" s="774" t="s">
        <v>21</v>
      </c>
      <c r="U45" s="775">
        <f t="shared" si="13"/>
        <v>100</v>
      </c>
      <c r="V45" s="774" t="s">
        <v>21</v>
      </c>
      <c r="W45" s="775">
        <f t="shared" si="14"/>
        <v>100</v>
      </c>
      <c r="X45" s="1816"/>
      <c r="Y45" s="3226"/>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25"/>
      <c r="Q46" s="1813">
        <f t="shared" si="11"/>
        <v>111</v>
      </c>
      <c r="R46" s="774" t="s">
        <v>20</v>
      </c>
      <c r="S46" s="775">
        <f t="shared" si="12"/>
        <v>100</v>
      </c>
      <c r="T46" s="774" t="s">
        <v>20</v>
      </c>
      <c r="U46" s="775">
        <f t="shared" si="13"/>
        <v>100</v>
      </c>
      <c r="V46" s="774" t="s">
        <v>20</v>
      </c>
      <c r="W46" s="775">
        <f t="shared" si="14"/>
        <v>100</v>
      </c>
      <c r="X46" s="1816"/>
      <c r="Y46" s="3227"/>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19" t="str">
        <f>A47</f>
        <v>成交单价（元/平方米）</v>
      </c>
      <c r="Q47" s="3219"/>
      <c r="R47" s="3220">
        <f>E47</f>
        <v>0</v>
      </c>
      <c r="S47" s="3220"/>
      <c r="T47" s="3220">
        <f>G47</f>
        <v>0</v>
      </c>
      <c r="U47" s="3220"/>
      <c r="V47" s="3220">
        <f>I47</f>
        <v>0</v>
      </c>
      <c r="W47" s="3220"/>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50"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50"/>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50"/>
      <c r="AC6" s="3233"/>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0"/>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2550</v>
      </c>
      <c r="Q15" s="1813" t="str">
        <f t="shared" si="6"/>
        <v>商业繁华度</v>
      </c>
      <c r="R15" s="774" t="s">
        <v>17</v>
      </c>
      <c r="S15" s="775">
        <f t="shared" si="0"/>
        <v>100</v>
      </c>
      <c r="T15" s="774" t="s">
        <v>17</v>
      </c>
      <c r="U15" s="775">
        <f t="shared" si="1"/>
        <v>100</v>
      </c>
      <c r="V15" s="774" t="s">
        <v>17</v>
      </c>
      <c r="W15" s="775">
        <f t="shared" si="2"/>
        <v>100</v>
      </c>
      <c r="X15" s="1816"/>
      <c r="Y15" s="3221"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9"/>
      <c r="Q16" s="1813"/>
      <c r="R16" s="774"/>
      <c r="S16" s="775"/>
      <c r="T16" s="774"/>
      <c r="U16" s="775"/>
      <c r="V16" s="774"/>
      <c r="W16" s="775"/>
      <c r="X16" s="1816"/>
      <c r="Y16" s="3222"/>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29"/>
      <c r="Q18" s="1813"/>
      <c r="R18" s="774"/>
      <c r="S18" s="775"/>
      <c r="T18" s="774"/>
      <c r="U18" s="775"/>
      <c r="V18" s="774"/>
      <c r="W18" s="775"/>
      <c r="X18" s="1816"/>
      <c r="Y18" s="3222"/>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29"/>
      <c r="Q20" s="1813"/>
      <c r="R20" s="774"/>
      <c r="S20" s="775"/>
      <c r="T20" s="774"/>
      <c r="U20" s="775"/>
      <c r="V20" s="774"/>
      <c r="W20" s="775"/>
      <c r="X20" s="1816"/>
      <c r="Y20" s="3222"/>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29"/>
      <c r="Q22" s="1813"/>
      <c r="R22" s="774"/>
      <c r="S22" s="775"/>
      <c r="T22" s="774"/>
      <c r="U22" s="775"/>
      <c r="V22" s="774"/>
      <c r="W22" s="775"/>
      <c r="X22" s="1816"/>
      <c r="Y22" s="3222"/>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3" t="str">
        <f>B23</f>
        <v>自然及人文环境</v>
      </c>
      <c r="R23" s="774" t="s">
        <v>17</v>
      </c>
      <c r="S23" s="775">
        <f>F23</f>
        <v>100</v>
      </c>
      <c r="T23" s="774" t="s">
        <v>17</v>
      </c>
      <c r="U23" s="775">
        <f>H23</f>
        <v>100</v>
      </c>
      <c r="V23" s="774" t="s">
        <v>17</v>
      </c>
      <c r="W23" s="775">
        <f>J23</f>
        <v>100</v>
      </c>
      <c r="X23" s="1816"/>
      <c r="Y23" s="3222"/>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29"/>
      <c r="Q24" s="1813"/>
      <c r="R24" s="774"/>
      <c r="S24" s="775"/>
      <c r="T24" s="774"/>
      <c r="U24" s="775"/>
      <c r="V24" s="774"/>
      <c r="W24" s="775"/>
      <c r="X24" s="1816"/>
      <c r="Y24" s="3222"/>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3" t="str">
        <f t="shared" ref="Q25:Q46" si="11">B25</f>
        <v>临街状况</v>
      </c>
      <c r="R25" s="774" t="s">
        <v>17</v>
      </c>
      <c r="S25" s="775">
        <f>F25</f>
        <v>100</v>
      </c>
      <c r="T25" s="774" t="s">
        <v>17</v>
      </c>
      <c r="U25" s="775">
        <f>H25</f>
        <v>100</v>
      </c>
      <c r="V25" s="774" t="s">
        <v>17</v>
      </c>
      <c r="W25" s="775">
        <f>J25</f>
        <v>100</v>
      </c>
      <c r="X25" s="1816"/>
      <c r="Y25" s="3222"/>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3" t="str">
        <f t="shared" si="11"/>
        <v>平面位置/可视性</v>
      </c>
      <c r="R26" s="774" t="s">
        <v>17</v>
      </c>
      <c r="S26" s="775">
        <f>F26</f>
        <v>100</v>
      </c>
      <c r="T26" s="774" t="s">
        <v>17</v>
      </c>
      <c r="U26" s="775">
        <f>H26</f>
        <v>100</v>
      </c>
      <c r="V26" s="774" t="s">
        <v>17</v>
      </c>
      <c r="W26" s="775">
        <f>J26</f>
        <v>100</v>
      </c>
      <c r="X26" s="1816"/>
      <c r="Y26" s="3222"/>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29"/>
      <c r="Q27" s="1798" t="str">
        <f t="shared" si="11"/>
        <v>人流量</v>
      </c>
      <c r="R27" s="770" t="s">
        <v>17</v>
      </c>
      <c r="S27" s="771">
        <f>F27</f>
        <v>100</v>
      </c>
      <c r="T27" s="770" t="s">
        <v>17</v>
      </c>
      <c r="U27" s="771">
        <f>H27</f>
        <v>100</v>
      </c>
      <c r="V27" s="770" t="s">
        <v>17</v>
      </c>
      <c r="W27" s="771">
        <f>J27</f>
        <v>100</v>
      </c>
      <c r="X27" s="772"/>
      <c r="Y27" s="3222"/>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3">
        <f t="shared" si="11"/>
        <v>111</v>
      </c>
      <c r="R29" s="774" t="s">
        <v>17</v>
      </c>
      <c r="S29" s="775">
        <f t="shared" si="12"/>
        <v>100</v>
      </c>
      <c r="T29" s="774" t="s">
        <v>17</v>
      </c>
      <c r="U29" s="775">
        <f t="shared" si="13"/>
        <v>100</v>
      </c>
      <c r="V29" s="774" t="s">
        <v>17</v>
      </c>
      <c r="W29" s="775">
        <f t="shared" si="14"/>
        <v>100</v>
      </c>
      <c r="X29" s="1816"/>
      <c r="Y29" s="322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3" t="s">
        <v>2555</v>
      </c>
      <c r="Q32" s="1813" t="str">
        <f t="shared" si="11"/>
        <v>商业类型</v>
      </c>
      <c r="R32" s="774" t="s">
        <v>17</v>
      </c>
      <c r="S32" s="775">
        <f t="shared" si="12"/>
        <v>100</v>
      </c>
      <c r="T32" s="774" t="s">
        <v>17</v>
      </c>
      <c r="U32" s="775">
        <f t="shared" si="13"/>
        <v>100</v>
      </c>
      <c r="V32" s="774" t="s">
        <v>17</v>
      </c>
      <c r="W32" s="775">
        <f t="shared" si="14"/>
        <v>100</v>
      </c>
      <c r="X32" s="1816"/>
      <c r="Y32" s="3226"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4"/>
      <c r="Q33" s="776" t="str">
        <f t="shared" si="11"/>
        <v>项目建筑规模</v>
      </c>
      <c r="R33" s="777" t="s">
        <v>17</v>
      </c>
      <c r="S33" s="778" t="e">
        <f t="shared" si="12"/>
        <v>#N/A</v>
      </c>
      <c r="T33" s="777" t="s">
        <v>17</v>
      </c>
      <c r="U33" s="778" t="e">
        <f t="shared" si="13"/>
        <v>#N/A</v>
      </c>
      <c r="V33" s="777" t="s">
        <v>17</v>
      </c>
      <c r="W33" s="778" t="e">
        <f t="shared" si="14"/>
        <v>#N/A</v>
      </c>
      <c r="X33" s="779"/>
      <c r="Y33" s="3226"/>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24"/>
      <c r="Q34" s="1813" t="str">
        <f t="shared" si="11"/>
        <v>建筑结构</v>
      </c>
      <c r="R34" s="774" t="s">
        <v>17</v>
      </c>
      <c r="S34" s="775">
        <f t="shared" si="12"/>
        <v>100</v>
      </c>
      <c r="T34" s="774" t="s">
        <v>17</v>
      </c>
      <c r="U34" s="775">
        <f t="shared" si="13"/>
        <v>100</v>
      </c>
      <c r="V34" s="774" t="s">
        <v>17</v>
      </c>
      <c r="W34" s="775">
        <f t="shared" si="14"/>
        <v>100</v>
      </c>
      <c r="X34" s="1816"/>
      <c r="Y34" s="3226"/>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24"/>
      <c r="Q35" s="1813" t="str">
        <f t="shared" si="11"/>
        <v>公共部分装修</v>
      </c>
      <c r="R35" s="774" t="s">
        <v>17</v>
      </c>
      <c r="S35" s="775">
        <f t="shared" si="12"/>
        <v>100</v>
      </c>
      <c r="T35" s="774" t="s">
        <v>17</v>
      </c>
      <c r="U35" s="775">
        <f t="shared" si="13"/>
        <v>100</v>
      </c>
      <c r="V35" s="774" t="s">
        <v>17</v>
      </c>
      <c r="W35" s="775">
        <f t="shared" si="14"/>
        <v>100</v>
      </c>
      <c r="X35" s="1816"/>
      <c r="Y35" s="3226"/>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4"/>
      <c r="Q36" s="1813" t="str">
        <f t="shared" si="11"/>
        <v>成新度</v>
      </c>
      <c r="R36" s="774" t="s">
        <v>17</v>
      </c>
      <c r="S36" s="775" t="e">
        <f t="shared" si="12"/>
        <v>#N/A</v>
      </c>
      <c r="T36" s="774" t="s">
        <v>17</v>
      </c>
      <c r="U36" s="775" t="e">
        <f t="shared" si="13"/>
        <v>#N/A</v>
      </c>
      <c r="V36" s="774" t="s">
        <v>17</v>
      </c>
      <c r="W36" s="775" t="e">
        <f t="shared" si="14"/>
        <v>#N/A</v>
      </c>
      <c r="X36" s="1816"/>
      <c r="Y36" s="3226"/>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24"/>
      <c r="Q37" s="1798" t="str">
        <f t="shared" si="11"/>
        <v>市政基础设施</v>
      </c>
      <c r="R37" s="770" t="s">
        <v>17</v>
      </c>
      <c r="S37" s="771">
        <f t="shared" si="12"/>
        <v>100</v>
      </c>
      <c r="T37" s="770" t="s">
        <v>17</v>
      </c>
      <c r="U37" s="771">
        <f t="shared" si="13"/>
        <v>100</v>
      </c>
      <c r="V37" s="770" t="s">
        <v>17</v>
      </c>
      <c r="W37" s="771">
        <f t="shared" si="14"/>
        <v>100</v>
      </c>
      <c r="X37" s="772"/>
      <c r="Y37" s="3226"/>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24" t="s">
        <v>2555</v>
      </c>
      <c r="Q38" s="1813" t="str">
        <f t="shared" si="11"/>
        <v>业态</v>
      </c>
      <c r="R38" s="774" t="s">
        <v>17</v>
      </c>
      <c r="S38" s="775">
        <f t="shared" si="12"/>
        <v>100</v>
      </c>
      <c r="T38" s="774" t="s">
        <v>17</v>
      </c>
      <c r="U38" s="775">
        <f t="shared" si="13"/>
        <v>100</v>
      </c>
      <c r="V38" s="774" t="s">
        <v>17</v>
      </c>
      <c r="W38" s="775">
        <f t="shared" si="14"/>
        <v>100</v>
      </c>
      <c r="X38" s="1816"/>
      <c r="Y38" s="3226"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24"/>
      <c r="Q39" s="1813" t="str">
        <f t="shared" si="11"/>
        <v>层高</v>
      </c>
      <c r="R39" s="774" t="s">
        <v>17</v>
      </c>
      <c r="S39" s="775">
        <f t="shared" si="12"/>
        <v>100</v>
      </c>
      <c r="T39" s="774" t="s">
        <v>17</v>
      </c>
      <c r="U39" s="775">
        <f t="shared" si="13"/>
        <v>100</v>
      </c>
      <c r="V39" s="774" t="s">
        <v>17</v>
      </c>
      <c r="W39" s="775">
        <f t="shared" si="14"/>
        <v>100</v>
      </c>
      <c r="X39" s="1816"/>
      <c r="Y39" s="3226"/>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4"/>
      <c r="Q40" s="1813" t="str">
        <f t="shared" si="11"/>
        <v>单套建筑面积</v>
      </c>
      <c r="R40" s="774" t="s">
        <v>17</v>
      </c>
      <c r="S40" s="775">
        <f t="shared" si="12"/>
        <v>100</v>
      </c>
      <c r="T40" s="774" t="s">
        <v>17</v>
      </c>
      <c r="U40" s="775">
        <f t="shared" si="13"/>
        <v>100</v>
      </c>
      <c r="V40" s="774" t="s">
        <v>17</v>
      </c>
      <c r="W40" s="775">
        <f t="shared" si="14"/>
        <v>100</v>
      </c>
      <c r="X40" s="1816"/>
      <c r="Y40" s="3226"/>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4"/>
      <c r="Q41" s="776" t="str">
        <f t="shared" si="11"/>
        <v>进深比</v>
      </c>
      <c r="R41" s="777" t="s">
        <v>17</v>
      </c>
      <c r="S41" s="778">
        <f t="shared" si="12"/>
        <v>100</v>
      </c>
      <c r="T41" s="777" t="s">
        <v>17</v>
      </c>
      <c r="U41" s="778">
        <f t="shared" si="13"/>
        <v>100</v>
      </c>
      <c r="V41" s="777" t="s">
        <v>17</v>
      </c>
      <c r="W41" s="778">
        <f t="shared" si="14"/>
        <v>100</v>
      </c>
      <c r="X41" s="779"/>
      <c r="Y41" s="3226"/>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24"/>
      <c r="Q42" s="1813" t="str">
        <f t="shared" si="11"/>
        <v>内部装修</v>
      </c>
      <c r="R42" s="774" t="s">
        <v>17</v>
      </c>
      <c r="S42" s="775">
        <f t="shared" si="12"/>
        <v>100</v>
      </c>
      <c r="T42" s="774" t="s">
        <v>17</v>
      </c>
      <c r="U42" s="775">
        <f t="shared" si="13"/>
        <v>100</v>
      </c>
      <c r="V42" s="774" t="s">
        <v>17</v>
      </c>
      <c r="W42" s="775">
        <f t="shared" si="14"/>
        <v>100</v>
      </c>
      <c r="X42" s="1816"/>
      <c r="Y42" s="3226"/>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24"/>
      <c r="Q43" s="1813" t="str">
        <f t="shared" si="11"/>
        <v>内部装修维护情况</v>
      </c>
      <c r="R43" s="774" t="s">
        <v>17</v>
      </c>
      <c r="S43" s="775">
        <f t="shared" si="12"/>
        <v>100</v>
      </c>
      <c r="T43" s="774" t="s">
        <v>17</v>
      </c>
      <c r="U43" s="775">
        <f t="shared" si="13"/>
        <v>100</v>
      </c>
      <c r="V43" s="774" t="s">
        <v>17</v>
      </c>
      <c r="W43" s="775">
        <f t="shared" si="14"/>
        <v>100</v>
      </c>
      <c r="X43" s="1816"/>
      <c r="Y43" s="322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4"/>
      <c r="Q44" s="1798">
        <f t="shared" si="11"/>
        <v>111</v>
      </c>
      <c r="R44" s="770" t="s">
        <v>17</v>
      </c>
      <c r="S44" s="771">
        <f t="shared" si="12"/>
        <v>100</v>
      </c>
      <c r="T44" s="770" t="s">
        <v>17</v>
      </c>
      <c r="U44" s="771">
        <f t="shared" si="13"/>
        <v>100</v>
      </c>
      <c r="V44" s="770" t="s">
        <v>17</v>
      </c>
      <c r="W44" s="771">
        <f t="shared" si="14"/>
        <v>100</v>
      </c>
      <c r="X44" s="772"/>
      <c r="Y44" s="322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4"/>
      <c r="Q45" s="1813">
        <f t="shared" si="11"/>
        <v>111</v>
      </c>
      <c r="R45" s="774" t="s">
        <v>17</v>
      </c>
      <c r="S45" s="775">
        <f t="shared" si="12"/>
        <v>100</v>
      </c>
      <c r="T45" s="774" t="s">
        <v>17</v>
      </c>
      <c r="U45" s="775">
        <f t="shared" si="13"/>
        <v>100</v>
      </c>
      <c r="V45" s="774" t="s">
        <v>17</v>
      </c>
      <c r="W45" s="775">
        <f t="shared" si="14"/>
        <v>100</v>
      </c>
      <c r="X45" s="1816"/>
      <c r="Y45" s="3226"/>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9" t="str">
        <f>A47</f>
        <v>成交单价（元/平方米）</v>
      </c>
      <c r="Q47" s="3219"/>
      <c r="R47" s="3250">
        <f>E47</f>
        <v>0</v>
      </c>
      <c r="S47" s="3250"/>
      <c r="T47" s="3250">
        <f>G47</f>
        <v>0</v>
      </c>
      <c r="U47" s="3250"/>
      <c r="V47" s="3250">
        <f>I47</f>
        <v>0</v>
      </c>
      <c r="W47" s="3250"/>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6" t="str">
        <f>A49</f>
        <v>估价对象XX用房的比较价值（楼面单价，元/平方米）</v>
      </c>
      <c r="Q49" s="3217"/>
      <c r="R49" s="3218" t="e">
        <f>IF(F1="售价",ROUND(AVERAGE(R48:V48),0),ROUND(AVERAGE(R48:V48),1))</f>
        <v>#DIV/0!</v>
      </c>
      <c r="S49" s="3218"/>
      <c r="T49" s="3218"/>
      <c r="U49" s="3218"/>
      <c r="V49" s="3218"/>
      <c r="W49" s="321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D51" sqref="D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6813.6499999999987</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68" t="s">
        <v>2641</v>
      </c>
      <c r="Q4" s="3269"/>
      <c r="R4" s="3272" t="s">
        <v>2637</v>
      </c>
      <c r="S4" s="3273"/>
      <c r="T4" s="3272" t="s">
        <v>2638</v>
      </c>
      <c r="U4" s="3273"/>
      <c r="V4" s="3274" t="s">
        <v>2639</v>
      </c>
      <c r="W4" s="3274"/>
      <c r="X4" s="2669"/>
      <c r="Y4" s="3272" t="s">
        <v>2641</v>
      </c>
      <c r="Z4" s="3273"/>
      <c r="AA4" s="3277" t="s">
        <v>2637</v>
      </c>
      <c r="AB4" s="3277" t="s">
        <v>2638</v>
      </c>
      <c r="AC4" s="3265" t="s">
        <v>2639</v>
      </c>
    </row>
    <row r="5" spans="1:29" ht="15">
      <c r="A5" s="404"/>
      <c r="B5" s="405"/>
      <c r="C5" s="3276" t="s">
        <v>3104</v>
      </c>
      <c r="D5" s="3254"/>
      <c r="E5" s="3260" t="str">
        <f>案例!Q25</f>
        <v>洛娃大厦</v>
      </c>
      <c r="F5" s="3261"/>
      <c r="G5" s="3253" t="str">
        <f>案例!Q26</f>
        <v>叶青大厦</v>
      </c>
      <c r="H5" s="3254"/>
      <c r="I5" s="3253" t="str">
        <f>案例!Q27</f>
        <v>众运大厦</v>
      </c>
      <c r="J5" s="3254"/>
      <c r="K5" s="610"/>
      <c r="L5" s="1133"/>
      <c r="M5" s="1134"/>
      <c r="N5" s="1134"/>
      <c r="O5" s="1134"/>
      <c r="P5" s="3270"/>
      <c r="Q5" s="3241"/>
      <c r="R5" s="3246"/>
      <c r="S5" s="3247"/>
      <c r="T5" s="3246"/>
      <c r="U5" s="3247"/>
      <c r="V5" s="3250"/>
      <c r="W5" s="3250"/>
      <c r="X5" s="1816"/>
      <c r="Y5" s="3246"/>
      <c r="Z5" s="3247"/>
      <c r="AA5" s="3232"/>
      <c r="AB5" s="3232"/>
      <c r="AC5" s="3266"/>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71"/>
      <c r="Q6" s="3243"/>
      <c r="R6" s="3246"/>
      <c r="S6" s="3247"/>
      <c r="T6" s="3248"/>
      <c r="U6" s="3249"/>
      <c r="V6" s="3250"/>
      <c r="W6" s="3250"/>
      <c r="X6" s="1816"/>
      <c r="Y6" s="3248"/>
      <c r="Z6" s="3249"/>
      <c r="AA6" s="3233"/>
      <c r="AB6" s="3233"/>
      <c r="AC6" s="3267"/>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75" t="s">
        <v>2539</v>
      </c>
      <c r="Q7" s="3257"/>
      <c r="R7" s="770" t="s">
        <v>17</v>
      </c>
      <c r="S7" s="771">
        <f t="shared" ref="S7:S15" si="0">F7</f>
        <v>100</v>
      </c>
      <c r="T7" s="770" t="s">
        <v>17</v>
      </c>
      <c r="U7" s="771">
        <f t="shared" ref="U7:U15" si="1">H7</f>
        <v>100</v>
      </c>
      <c r="V7" s="770" t="s">
        <v>17</v>
      </c>
      <c r="W7" s="771">
        <f t="shared" ref="W7:W15" si="2">J7</f>
        <v>100</v>
      </c>
      <c r="X7" s="772"/>
      <c r="Y7" s="3255" t="s">
        <v>2539</v>
      </c>
      <c r="Z7" s="3256"/>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75" t="s">
        <v>2542</v>
      </c>
      <c r="Q8" s="3256"/>
      <c r="R8" s="770" t="s">
        <v>17</v>
      </c>
      <c r="S8" s="771">
        <f t="shared" si="0"/>
        <v>100</v>
      </c>
      <c r="T8" s="770" t="s">
        <v>17</v>
      </c>
      <c r="U8" s="771">
        <f t="shared" si="1"/>
        <v>100</v>
      </c>
      <c r="V8" s="770" t="s">
        <v>17</v>
      </c>
      <c r="W8" s="771">
        <f t="shared" si="2"/>
        <v>100</v>
      </c>
      <c r="X8" s="772"/>
      <c r="Y8" s="3255" t="s">
        <v>2542</v>
      </c>
      <c r="Z8" s="3256"/>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30"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30"/>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30"/>
      <c r="Q11" s="1798" t="str">
        <f t="shared" si="6"/>
        <v>容积率</v>
      </c>
      <c r="R11" s="770" t="s">
        <v>17</v>
      </c>
      <c r="S11" s="771">
        <f t="shared" si="0"/>
        <v>100</v>
      </c>
      <c r="T11" s="770" t="s">
        <v>17</v>
      </c>
      <c r="U11" s="771">
        <f t="shared" si="1"/>
        <v>100</v>
      </c>
      <c r="V11" s="770" t="s">
        <v>17</v>
      </c>
      <c r="W11" s="771">
        <f t="shared" si="2"/>
        <v>100</v>
      </c>
      <c r="X11" s="772"/>
      <c r="Y11" s="3024"/>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30"/>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30"/>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30"/>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8" t="s">
        <v>2550</v>
      </c>
      <c r="Q15" s="1813" t="str">
        <f t="shared" si="6"/>
        <v>办公集聚程度</v>
      </c>
      <c r="R15" s="774" t="s">
        <v>17</v>
      </c>
      <c r="S15" s="775">
        <f t="shared" si="0"/>
        <v>100</v>
      </c>
      <c r="T15" s="774" t="s">
        <v>17</v>
      </c>
      <c r="U15" s="775">
        <f t="shared" si="1"/>
        <v>100</v>
      </c>
      <c r="V15" s="774" t="s">
        <v>17</v>
      </c>
      <c r="W15" s="775">
        <f t="shared" si="2"/>
        <v>100</v>
      </c>
      <c r="X15" s="1816"/>
      <c r="Y15" s="3221"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29"/>
      <c r="Q16" s="1813"/>
      <c r="R16" s="774"/>
      <c r="S16" s="775"/>
      <c r="T16" s="774"/>
      <c r="U16" s="775"/>
      <c r="V16" s="774"/>
      <c r="W16" s="775"/>
      <c r="X16" s="1816"/>
      <c r="Y16" s="3222"/>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9"/>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29"/>
      <c r="Q18" s="1813"/>
      <c r="R18" s="774"/>
      <c r="S18" s="775"/>
      <c r="T18" s="774"/>
      <c r="U18" s="775"/>
      <c r="V18" s="774"/>
      <c r="W18" s="775"/>
      <c r="X18" s="1816"/>
      <c r="Y18" s="3222"/>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9"/>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29"/>
      <c r="Q20" s="1813"/>
      <c r="R20" s="774"/>
      <c r="S20" s="775"/>
      <c r="T20" s="774"/>
      <c r="U20" s="775"/>
      <c r="V20" s="774"/>
      <c r="W20" s="775"/>
      <c r="X20" s="1816"/>
      <c r="Y20" s="3222"/>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9"/>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29"/>
      <c r="Q22" s="1813"/>
      <c r="R22" s="774"/>
      <c r="S22" s="775"/>
      <c r="T22" s="774"/>
      <c r="U22" s="775"/>
      <c r="V22" s="774"/>
      <c r="W22" s="775"/>
      <c r="X22" s="1816"/>
      <c r="Y22" s="3222"/>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9"/>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29"/>
      <c r="Q24" s="1813"/>
      <c r="R24" s="774"/>
      <c r="S24" s="775"/>
      <c r="T24" s="774"/>
      <c r="U24" s="775"/>
      <c r="V24" s="774"/>
      <c r="W24" s="775"/>
      <c r="X24" s="1816"/>
      <c r="Y24" s="3222"/>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29"/>
      <c r="Q25" s="1813" t="str">
        <f>B25</f>
        <v>毗邻道路的类型与等级</v>
      </c>
      <c r="R25" s="774" t="s">
        <v>17</v>
      </c>
      <c r="S25" s="775">
        <f>F25</f>
        <v>100</v>
      </c>
      <c r="T25" s="774" t="s">
        <v>17</v>
      </c>
      <c r="U25" s="775">
        <f>H25</f>
        <v>102</v>
      </c>
      <c r="V25" s="774" t="s">
        <v>17</v>
      </c>
      <c r="W25" s="775">
        <f>J25</f>
        <v>102</v>
      </c>
      <c r="X25" s="1816"/>
      <c r="Y25" s="3222"/>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29"/>
      <c r="Q26" s="1813"/>
      <c r="R26" s="774"/>
      <c r="S26" s="775"/>
      <c r="T26" s="774"/>
      <c r="U26" s="775"/>
      <c r="V26" s="774"/>
      <c r="W26" s="775"/>
      <c r="X26" s="1816"/>
      <c r="Y26" s="3222"/>
      <c r="Z26" s="1817"/>
      <c r="AA26" s="1814">
        <v>1</v>
      </c>
      <c r="AB26" s="1814">
        <v>1</v>
      </c>
      <c r="AC26" s="2673">
        <v>1</v>
      </c>
    </row>
    <row r="27" spans="1:29" ht="15.75" thickBot="1">
      <c r="A27" s="428"/>
      <c r="B27" s="632" t="s">
        <v>2649</v>
      </c>
      <c r="C27" s="2977" t="s">
        <v>3109</v>
      </c>
      <c r="D27" s="2978">
        <v>100</v>
      </c>
      <c r="E27" s="2979" t="s">
        <v>3107</v>
      </c>
      <c r="F27" s="2978">
        <f>SUMIF(89:89,E27,90:90)-SUMIF(89:89,C27,90:90)+100</f>
        <v>96</v>
      </c>
      <c r="G27" s="2977" t="s">
        <v>3109</v>
      </c>
      <c r="H27" s="2978">
        <f>SUMIF(89:89,G27,90:90)-SUMIF(89:89,C27,90:90)+100</f>
        <v>100</v>
      </c>
      <c r="I27" s="2979" t="s">
        <v>3107</v>
      </c>
      <c r="J27" s="2978">
        <f>SUMIF(89:89,I27,90:90)-SUMIF(89:89,C27,90:90)+100</f>
        <v>96</v>
      </c>
      <c r="K27" s="612">
        <v>2</v>
      </c>
      <c r="L27" s="1143"/>
      <c r="M27" s="1134"/>
      <c r="N27" s="1134"/>
      <c r="O27" s="1134"/>
      <c r="P27" s="3229"/>
      <c r="Q27" s="1813" t="str">
        <f t="shared" ref="Q27:Q47" si="11">B27</f>
        <v>楼层</v>
      </c>
      <c r="R27" s="774" t="s">
        <v>17</v>
      </c>
      <c r="S27" s="775">
        <f>F27</f>
        <v>96</v>
      </c>
      <c r="T27" s="774" t="s">
        <v>17</v>
      </c>
      <c r="U27" s="775">
        <f>H27</f>
        <v>100</v>
      </c>
      <c r="V27" s="774" t="s">
        <v>17</v>
      </c>
      <c r="W27" s="775">
        <f>J27</f>
        <v>96</v>
      </c>
      <c r="X27" s="1816"/>
      <c r="Y27" s="3222"/>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29"/>
      <c r="Q28" s="1798" t="str">
        <f t="shared" si="11"/>
        <v>朝向</v>
      </c>
      <c r="R28" s="770" t="s">
        <v>17</v>
      </c>
      <c r="S28" s="771">
        <f>F28</f>
        <v>100</v>
      </c>
      <c r="T28" s="770" t="s">
        <v>17</v>
      </c>
      <c r="U28" s="771">
        <f>H28</f>
        <v>100</v>
      </c>
      <c r="V28" s="770" t="s">
        <v>17</v>
      </c>
      <c r="W28" s="771">
        <f>J28</f>
        <v>100</v>
      </c>
      <c r="X28" s="772"/>
      <c r="Y28" s="3222"/>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29"/>
      <c r="Q29" s="1813">
        <f t="shared" si="11"/>
        <v>111</v>
      </c>
      <c r="R29" s="774" t="s">
        <v>17</v>
      </c>
      <c r="S29" s="775">
        <f t="shared" ref="S29:S47" si="12">F29</f>
        <v>100</v>
      </c>
      <c r="T29" s="774" t="s">
        <v>17</v>
      </c>
      <c r="U29" s="775">
        <f t="shared" ref="U29:U47" si="13">H29</f>
        <v>100</v>
      </c>
      <c r="V29" s="774" t="s">
        <v>17</v>
      </c>
      <c r="W29" s="775">
        <f t="shared" ref="W29:W47" si="14">J29</f>
        <v>100</v>
      </c>
      <c r="X29" s="1816"/>
      <c r="Y29" s="3222"/>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29"/>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29"/>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29"/>
      <c r="Q32" s="1813">
        <f t="shared" si="11"/>
        <v>111</v>
      </c>
      <c r="R32" s="774" t="s">
        <v>17</v>
      </c>
      <c r="S32" s="775">
        <f t="shared" si="12"/>
        <v>100</v>
      </c>
      <c r="T32" s="774" t="s">
        <v>17</v>
      </c>
      <c r="U32" s="775">
        <f t="shared" si="13"/>
        <v>100</v>
      </c>
      <c r="V32" s="774" t="s">
        <v>17</v>
      </c>
      <c r="W32" s="775">
        <f t="shared" si="14"/>
        <v>100</v>
      </c>
      <c r="X32" s="1816"/>
      <c r="Y32" s="3222"/>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23" t="s">
        <v>2555</v>
      </c>
      <c r="Q33" s="1813" t="str">
        <f t="shared" si="11"/>
        <v>建筑类型</v>
      </c>
      <c r="R33" s="774" t="s">
        <v>17</v>
      </c>
      <c r="S33" s="775">
        <f t="shared" si="12"/>
        <v>100</v>
      </c>
      <c r="T33" s="774" t="s">
        <v>17</v>
      </c>
      <c r="U33" s="775">
        <f t="shared" si="13"/>
        <v>100</v>
      </c>
      <c r="V33" s="774" t="s">
        <v>17</v>
      </c>
      <c r="W33" s="775">
        <f t="shared" si="14"/>
        <v>100</v>
      </c>
      <c r="X33" s="1816"/>
      <c r="Y33" s="3226"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4"/>
      <c r="Q34" s="776" t="str">
        <f t="shared" si="11"/>
        <v>项目建筑规模</v>
      </c>
      <c r="R34" s="777" t="s">
        <v>17</v>
      </c>
      <c r="S34" s="778">
        <f t="shared" si="12"/>
        <v>100</v>
      </c>
      <c r="T34" s="777" t="s">
        <v>17</v>
      </c>
      <c r="U34" s="778">
        <f t="shared" si="13"/>
        <v>100</v>
      </c>
      <c r="V34" s="777" t="s">
        <v>17</v>
      </c>
      <c r="W34" s="778">
        <f t="shared" si="14"/>
        <v>100</v>
      </c>
      <c r="X34" s="779"/>
      <c r="Y34" s="3226"/>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24"/>
      <c r="Q35" s="1813" t="str">
        <f t="shared" si="11"/>
        <v>建筑结构</v>
      </c>
      <c r="R35" s="774" t="s">
        <v>17</v>
      </c>
      <c r="S35" s="775">
        <f t="shared" si="12"/>
        <v>100</v>
      </c>
      <c r="T35" s="774" t="s">
        <v>17</v>
      </c>
      <c r="U35" s="775">
        <f t="shared" si="13"/>
        <v>100</v>
      </c>
      <c r="V35" s="774" t="s">
        <v>17</v>
      </c>
      <c r="W35" s="775">
        <f t="shared" si="14"/>
        <v>100</v>
      </c>
      <c r="X35" s="1816"/>
      <c r="Y35" s="3226"/>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24"/>
      <c r="Q36" s="1813" t="str">
        <f t="shared" si="11"/>
        <v>公共部分装修</v>
      </c>
      <c r="R36" s="774" t="s">
        <v>17</v>
      </c>
      <c r="S36" s="775">
        <f t="shared" si="12"/>
        <v>100</v>
      </c>
      <c r="T36" s="774" t="s">
        <v>17</v>
      </c>
      <c r="U36" s="775">
        <f t="shared" si="13"/>
        <v>100</v>
      </c>
      <c r="V36" s="774" t="s">
        <v>17</v>
      </c>
      <c r="W36" s="775">
        <f t="shared" si="14"/>
        <v>100</v>
      </c>
      <c r="X36" s="1816"/>
      <c r="Y36" s="3226"/>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24"/>
      <c r="Q37" s="1813" t="str">
        <f t="shared" si="11"/>
        <v>成新度</v>
      </c>
      <c r="R37" s="774" t="s">
        <v>17</v>
      </c>
      <c r="S37" s="775">
        <f t="shared" si="12"/>
        <v>100</v>
      </c>
      <c r="T37" s="774" t="s">
        <v>17</v>
      </c>
      <c r="U37" s="775">
        <f t="shared" si="13"/>
        <v>99</v>
      </c>
      <c r="V37" s="774" t="s">
        <v>17</v>
      </c>
      <c r="W37" s="775">
        <f t="shared" si="14"/>
        <v>99</v>
      </c>
      <c r="X37" s="1816"/>
      <c r="Y37" s="3226"/>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24"/>
      <c r="Q38" s="1798" t="str">
        <f t="shared" si="11"/>
        <v>写字楼等级</v>
      </c>
      <c r="R38" s="770" t="s">
        <v>17</v>
      </c>
      <c r="S38" s="771">
        <f t="shared" si="12"/>
        <v>100</v>
      </c>
      <c r="T38" s="770" t="s">
        <v>17</v>
      </c>
      <c r="U38" s="771">
        <f t="shared" si="13"/>
        <v>100</v>
      </c>
      <c r="V38" s="770" t="s">
        <v>17</v>
      </c>
      <c r="W38" s="771">
        <f t="shared" si="14"/>
        <v>100</v>
      </c>
      <c r="X38" s="772"/>
      <c r="Y38" s="3226"/>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24" t="s">
        <v>2555</v>
      </c>
      <c r="Q39" s="1813" t="str">
        <f t="shared" si="11"/>
        <v>物业管理</v>
      </c>
      <c r="R39" s="774" t="s">
        <v>17</v>
      </c>
      <c r="S39" s="775">
        <f t="shared" si="12"/>
        <v>100</v>
      </c>
      <c r="T39" s="774" t="s">
        <v>17</v>
      </c>
      <c r="U39" s="775">
        <f t="shared" si="13"/>
        <v>100</v>
      </c>
      <c r="V39" s="774" t="s">
        <v>17</v>
      </c>
      <c r="W39" s="775">
        <f t="shared" si="14"/>
        <v>100</v>
      </c>
      <c r="X39" s="1816"/>
      <c r="Y39" s="3226"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24"/>
      <c r="Q40" s="1813" t="str">
        <f t="shared" si="11"/>
        <v>市政基础设施</v>
      </c>
      <c r="R40" s="774" t="s">
        <v>17</v>
      </c>
      <c r="S40" s="775">
        <f t="shared" si="12"/>
        <v>100</v>
      </c>
      <c r="T40" s="774" t="s">
        <v>17</v>
      </c>
      <c r="U40" s="775">
        <f t="shared" si="13"/>
        <v>100</v>
      </c>
      <c r="V40" s="774" t="s">
        <v>17</v>
      </c>
      <c r="W40" s="775">
        <f t="shared" si="14"/>
        <v>100</v>
      </c>
      <c r="X40" s="1816"/>
      <c r="Y40" s="3226"/>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24"/>
      <c r="Q41" s="1813" t="str">
        <f t="shared" si="11"/>
        <v>层高</v>
      </c>
      <c r="R41" s="774" t="s">
        <v>17</v>
      </c>
      <c r="S41" s="775">
        <f t="shared" si="12"/>
        <v>100</v>
      </c>
      <c r="T41" s="774" t="s">
        <v>17</v>
      </c>
      <c r="U41" s="775">
        <f t="shared" si="13"/>
        <v>100</v>
      </c>
      <c r="V41" s="774" t="s">
        <v>17</v>
      </c>
      <c r="W41" s="775">
        <f t="shared" si="14"/>
        <v>100</v>
      </c>
      <c r="X41" s="1816"/>
      <c r="Y41" s="3226"/>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24"/>
      <c r="Q42" s="776" t="str">
        <f t="shared" si="11"/>
        <v>单套建筑面积</v>
      </c>
      <c r="R42" s="777" t="s">
        <v>17</v>
      </c>
      <c r="S42" s="778">
        <f t="shared" si="12"/>
        <v>100</v>
      </c>
      <c r="T42" s="777" t="s">
        <v>17</v>
      </c>
      <c r="U42" s="778">
        <f t="shared" si="13"/>
        <v>100</v>
      </c>
      <c r="V42" s="777" t="s">
        <v>17</v>
      </c>
      <c r="W42" s="778">
        <f t="shared" si="14"/>
        <v>98</v>
      </c>
      <c r="X42" s="779"/>
      <c r="Y42" s="3226"/>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24"/>
      <c r="Q43" s="1813" t="str">
        <f t="shared" si="11"/>
        <v>内部装修</v>
      </c>
      <c r="R43" s="774" t="s">
        <v>17</v>
      </c>
      <c r="S43" s="775">
        <f t="shared" si="12"/>
        <v>100</v>
      </c>
      <c r="T43" s="774" t="s">
        <v>17</v>
      </c>
      <c r="U43" s="775">
        <f t="shared" si="13"/>
        <v>100</v>
      </c>
      <c r="V43" s="774" t="s">
        <v>17</v>
      </c>
      <c r="W43" s="775">
        <f t="shared" si="14"/>
        <v>100</v>
      </c>
      <c r="X43" s="1816"/>
      <c r="Y43" s="3226"/>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24"/>
      <c r="Q44" s="1813" t="str">
        <f t="shared" si="11"/>
        <v>内部装修维护情况</v>
      </c>
      <c r="R44" s="774" t="s">
        <v>17</v>
      </c>
      <c r="S44" s="775">
        <f t="shared" si="12"/>
        <v>100</v>
      </c>
      <c r="T44" s="774" t="s">
        <v>17</v>
      </c>
      <c r="U44" s="775">
        <f t="shared" si="13"/>
        <v>100</v>
      </c>
      <c r="V44" s="774" t="s">
        <v>17</v>
      </c>
      <c r="W44" s="775">
        <f t="shared" si="14"/>
        <v>100</v>
      </c>
      <c r="X44" s="1816"/>
      <c r="Y44" s="3226"/>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4"/>
      <c r="Q45" s="1798">
        <f t="shared" si="11"/>
        <v>111</v>
      </c>
      <c r="R45" s="770" t="s">
        <v>17</v>
      </c>
      <c r="S45" s="771">
        <f t="shared" si="12"/>
        <v>100</v>
      </c>
      <c r="T45" s="770" t="s">
        <v>17</v>
      </c>
      <c r="U45" s="771">
        <f t="shared" si="13"/>
        <v>100</v>
      </c>
      <c r="V45" s="770" t="s">
        <v>17</v>
      </c>
      <c r="W45" s="771">
        <f t="shared" si="14"/>
        <v>100</v>
      </c>
      <c r="X45" s="772"/>
      <c r="Y45" s="3226"/>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4"/>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5"/>
      <c r="Q47" s="1813">
        <f t="shared" si="11"/>
        <v>111</v>
      </c>
      <c r="R47" s="774" t="s">
        <v>17</v>
      </c>
      <c r="S47" s="775">
        <f t="shared" si="12"/>
        <v>100</v>
      </c>
      <c r="T47" s="774" t="s">
        <v>17</v>
      </c>
      <c r="U47" s="775">
        <f t="shared" si="13"/>
        <v>100</v>
      </c>
      <c r="V47" s="774" t="s">
        <v>17</v>
      </c>
      <c r="W47" s="775">
        <f t="shared" si="14"/>
        <v>100</v>
      </c>
      <c r="X47" s="1816"/>
      <c r="Y47" s="3227"/>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30" t="str">
        <f>A48</f>
        <v>成交单价（元/平方米）</v>
      </c>
      <c r="Q48" s="3219"/>
      <c r="R48" s="3220">
        <f>E48</f>
        <v>6.8</v>
      </c>
      <c r="S48" s="3220"/>
      <c r="T48" s="3220">
        <f>G48</f>
        <v>7.6</v>
      </c>
      <c r="U48" s="3220"/>
      <c r="V48" s="3220">
        <f>I48</f>
        <v>7</v>
      </c>
      <c r="W48" s="3220"/>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30" t="str">
        <f>A49</f>
        <v>比较价值（元/平方米）</v>
      </c>
      <c r="Q49" s="3219"/>
      <c r="R49" s="3220">
        <f>IF(F1="售价",ROUND(PRODUCT(R48,AA7:AA47),0),ROUND(PRODUCT(R48,AA7:AA47),1))</f>
        <v>7.1</v>
      </c>
      <c r="S49" s="3220"/>
      <c r="T49" s="3220">
        <f>IF(F1="售价",ROUND(PRODUCT(T48,AB7:AB47),0),ROUND(PRODUCT(T48,AB7:AB47),1))</f>
        <v>7.5</v>
      </c>
      <c r="U49" s="3220"/>
      <c r="V49" s="3220">
        <f>IF(F1="售价",ROUND(PRODUCT(V48,AC7:AC47),0),ROUND(PRODUCT(V48,AC7:AC47),1))</f>
        <v>7.4</v>
      </c>
      <c r="W49" s="3220"/>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62" t="str">
        <f>A50</f>
        <v>估价对象XX用房的比较价值（楼面单价，元/平方米）</v>
      </c>
      <c r="Q50" s="3263"/>
      <c r="R50" s="3264">
        <f>IF(F1="售价",ROUND(AVERAGE(R49:V49),0),ROUND(AVERAGE(R49:V49),1))</f>
        <v>7.3</v>
      </c>
      <c r="S50" s="3264"/>
      <c r="T50" s="3264"/>
      <c r="U50" s="3264"/>
      <c r="V50" s="3264"/>
      <c r="W50" s="3264"/>
      <c r="X50" s="2653"/>
      <c r="Y50" s="2653"/>
      <c r="Z50" s="2653"/>
      <c r="AA50" s="2653"/>
      <c r="AB50" s="2653"/>
      <c r="AC50" s="2654"/>
    </row>
    <row r="51" spans="1:29">
      <c r="A51" s="1147"/>
      <c r="B51" s="1147"/>
      <c r="C51" s="2965" t="s">
        <v>3153</v>
      </c>
      <c r="D51" s="2966">
        <f>ROUND(C50*0.25,1)</f>
        <v>1.8</v>
      </c>
      <c r="E51" s="2964" t="s">
        <v>3154</v>
      </c>
      <c r="F51" s="1147">
        <f>'数据-汇总表'!F19</f>
        <v>5618.3899999999985</v>
      </c>
      <c r="G51" s="2968">
        <f>ROUND(F51/E52*C50+F52/E52*D51,1)</f>
        <v>6.3</v>
      </c>
      <c r="H51" s="1147"/>
      <c r="I51" s="1147"/>
      <c r="J51" s="1147"/>
      <c r="K51" s="1108"/>
      <c r="L51" s="1109"/>
      <c r="M51" s="1147"/>
      <c r="N51" s="1147"/>
      <c r="O51" s="1147"/>
    </row>
    <row r="52" spans="1:29">
      <c r="A52" s="1147"/>
      <c r="B52" s="1147"/>
      <c r="C52" s="1147"/>
      <c r="D52" s="1147"/>
      <c r="E52" s="1147">
        <f>'数据-汇总表'!E19</f>
        <v>6813.6499999999987</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1" t="s">
        <v>2550</v>
      </c>
      <c r="Q15" s="1813" t="str">
        <f t="shared" si="6"/>
        <v>产业集聚程度</v>
      </c>
      <c r="R15" s="774" t="s">
        <v>17</v>
      </c>
      <c r="S15" s="775">
        <f t="shared" si="0"/>
        <v>100</v>
      </c>
      <c r="T15" s="774" t="s">
        <v>17</v>
      </c>
      <c r="U15" s="775">
        <f t="shared" si="1"/>
        <v>100</v>
      </c>
      <c r="V15" s="774" t="s">
        <v>17</v>
      </c>
      <c r="W15" s="775">
        <f t="shared" si="2"/>
        <v>100</v>
      </c>
      <c r="X15" s="1816"/>
      <c r="Y15" s="3221"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2"/>
      <c r="Q16" s="1813"/>
      <c r="R16" s="774"/>
      <c r="S16" s="775"/>
      <c r="T16" s="774"/>
      <c r="U16" s="775"/>
      <c r="V16" s="774"/>
      <c r="W16" s="775"/>
      <c r="X16" s="1816"/>
      <c r="Y16" s="3222"/>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22"/>
      <c r="Q18" s="1813"/>
      <c r="R18" s="774"/>
      <c r="S18" s="775"/>
      <c r="T18" s="774"/>
      <c r="U18" s="775"/>
      <c r="V18" s="774"/>
      <c r="W18" s="775"/>
      <c r="X18" s="1816"/>
      <c r="Y18" s="3222"/>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2"/>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22"/>
      <c r="Q20" s="1813"/>
      <c r="R20" s="774"/>
      <c r="S20" s="775"/>
      <c r="T20" s="774"/>
      <c r="U20" s="775"/>
      <c r="V20" s="774"/>
      <c r="W20" s="775"/>
      <c r="X20" s="1816"/>
      <c r="Y20" s="3222"/>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2"/>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22"/>
      <c r="Q22" s="1813"/>
      <c r="R22" s="774"/>
      <c r="S22" s="775"/>
      <c r="T22" s="774"/>
      <c r="U22" s="775"/>
      <c r="V22" s="774"/>
      <c r="W22" s="775"/>
      <c r="X22" s="1816"/>
      <c r="Y22" s="3222"/>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2"/>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22"/>
      <c r="Q24" s="1813"/>
      <c r="R24" s="774"/>
      <c r="S24" s="775"/>
      <c r="T24" s="774"/>
      <c r="U24" s="775"/>
      <c r="V24" s="774"/>
      <c r="W24" s="775"/>
      <c r="X24" s="1816"/>
      <c r="Y24" s="322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3">
        <f>B25</f>
        <v>111</v>
      </c>
      <c r="R25" s="774" t="s">
        <v>17</v>
      </c>
      <c r="S25" s="775">
        <f>F25</f>
        <v>100</v>
      </c>
      <c r="T25" s="774" t="s">
        <v>17</v>
      </c>
      <c r="U25" s="775">
        <f>H25</f>
        <v>100</v>
      </c>
      <c r="V25" s="774" t="s">
        <v>17</v>
      </c>
      <c r="W25" s="775">
        <f>J25</f>
        <v>100</v>
      </c>
      <c r="X25" s="1816"/>
      <c r="Y25" s="322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3">
        <f t="shared" ref="Q26:Q40" si="11">B26</f>
        <v>111</v>
      </c>
      <c r="R26" s="774" t="s">
        <v>17</v>
      </c>
      <c r="S26" s="775">
        <f>F26</f>
        <v>100</v>
      </c>
      <c r="T26" s="774" t="s">
        <v>17</v>
      </c>
      <c r="U26" s="775">
        <f>H26</f>
        <v>100</v>
      </c>
      <c r="V26" s="774" t="s">
        <v>17</v>
      </c>
      <c r="W26" s="775">
        <f>J26</f>
        <v>100</v>
      </c>
      <c r="X26" s="1816"/>
      <c r="Y26" s="322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8">
        <f t="shared" si="11"/>
        <v>111</v>
      </c>
      <c r="R27" s="770" t="s">
        <v>17</v>
      </c>
      <c r="S27" s="771">
        <f>F27</f>
        <v>100</v>
      </c>
      <c r="T27" s="770" t="s">
        <v>17</v>
      </c>
      <c r="U27" s="771">
        <f>H27</f>
        <v>100</v>
      </c>
      <c r="V27" s="770" t="s">
        <v>17</v>
      </c>
      <c r="W27" s="771">
        <f>J27</f>
        <v>100</v>
      </c>
      <c r="X27" s="772"/>
      <c r="Y27" s="322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3">
        <f t="shared" si="11"/>
        <v>111</v>
      </c>
      <c r="R28" s="774" t="s">
        <v>17</v>
      </c>
      <c r="S28" s="775">
        <f t="shared" ref="S28:S40" si="12">F28</f>
        <v>100</v>
      </c>
      <c r="T28" s="774" t="s">
        <v>17</v>
      </c>
      <c r="U28" s="775">
        <f t="shared" ref="U28:U40" si="13">H28</f>
        <v>100</v>
      </c>
      <c r="V28" s="774" t="s">
        <v>17</v>
      </c>
      <c r="W28" s="775">
        <f t="shared" ref="W28:W40" si="14">J28</f>
        <v>100</v>
      </c>
      <c r="X28" s="1816"/>
      <c r="Y28" s="3222"/>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8" t="s">
        <v>2555</v>
      </c>
      <c r="Q29" s="1813" t="str">
        <f t="shared" si="11"/>
        <v>建筑类型</v>
      </c>
      <c r="R29" s="774" t="s">
        <v>17</v>
      </c>
      <c r="S29" s="775">
        <f t="shared" si="12"/>
        <v>100</v>
      </c>
      <c r="T29" s="774" t="s">
        <v>17</v>
      </c>
      <c r="U29" s="775">
        <f t="shared" si="13"/>
        <v>100</v>
      </c>
      <c r="V29" s="774" t="s">
        <v>17</v>
      </c>
      <c r="W29" s="775">
        <f t="shared" si="14"/>
        <v>100</v>
      </c>
      <c r="X29" s="1816"/>
      <c r="Y29" s="3226"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6"/>
      <c r="Q30" s="776" t="str">
        <f t="shared" si="11"/>
        <v>项目建筑规模</v>
      </c>
      <c r="R30" s="777" t="s">
        <v>17</v>
      </c>
      <c r="S30" s="778" t="e">
        <f t="shared" si="12"/>
        <v>#N/A</v>
      </c>
      <c r="T30" s="777" t="s">
        <v>17</v>
      </c>
      <c r="U30" s="778" t="e">
        <f t="shared" si="13"/>
        <v>#N/A</v>
      </c>
      <c r="V30" s="777" t="s">
        <v>17</v>
      </c>
      <c r="W30" s="778" t="e">
        <f t="shared" si="14"/>
        <v>#N/A</v>
      </c>
      <c r="X30" s="779"/>
      <c r="Y30" s="3226"/>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6"/>
      <c r="Q31" s="1813" t="str">
        <f t="shared" si="11"/>
        <v>建筑结构</v>
      </c>
      <c r="R31" s="774" t="s">
        <v>17</v>
      </c>
      <c r="S31" s="775">
        <f t="shared" si="12"/>
        <v>100</v>
      </c>
      <c r="T31" s="774" t="s">
        <v>17</v>
      </c>
      <c r="U31" s="775">
        <f t="shared" si="13"/>
        <v>100</v>
      </c>
      <c r="V31" s="774" t="s">
        <v>17</v>
      </c>
      <c r="W31" s="775">
        <f t="shared" si="14"/>
        <v>100</v>
      </c>
      <c r="X31" s="1816"/>
      <c r="Y31" s="3226"/>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6"/>
      <c r="Q32" s="1813" t="str">
        <f t="shared" si="11"/>
        <v>公共部分装修</v>
      </c>
      <c r="R32" s="774" t="s">
        <v>17</v>
      </c>
      <c r="S32" s="775">
        <f t="shared" si="12"/>
        <v>100</v>
      </c>
      <c r="T32" s="774" t="s">
        <v>17</v>
      </c>
      <c r="U32" s="775">
        <f t="shared" si="13"/>
        <v>100</v>
      </c>
      <c r="V32" s="774" t="s">
        <v>17</v>
      </c>
      <c r="W32" s="775">
        <f t="shared" si="14"/>
        <v>100</v>
      </c>
      <c r="X32" s="1816"/>
      <c r="Y32" s="3226"/>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6"/>
      <c r="Q33" s="1813" t="str">
        <f t="shared" si="11"/>
        <v>成新度</v>
      </c>
      <c r="R33" s="774" t="s">
        <v>17</v>
      </c>
      <c r="S33" s="775" t="e">
        <f t="shared" si="12"/>
        <v>#N/A</v>
      </c>
      <c r="T33" s="774" t="s">
        <v>17</v>
      </c>
      <c r="U33" s="775" t="e">
        <f t="shared" si="13"/>
        <v>#N/A</v>
      </c>
      <c r="V33" s="774" t="s">
        <v>17</v>
      </c>
      <c r="W33" s="775" t="e">
        <f t="shared" si="14"/>
        <v>#N/A</v>
      </c>
      <c r="X33" s="1816"/>
      <c r="Y33" s="3226"/>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6"/>
      <c r="Q34" s="1798" t="str">
        <f t="shared" si="11"/>
        <v>物业管理</v>
      </c>
      <c r="R34" s="770" t="s">
        <v>17</v>
      </c>
      <c r="S34" s="771">
        <f t="shared" si="12"/>
        <v>100</v>
      </c>
      <c r="T34" s="770" t="s">
        <v>17</v>
      </c>
      <c r="U34" s="771">
        <f t="shared" si="13"/>
        <v>100</v>
      </c>
      <c r="V34" s="770" t="s">
        <v>17</v>
      </c>
      <c r="W34" s="771">
        <f t="shared" si="14"/>
        <v>100</v>
      </c>
      <c r="X34" s="772"/>
      <c r="Y34" s="3226"/>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6" t="s">
        <v>2555</v>
      </c>
      <c r="Q35" s="1813" t="str">
        <f t="shared" si="11"/>
        <v>市政基础设施</v>
      </c>
      <c r="R35" s="774" t="s">
        <v>17</v>
      </c>
      <c r="S35" s="775">
        <f t="shared" si="12"/>
        <v>100</v>
      </c>
      <c r="T35" s="774" t="s">
        <v>17</v>
      </c>
      <c r="U35" s="775">
        <f t="shared" si="13"/>
        <v>100</v>
      </c>
      <c r="V35" s="774" t="s">
        <v>17</v>
      </c>
      <c r="W35" s="775">
        <f t="shared" si="14"/>
        <v>100</v>
      </c>
      <c r="X35" s="1816"/>
      <c r="Y35" s="3226"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6"/>
      <c r="Q36" s="1813" t="str">
        <f t="shared" si="11"/>
        <v>内部装修</v>
      </c>
      <c r="R36" s="774" t="s">
        <v>17</v>
      </c>
      <c r="S36" s="775">
        <f t="shared" si="12"/>
        <v>100</v>
      </c>
      <c r="T36" s="774" t="s">
        <v>17</v>
      </c>
      <c r="U36" s="775">
        <f t="shared" si="13"/>
        <v>100</v>
      </c>
      <c r="V36" s="774" t="s">
        <v>17</v>
      </c>
      <c r="W36" s="775">
        <f t="shared" si="14"/>
        <v>100</v>
      </c>
      <c r="X36" s="1816"/>
      <c r="Y36" s="3226"/>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6"/>
      <c r="Q37" s="1813" t="str">
        <f t="shared" si="11"/>
        <v>内部装修状况</v>
      </c>
      <c r="R37" s="774" t="s">
        <v>17</v>
      </c>
      <c r="S37" s="775">
        <f t="shared" si="12"/>
        <v>100</v>
      </c>
      <c r="T37" s="774" t="s">
        <v>17</v>
      </c>
      <c r="U37" s="775">
        <f t="shared" si="13"/>
        <v>100</v>
      </c>
      <c r="V37" s="774" t="s">
        <v>17</v>
      </c>
      <c r="W37" s="775">
        <f t="shared" si="14"/>
        <v>100</v>
      </c>
      <c r="X37" s="1816"/>
      <c r="Y37" s="322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6"/>
      <c r="Q38" s="776">
        <f t="shared" si="11"/>
        <v>111</v>
      </c>
      <c r="R38" s="777" t="s">
        <v>17</v>
      </c>
      <c r="S38" s="778">
        <f t="shared" si="12"/>
        <v>100</v>
      </c>
      <c r="T38" s="777" t="s">
        <v>17</v>
      </c>
      <c r="U38" s="778">
        <f t="shared" si="13"/>
        <v>100</v>
      </c>
      <c r="V38" s="777" t="s">
        <v>17</v>
      </c>
      <c r="W38" s="778">
        <f t="shared" si="14"/>
        <v>100</v>
      </c>
      <c r="X38" s="779"/>
      <c r="Y38" s="322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6"/>
      <c r="Q39" s="1813">
        <f t="shared" si="11"/>
        <v>111</v>
      </c>
      <c r="R39" s="774" t="s">
        <v>17</v>
      </c>
      <c r="S39" s="775">
        <f t="shared" si="12"/>
        <v>100</v>
      </c>
      <c r="T39" s="774" t="s">
        <v>17</v>
      </c>
      <c r="U39" s="775">
        <f t="shared" si="13"/>
        <v>100</v>
      </c>
      <c r="V39" s="774" t="s">
        <v>17</v>
      </c>
      <c r="W39" s="775">
        <f t="shared" si="14"/>
        <v>100</v>
      </c>
      <c r="X39" s="1816"/>
      <c r="Y39" s="3226"/>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3">
        <f t="shared" si="11"/>
        <v>111</v>
      </c>
      <c r="R40" s="774" t="s">
        <v>17</v>
      </c>
      <c r="S40" s="775">
        <f t="shared" si="12"/>
        <v>100</v>
      </c>
      <c r="T40" s="774" t="s">
        <v>17</v>
      </c>
      <c r="U40" s="775">
        <f t="shared" si="13"/>
        <v>100</v>
      </c>
      <c r="V40" s="774" t="s">
        <v>17</v>
      </c>
      <c r="W40" s="775">
        <f t="shared" si="14"/>
        <v>100</v>
      </c>
      <c r="X40" s="1816"/>
      <c r="Y40" s="3227"/>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19" t="str">
        <f>A41</f>
        <v>成交单价（元/平方米）</v>
      </c>
      <c r="Q41" s="3219"/>
      <c r="R41" s="3220">
        <f>E41</f>
        <v>0</v>
      </c>
      <c r="S41" s="3220"/>
      <c r="T41" s="3220">
        <f>G41</f>
        <v>0</v>
      </c>
      <c r="U41" s="3220"/>
      <c r="V41" s="3220">
        <f>I41</f>
        <v>0</v>
      </c>
      <c r="W41" s="3220"/>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6" t="str">
        <f>A43</f>
        <v>估价对象XX用房的比较价值（楼面单价，元/平方米）</v>
      </c>
      <c r="Q43" s="3217"/>
      <c r="R43" s="3218" t="e">
        <f>IF(F1="售价",ROUND(AVERAGE(R42:V42),0),ROUND(AVERAGE(R42:V42),1))</f>
        <v>#DIV/0!</v>
      </c>
      <c r="S43" s="3218"/>
      <c r="T43" s="3218"/>
      <c r="U43" s="3218"/>
      <c r="V43" s="3218"/>
      <c r="W43" s="321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5" t="s">
        <v>2539</v>
      </c>
      <c r="Q7" s="3257"/>
      <c r="R7" s="770" t="s">
        <v>17</v>
      </c>
      <c r="S7" s="771">
        <f t="shared" ref="S7:S14" si="0">F7</f>
        <v>0</v>
      </c>
      <c r="T7" s="770" t="s">
        <v>17</v>
      </c>
      <c r="U7" s="771">
        <f t="shared" ref="U7:U14" si="1">H7</f>
        <v>0</v>
      </c>
      <c r="V7" s="770" t="s">
        <v>17</v>
      </c>
      <c r="W7" s="771">
        <f t="shared" ref="W7:W14"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2545</v>
      </c>
      <c r="Q9" s="1798" t="str">
        <f t="shared" ref="Q9:Q14" si="6">B9</f>
        <v>用途</v>
      </c>
      <c r="R9" s="770" t="s">
        <v>17</v>
      </c>
      <c r="S9" s="771">
        <f t="shared" si="0"/>
        <v>100</v>
      </c>
      <c r="T9" s="770" t="s">
        <v>17</v>
      </c>
      <c r="U9" s="771">
        <f t="shared" si="1"/>
        <v>100</v>
      </c>
      <c r="V9" s="770" t="s">
        <v>17</v>
      </c>
      <c r="W9" s="771">
        <f t="shared" si="2"/>
        <v>100</v>
      </c>
      <c r="X9" s="772"/>
      <c r="Y9" s="302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2550</v>
      </c>
      <c r="Q14" s="1813" t="str">
        <f t="shared" si="6"/>
        <v>交通便捷度</v>
      </c>
      <c r="R14" s="774" t="s">
        <v>17</v>
      </c>
      <c r="S14" s="775">
        <f t="shared" si="0"/>
        <v>100</v>
      </c>
      <c r="T14" s="774" t="s">
        <v>17</v>
      </c>
      <c r="U14" s="775">
        <f t="shared" si="1"/>
        <v>100</v>
      </c>
      <c r="V14" s="774" t="s">
        <v>17</v>
      </c>
      <c r="W14" s="775">
        <f t="shared" si="2"/>
        <v>100</v>
      </c>
      <c r="X14" s="1816"/>
      <c r="Y14" s="3221"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2"/>
      <c r="Q15" s="1813"/>
      <c r="R15" s="774"/>
      <c r="S15" s="775"/>
      <c r="T15" s="774"/>
      <c r="U15" s="775"/>
      <c r="V15" s="774"/>
      <c r="W15" s="775"/>
      <c r="X15" s="1816"/>
      <c r="Y15" s="3222"/>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22"/>
      <c r="Q17" s="1813"/>
      <c r="R17" s="774"/>
      <c r="S17" s="775"/>
      <c r="T17" s="774"/>
      <c r="U17" s="775"/>
      <c r="V17" s="774"/>
      <c r="W17" s="775"/>
      <c r="X17" s="1816"/>
      <c r="Y17" s="3222"/>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22"/>
      <c r="Q19" s="1813"/>
      <c r="R19" s="774"/>
      <c r="S19" s="775"/>
      <c r="T19" s="774"/>
      <c r="U19" s="775"/>
      <c r="V19" s="774"/>
      <c r="W19" s="775"/>
      <c r="X19" s="1816"/>
      <c r="Y19" s="3222"/>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2"/>
      <c r="Q21" s="1813"/>
      <c r="R21" s="774"/>
      <c r="S21" s="775"/>
      <c r="T21" s="774"/>
      <c r="U21" s="775"/>
      <c r="V21" s="774"/>
      <c r="W21" s="775"/>
      <c r="X21" s="1816"/>
      <c r="Y21" s="3222"/>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3">
        <f t="shared" ref="Q24:Q36"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6"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6"/>
      <c r="Q27" s="776" t="str">
        <f t="shared" si="11"/>
        <v>项目停车位配比</v>
      </c>
      <c r="R27" s="777" t="s">
        <v>17</v>
      </c>
      <c r="S27" s="778">
        <f t="shared" si="12"/>
        <v>100</v>
      </c>
      <c r="T27" s="777" t="s">
        <v>17</v>
      </c>
      <c r="U27" s="778">
        <f t="shared" si="13"/>
        <v>100</v>
      </c>
      <c r="V27" s="777" t="s">
        <v>17</v>
      </c>
      <c r="W27" s="778">
        <f t="shared" si="14"/>
        <v>100</v>
      </c>
      <c r="X27" s="779"/>
      <c r="Y27" s="3226"/>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6"/>
      <c r="Q28" s="1813" t="str">
        <f t="shared" si="11"/>
        <v>公共部分装修</v>
      </c>
      <c r="R28" s="774" t="s">
        <v>17</v>
      </c>
      <c r="S28" s="775">
        <f t="shared" si="12"/>
        <v>100</v>
      </c>
      <c r="T28" s="774" t="s">
        <v>17</v>
      </c>
      <c r="U28" s="775">
        <f t="shared" si="13"/>
        <v>100</v>
      </c>
      <c r="V28" s="774" t="s">
        <v>17</v>
      </c>
      <c r="W28" s="775">
        <f t="shared" si="14"/>
        <v>100</v>
      </c>
      <c r="X28" s="1816"/>
      <c r="Y28" s="3226"/>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6"/>
      <c r="Q29" s="1813" t="str">
        <f t="shared" si="11"/>
        <v>成新率</v>
      </c>
      <c r="R29" s="774" t="s">
        <v>17</v>
      </c>
      <c r="S29" s="775" t="e">
        <f t="shared" si="12"/>
        <v>#N/A</v>
      </c>
      <c r="T29" s="774" t="s">
        <v>17</v>
      </c>
      <c r="U29" s="775" t="e">
        <f t="shared" si="13"/>
        <v>#N/A</v>
      </c>
      <c r="V29" s="774" t="s">
        <v>17</v>
      </c>
      <c r="W29" s="775" t="e">
        <f t="shared" si="14"/>
        <v>#N/A</v>
      </c>
      <c r="X29" s="1816"/>
      <c r="Y29" s="3226"/>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6"/>
      <c r="Q30" s="1813" t="str">
        <f t="shared" si="11"/>
        <v>物业等级</v>
      </c>
      <c r="R30" s="774" t="s">
        <v>17</v>
      </c>
      <c r="S30" s="775">
        <f t="shared" si="12"/>
        <v>100</v>
      </c>
      <c r="T30" s="774" t="s">
        <v>17</v>
      </c>
      <c r="U30" s="775">
        <f t="shared" si="13"/>
        <v>100</v>
      </c>
      <c r="V30" s="774" t="s">
        <v>17</v>
      </c>
      <c r="W30" s="775">
        <f t="shared" si="14"/>
        <v>100</v>
      </c>
      <c r="X30" s="1816"/>
      <c r="Y30" s="3226"/>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6"/>
      <c r="Q31" s="1798" t="str">
        <f t="shared" si="11"/>
        <v>停车位面积</v>
      </c>
      <c r="R31" s="770" t="s">
        <v>17</v>
      </c>
      <c r="S31" s="771" t="e">
        <f t="shared" si="12"/>
        <v>#N/A</v>
      </c>
      <c r="T31" s="770" t="s">
        <v>17</v>
      </c>
      <c r="U31" s="771" t="e">
        <f t="shared" si="13"/>
        <v>#N/A</v>
      </c>
      <c r="V31" s="770" t="s">
        <v>17</v>
      </c>
      <c r="W31" s="771" t="e">
        <f t="shared" si="14"/>
        <v>#N/A</v>
      </c>
      <c r="X31" s="772"/>
      <c r="Y31" s="3226"/>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6" t="s">
        <v>2555</v>
      </c>
      <c r="Q32" s="1813" t="str">
        <f t="shared" si="11"/>
        <v>车位类型</v>
      </c>
      <c r="R32" s="774" t="s">
        <v>17</v>
      </c>
      <c r="S32" s="775">
        <f t="shared" si="12"/>
        <v>100</v>
      </c>
      <c r="T32" s="774" t="s">
        <v>17</v>
      </c>
      <c r="U32" s="775">
        <f t="shared" si="13"/>
        <v>100</v>
      </c>
      <c r="V32" s="774" t="s">
        <v>17</v>
      </c>
      <c r="W32" s="775">
        <f t="shared" si="14"/>
        <v>100</v>
      </c>
      <c r="X32" s="1816"/>
      <c r="Y32" s="3226"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6"/>
      <c r="Q33" s="1813" t="str">
        <f t="shared" si="11"/>
        <v>是否直接入户</v>
      </c>
      <c r="R33" s="774" t="s">
        <v>17</v>
      </c>
      <c r="S33" s="775">
        <f t="shared" si="12"/>
        <v>100</v>
      </c>
      <c r="T33" s="774" t="s">
        <v>17</v>
      </c>
      <c r="U33" s="775">
        <f t="shared" si="13"/>
        <v>100</v>
      </c>
      <c r="V33" s="774" t="s">
        <v>17</v>
      </c>
      <c r="W33" s="775">
        <f t="shared" si="14"/>
        <v>100</v>
      </c>
      <c r="X33" s="1816"/>
      <c r="Y33" s="322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6"/>
      <c r="Q34" s="1813">
        <f t="shared" si="11"/>
        <v>111</v>
      </c>
      <c r="R34" s="774" t="s">
        <v>17</v>
      </c>
      <c r="S34" s="775">
        <f t="shared" si="12"/>
        <v>100</v>
      </c>
      <c r="T34" s="774" t="s">
        <v>17</v>
      </c>
      <c r="U34" s="775">
        <f t="shared" si="13"/>
        <v>100</v>
      </c>
      <c r="V34" s="774" t="s">
        <v>17</v>
      </c>
      <c r="W34" s="775">
        <f t="shared" si="14"/>
        <v>100</v>
      </c>
      <c r="X34" s="1816"/>
      <c r="Y34" s="322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6"/>
      <c r="Q35" s="776">
        <f t="shared" si="11"/>
        <v>111</v>
      </c>
      <c r="R35" s="777" t="s">
        <v>17</v>
      </c>
      <c r="S35" s="778">
        <f t="shared" si="12"/>
        <v>100</v>
      </c>
      <c r="T35" s="777" t="s">
        <v>17</v>
      </c>
      <c r="U35" s="778">
        <f t="shared" si="13"/>
        <v>100</v>
      </c>
      <c r="V35" s="777" t="s">
        <v>17</v>
      </c>
      <c r="W35" s="778">
        <f t="shared" si="14"/>
        <v>100</v>
      </c>
      <c r="X35" s="779"/>
      <c r="Y35" s="322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6"/>
      <c r="Q36" s="1813">
        <f t="shared" si="11"/>
        <v>111</v>
      </c>
      <c r="R36" s="774" t="s">
        <v>17</v>
      </c>
      <c r="S36" s="775">
        <f t="shared" si="12"/>
        <v>100</v>
      </c>
      <c r="T36" s="774" t="s">
        <v>17</v>
      </c>
      <c r="U36" s="775">
        <f t="shared" si="13"/>
        <v>100</v>
      </c>
      <c r="V36" s="774" t="s">
        <v>17</v>
      </c>
      <c r="W36" s="775">
        <f t="shared" si="14"/>
        <v>100</v>
      </c>
      <c r="X36" s="1816"/>
      <c r="Y36" s="3226"/>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19" t="str">
        <f>A37</f>
        <v>成交单价</v>
      </c>
      <c r="Q37" s="3219"/>
      <c r="R37" s="3220">
        <f>E37</f>
        <v>0</v>
      </c>
      <c r="S37" s="3220"/>
      <c r="T37" s="3220">
        <f>G37</f>
        <v>0</v>
      </c>
      <c r="U37" s="3220"/>
      <c r="V37" s="3220">
        <f>I37</f>
        <v>0</v>
      </c>
      <c r="W37" s="3220"/>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6" t="str">
        <f>A39</f>
        <v>估价对象XX用房的比较价值（楼面单价，元/平方米）</v>
      </c>
      <c r="Q39" s="3217"/>
      <c r="R39" s="3218" t="e">
        <f>IF(F1="售价",ROUND(AVERAGE(R38:V38),0),ROUND(AVERAGE(R38:V38),1))</f>
        <v>#DIV/0!</v>
      </c>
      <c r="S39" s="3218"/>
      <c r="T39" s="3218"/>
      <c r="U39" s="3218"/>
      <c r="V39" s="3218"/>
      <c r="W39" s="321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55" t="s">
        <v>2539</v>
      </c>
      <c r="Q7" s="3257"/>
      <c r="R7" s="770" t="s">
        <v>17</v>
      </c>
      <c r="S7" s="771">
        <f t="shared" ref="S7:S14" si="0">F7</f>
        <v>0</v>
      </c>
      <c r="T7" s="770" t="s">
        <v>17</v>
      </c>
      <c r="U7" s="771">
        <f t="shared" ref="U7:U14" si="1">H7</f>
        <v>0</v>
      </c>
      <c r="V7" s="770" t="s">
        <v>17</v>
      </c>
      <c r="W7" s="771">
        <f t="shared" ref="W7:W14" si="2">J7</f>
        <v>0</v>
      </c>
      <c r="X7" s="772"/>
      <c r="Y7" s="3255" t="s">
        <v>2539</v>
      </c>
      <c r="Z7" s="3256"/>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2545</v>
      </c>
      <c r="Q9" s="1798" t="str">
        <f t="shared" ref="Q9:Q14" si="6">B9</f>
        <v>用途</v>
      </c>
      <c r="R9" s="770" t="s">
        <v>17</v>
      </c>
      <c r="S9" s="771">
        <f t="shared" si="0"/>
        <v>100</v>
      </c>
      <c r="T9" s="770" t="s">
        <v>17</v>
      </c>
      <c r="U9" s="771">
        <f t="shared" si="1"/>
        <v>100</v>
      </c>
      <c r="V9" s="770" t="s">
        <v>17</v>
      </c>
      <c r="W9" s="771">
        <f t="shared" si="2"/>
        <v>100</v>
      </c>
      <c r="X9" s="772"/>
      <c r="Y9" s="302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2550</v>
      </c>
      <c r="Q14" s="1813" t="str">
        <f t="shared" si="6"/>
        <v>交通便捷度</v>
      </c>
      <c r="R14" s="774" t="s">
        <v>17</v>
      </c>
      <c r="S14" s="775">
        <f t="shared" si="0"/>
        <v>100</v>
      </c>
      <c r="T14" s="774" t="s">
        <v>17</v>
      </c>
      <c r="U14" s="775">
        <f t="shared" si="1"/>
        <v>100</v>
      </c>
      <c r="V14" s="774" t="s">
        <v>17</v>
      </c>
      <c r="W14" s="775">
        <f t="shared" si="2"/>
        <v>100</v>
      </c>
      <c r="X14" s="1816"/>
      <c r="Y14" s="3221"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2"/>
      <c r="Q15" s="1813"/>
      <c r="R15" s="774"/>
      <c r="S15" s="775"/>
      <c r="T15" s="774"/>
      <c r="U15" s="775"/>
      <c r="V15" s="774"/>
      <c r="W15" s="775"/>
      <c r="X15" s="1816"/>
      <c r="Y15" s="3222"/>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22"/>
      <c r="Q17" s="1813"/>
      <c r="R17" s="774"/>
      <c r="S17" s="775"/>
      <c r="T17" s="774"/>
      <c r="U17" s="775"/>
      <c r="V17" s="774"/>
      <c r="W17" s="775"/>
      <c r="X17" s="1816"/>
      <c r="Y17" s="3222"/>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22"/>
      <c r="Q19" s="1813"/>
      <c r="R19" s="774"/>
      <c r="S19" s="775"/>
      <c r="T19" s="774"/>
      <c r="U19" s="775"/>
      <c r="V19" s="774"/>
      <c r="W19" s="775"/>
      <c r="X19" s="1816"/>
      <c r="Y19" s="3222"/>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2"/>
      <c r="Q21" s="1813"/>
      <c r="R21" s="774"/>
      <c r="S21" s="775"/>
      <c r="T21" s="774"/>
      <c r="U21" s="775"/>
      <c r="V21" s="774"/>
      <c r="W21" s="775"/>
      <c r="X21" s="1816"/>
      <c r="Y21" s="3222"/>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3">
        <f t="shared" ref="Q24:Q34"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8"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6"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6"/>
      <c r="Q27" s="776" t="str">
        <f t="shared" si="11"/>
        <v>成新率</v>
      </c>
      <c r="R27" s="777" t="s">
        <v>17</v>
      </c>
      <c r="S27" s="778" t="e">
        <f t="shared" si="12"/>
        <v>#N/A</v>
      </c>
      <c r="T27" s="777" t="s">
        <v>17</v>
      </c>
      <c r="U27" s="778" t="e">
        <f t="shared" si="13"/>
        <v>#N/A</v>
      </c>
      <c r="V27" s="777" t="s">
        <v>17</v>
      </c>
      <c r="W27" s="778" t="e">
        <f t="shared" si="14"/>
        <v>#N/A</v>
      </c>
      <c r="X27" s="779"/>
      <c r="Y27" s="3226"/>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6"/>
      <c r="Q28" s="1813" t="str">
        <f t="shared" si="11"/>
        <v>物业等级</v>
      </c>
      <c r="R28" s="774" t="s">
        <v>17</v>
      </c>
      <c r="S28" s="775">
        <f t="shared" si="12"/>
        <v>100</v>
      </c>
      <c r="T28" s="774" t="s">
        <v>17</v>
      </c>
      <c r="U28" s="775">
        <f t="shared" si="13"/>
        <v>100</v>
      </c>
      <c r="V28" s="774" t="s">
        <v>17</v>
      </c>
      <c r="W28" s="775">
        <f t="shared" si="14"/>
        <v>100</v>
      </c>
      <c r="X28" s="1816"/>
      <c r="Y28" s="3226"/>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6"/>
      <c r="Q29" s="1813" t="str">
        <f t="shared" si="11"/>
        <v>有无电梯</v>
      </c>
      <c r="R29" s="774" t="s">
        <v>17</v>
      </c>
      <c r="S29" s="775">
        <f t="shared" si="12"/>
        <v>100</v>
      </c>
      <c r="T29" s="774" t="s">
        <v>17</v>
      </c>
      <c r="U29" s="775">
        <f t="shared" si="13"/>
        <v>100</v>
      </c>
      <c r="V29" s="774" t="s">
        <v>17</v>
      </c>
      <c r="W29" s="775">
        <f t="shared" si="14"/>
        <v>100</v>
      </c>
      <c r="X29" s="1816"/>
      <c r="Y29" s="3226"/>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6"/>
      <c r="Q30" s="1813" t="str">
        <f t="shared" si="11"/>
        <v>建筑面积</v>
      </c>
      <c r="R30" s="774" t="s">
        <v>17</v>
      </c>
      <c r="S30" s="775" t="e">
        <f t="shared" si="12"/>
        <v>#N/A</v>
      </c>
      <c r="T30" s="774" t="s">
        <v>17</v>
      </c>
      <c r="U30" s="775" t="e">
        <f t="shared" si="13"/>
        <v>#N/A</v>
      </c>
      <c r="V30" s="774" t="s">
        <v>17</v>
      </c>
      <c r="W30" s="775" t="e">
        <f t="shared" si="14"/>
        <v>#N/A</v>
      </c>
      <c r="X30" s="1816"/>
      <c r="Y30" s="3226"/>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6"/>
      <c r="Q31" s="1798" t="str">
        <f t="shared" si="11"/>
        <v>是否封闭</v>
      </c>
      <c r="R31" s="770" t="s">
        <v>17</v>
      </c>
      <c r="S31" s="771">
        <f t="shared" si="12"/>
        <v>100</v>
      </c>
      <c r="T31" s="770" t="s">
        <v>17</v>
      </c>
      <c r="U31" s="771">
        <f t="shared" si="13"/>
        <v>100</v>
      </c>
      <c r="V31" s="770" t="s">
        <v>17</v>
      </c>
      <c r="W31" s="771">
        <f t="shared" si="14"/>
        <v>100</v>
      </c>
      <c r="X31" s="772"/>
      <c r="Y31" s="322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6" t="s">
        <v>2555</v>
      </c>
      <c r="Q32" s="1813">
        <f t="shared" si="11"/>
        <v>111</v>
      </c>
      <c r="R32" s="774" t="s">
        <v>17</v>
      </c>
      <c r="S32" s="775">
        <f t="shared" si="12"/>
        <v>100</v>
      </c>
      <c r="T32" s="774" t="s">
        <v>17</v>
      </c>
      <c r="U32" s="775">
        <f t="shared" si="13"/>
        <v>100</v>
      </c>
      <c r="V32" s="774" t="s">
        <v>17</v>
      </c>
      <c r="W32" s="775">
        <f t="shared" si="14"/>
        <v>100</v>
      </c>
      <c r="X32" s="1816"/>
      <c r="Y32" s="3226"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6"/>
      <c r="Q33" s="1813">
        <f t="shared" si="11"/>
        <v>111</v>
      </c>
      <c r="R33" s="774" t="s">
        <v>17</v>
      </c>
      <c r="S33" s="775">
        <f t="shared" si="12"/>
        <v>100</v>
      </c>
      <c r="T33" s="774" t="s">
        <v>17</v>
      </c>
      <c r="U33" s="775">
        <f t="shared" si="13"/>
        <v>100</v>
      </c>
      <c r="V33" s="774" t="s">
        <v>17</v>
      </c>
      <c r="W33" s="775">
        <f t="shared" si="14"/>
        <v>100</v>
      </c>
      <c r="X33" s="1816"/>
      <c r="Y33" s="3226"/>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26"/>
      <c r="Q34" s="1813">
        <f t="shared" si="11"/>
        <v>111</v>
      </c>
      <c r="R34" s="774" t="s">
        <v>17</v>
      </c>
      <c r="S34" s="775">
        <f t="shared" si="12"/>
        <v>100</v>
      </c>
      <c r="T34" s="774" t="s">
        <v>17</v>
      </c>
      <c r="U34" s="775">
        <f t="shared" si="13"/>
        <v>100</v>
      </c>
      <c r="V34" s="774" t="s">
        <v>17</v>
      </c>
      <c r="W34" s="775">
        <f t="shared" si="14"/>
        <v>100</v>
      </c>
      <c r="X34" s="1816"/>
      <c r="Y34" s="3226"/>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9" t="str">
        <f>A35</f>
        <v>成交单价（元/平方米）</v>
      </c>
      <c r="Q35" s="3219"/>
      <c r="R35" s="3220">
        <f>E35</f>
        <v>0</v>
      </c>
      <c r="S35" s="3220"/>
      <c r="T35" s="3220">
        <f>G35</f>
        <v>0</v>
      </c>
      <c r="U35" s="3220"/>
      <c r="V35" s="3220">
        <f>I35</f>
        <v>0</v>
      </c>
      <c r="W35" s="3220"/>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6" t="str">
        <f>A37</f>
        <v>估价对象XX用房的比较价值（楼面单价，元/平方米）</v>
      </c>
      <c r="Q37" s="3217"/>
      <c r="R37" s="3218" t="e">
        <f>IF(F1="售价",ROUND(AVERAGE(R36:V36),0),ROUND(AVERAGE(R36:V36),1))</f>
        <v>#DIV/0!</v>
      </c>
      <c r="S37" s="3218"/>
      <c r="T37" s="3218"/>
      <c r="U37" s="3218"/>
      <c r="V37" s="3218"/>
      <c r="W37" s="321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30"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30" ht="15.75" thickBot="1">
      <c r="A6" s="406"/>
      <c r="B6" s="407"/>
      <c r="C6" s="3251" t="s">
        <v>2536</v>
      </c>
      <c r="D6" s="3252"/>
      <c r="E6" s="3258" t="s">
        <v>2536</v>
      </c>
      <c r="F6" s="3259"/>
      <c r="G6" s="3251" t="s">
        <v>2536</v>
      </c>
      <c r="H6" s="3252"/>
      <c r="I6" s="3251" t="s">
        <v>2536</v>
      </c>
      <c r="J6" s="3252"/>
      <c r="K6" s="610" t="s">
        <v>2537</v>
      </c>
      <c r="L6" s="1133"/>
      <c r="M6" s="1134"/>
      <c r="N6" s="1134"/>
      <c r="O6" s="1134"/>
      <c r="P6" s="3242"/>
      <c r="Q6" s="3243"/>
      <c r="R6" s="3246"/>
      <c r="S6" s="3247"/>
      <c r="T6" s="3248"/>
      <c r="U6" s="3249"/>
      <c r="V6" s="3250"/>
      <c r="W6" s="3250"/>
      <c r="X6" s="1816"/>
      <c r="Y6" s="3248"/>
      <c r="Z6" s="3249"/>
      <c r="AA6" s="3233"/>
      <c r="AB6" s="3233"/>
      <c r="AC6" s="3233"/>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19"/>
      <c r="Q10" s="1798" t="str">
        <f t="shared" si="6"/>
        <v>土地使用年限（年）</v>
      </c>
      <c r="R10" s="770" t="s">
        <v>17</v>
      </c>
      <c r="S10" s="771">
        <f t="shared" si="0"/>
        <v>111</v>
      </c>
      <c r="T10" s="770" t="s">
        <v>17</v>
      </c>
      <c r="U10" s="771">
        <f t="shared" si="1"/>
        <v>111</v>
      </c>
      <c r="V10" s="770" t="s">
        <v>17</v>
      </c>
      <c r="W10" s="771">
        <f t="shared" si="2"/>
        <v>111</v>
      </c>
      <c r="X10" s="772"/>
      <c r="Y10" s="3024"/>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2550</v>
      </c>
      <c r="Q15" s="1813" t="str">
        <f t="shared" si="6"/>
        <v>居住社区成熟度</v>
      </c>
      <c r="R15" s="774" t="s">
        <v>17</v>
      </c>
      <c r="S15" s="775">
        <f t="shared" si="0"/>
        <v>100</v>
      </c>
      <c r="T15" s="774" t="s">
        <v>17</v>
      </c>
      <c r="U15" s="775">
        <f t="shared" si="1"/>
        <v>100</v>
      </c>
      <c r="V15" s="774" t="s">
        <v>17</v>
      </c>
      <c r="W15" s="775">
        <f t="shared" si="2"/>
        <v>100</v>
      </c>
      <c r="X15" s="1816"/>
      <c r="Y15" s="3221"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2"/>
      <c r="Q17" s="1813" t="str">
        <f>B17</f>
        <v>商业繁华度</v>
      </c>
      <c r="R17" s="774" t="s">
        <v>17</v>
      </c>
      <c r="S17" s="775">
        <f>F17</f>
        <v>100</v>
      </c>
      <c r="T17" s="774" t="s">
        <v>17</v>
      </c>
      <c r="U17" s="775">
        <f>H17</f>
        <v>100</v>
      </c>
      <c r="V17" s="774" t="s">
        <v>17</v>
      </c>
      <c r="W17" s="775">
        <f>J17</f>
        <v>100</v>
      </c>
      <c r="X17" s="1816"/>
      <c r="Y17" s="3222"/>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2"/>
      <c r="Q19" s="1813" t="str">
        <f>B19</f>
        <v>办公集聚程度</v>
      </c>
      <c r="R19" s="774" t="s">
        <v>17</v>
      </c>
      <c r="S19" s="775">
        <f>F19</f>
        <v>100</v>
      </c>
      <c r="T19" s="774" t="s">
        <v>17</v>
      </c>
      <c r="U19" s="775">
        <f>H19</f>
        <v>100</v>
      </c>
      <c r="V19" s="774" t="s">
        <v>17</v>
      </c>
      <c r="W19" s="775">
        <f>J19</f>
        <v>100</v>
      </c>
      <c r="X19" s="1816"/>
      <c r="Y19" s="3222"/>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22"/>
      <c r="Q20" s="1813"/>
      <c r="R20" s="774"/>
      <c r="S20" s="775"/>
      <c r="T20" s="774"/>
      <c r="U20" s="775"/>
      <c r="V20" s="774"/>
      <c r="W20" s="775"/>
      <c r="X20" s="1816"/>
      <c r="Y20" s="3222"/>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2"/>
      <c r="Q21" s="1813" t="str">
        <f>B21</f>
        <v>交通便捷度</v>
      </c>
      <c r="R21" s="774" t="s">
        <v>17</v>
      </c>
      <c r="S21" s="775">
        <f>F21</f>
        <v>100</v>
      </c>
      <c r="T21" s="774" t="s">
        <v>17</v>
      </c>
      <c r="U21" s="775">
        <f>H21</f>
        <v>100</v>
      </c>
      <c r="V21" s="774" t="s">
        <v>17</v>
      </c>
      <c r="W21" s="775">
        <f>J21</f>
        <v>100</v>
      </c>
      <c r="X21" s="1816"/>
      <c r="Y21" s="3222"/>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2"/>
      <c r="Q23" s="1813" t="str">
        <f t="shared" ref="Q23:Q37" si="8">B23</f>
        <v>区域土地利用方向</v>
      </c>
      <c r="R23" s="774" t="s">
        <v>17</v>
      </c>
      <c r="S23" s="775">
        <f>F23</f>
        <v>100</v>
      </c>
      <c r="T23" s="774" t="s">
        <v>17</v>
      </c>
      <c r="U23" s="775">
        <f>H23</f>
        <v>100</v>
      </c>
      <c r="V23" s="774" t="s">
        <v>17</v>
      </c>
      <c r="W23" s="775">
        <f>J23</f>
        <v>100</v>
      </c>
      <c r="X23" s="1816"/>
      <c r="Y23" s="3222"/>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22"/>
      <c r="Q24" s="1813"/>
      <c r="R24" s="774"/>
      <c r="S24" s="775"/>
      <c r="T24" s="774"/>
      <c r="U24" s="775"/>
      <c r="V24" s="774"/>
      <c r="W24" s="775"/>
      <c r="X24" s="1816"/>
      <c r="Y24" s="3222"/>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2"/>
      <c r="Q25" s="1813" t="str">
        <f t="shared" si="8"/>
        <v>自然及人文环境状况</v>
      </c>
      <c r="R25" s="774" t="s">
        <v>17</v>
      </c>
      <c r="S25" s="775">
        <f>F25</f>
        <v>100</v>
      </c>
      <c r="T25" s="774" t="s">
        <v>17</v>
      </c>
      <c r="U25" s="775">
        <f>H25</f>
        <v>100</v>
      </c>
      <c r="V25" s="774" t="s">
        <v>17</v>
      </c>
      <c r="W25" s="775">
        <f>J25</f>
        <v>100</v>
      </c>
      <c r="X25" s="1816"/>
      <c r="Y25" s="3222"/>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22"/>
      <c r="Q26" s="1813"/>
      <c r="R26" s="774"/>
      <c r="S26" s="775"/>
      <c r="T26" s="774"/>
      <c r="U26" s="775"/>
      <c r="V26" s="774"/>
      <c r="W26" s="775"/>
      <c r="X26" s="1816"/>
      <c r="Y26" s="3222"/>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2"/>
      <c r="Q27" s="1798" t="str">
        <f t="shared" si="8"/>
        <v>公共配套设施</v>
      </c>
      <c r="R27" s="770" t="s">
        <v>17</v>
      </c>
      <c r="S27" s="771">
        <f>F27</f>
        <v>100</v>
      </c>
      <c r="T27" s="770" t="s">
        <v>17</v>
      </c>
      <c r="U27" s="771">
        <f>H27</f>
        <v>100</v>
      </c>
      <c r="V27" s="770" t="s">
        <v>17</v>
      </c>
      <c r="W27" s="771">
        <f>J27</f>
        <v>100</v>
      </c>
      <c r="X27" s="772"/>
      <c r="Y27" s="3222"/>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22"/>
      <c r="Q28" s="1798"/>
      <c r="R28" s="770"/>
      <c r="S28" s="771"/>
      <c r="T28" s="770"/>
      <c r="U28" s="771"/>
      <c r="V28" s="770"/>
      <c r="W28" s="771"/>
      <c r="X28" s="772"/>
      <c r="Y28" s="3222"/>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8"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22"/>
      <c r="Q30" s="1798"/>
      <c r="R30" s="770"/>
      <c r="S30" s="771"/>
      <c r="T30" s="770"/>
      <c r="U30" s="771"/>
      <c r="V30" s="770"/>
      <c r="W30" s="771"/>
      <c r="X30" s="772"/>
      <c r="Y30" s="3222"/>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2"/>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2"/>
      <c r="Q32" s="1813" t="str">
        <f t="shared" si="8"/>
        <v>毗邻道路的类型与等级</v>
      </c>
      <c r="R32" s="774" t="s">
        <v>17</v>
      </c>
      <c r="S32" s="775">
        <f t="shared" si="10"/>
        <v>100</v>
      </c>
      <c r="T32" s="774" t="s">
        <v>17</v>
      </c>
      <c r="U32" s="775">
        <f t="shared" si="11"/>
        <v>100</v>
      </c>
      <c r="V32" s="774" t="s">
        <v>17</v>
      </c>
      <c r="W32" s="775">
        <f t="shared" si="12"/>
        <v>100</v>
      </c>
      <c r="X32" s="1816"/>
      <c r="Y32" s="3222"/>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22"/>
      <c r="Q33" s="1813"/>
      <c r="R33" s="774"/>
      <c r="S33" s="775"/>
      <c r="T33" s="774"/>
      <c r="U33" s="775"/>
      <c r="V33" s="774"/>
      <c r="W33" s="775"/>
      <c r="X33" s="1816"/>
      <c r="Y33" s="3222"/>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2"/>
      <c r="Q34" s="1813" t="str">
        <f t="shared" si="8"/>
        <v>土地级别</v>
      </c>
      <c r="R34" s="774" t="s">
        <v>17</v>
      </c>
      <c r="S34" s="775">
        <f t="shared" si="10"/>
        <v>100</v>
      </c>
      <c r="T34" s="774" t="s">
        <v>17</v>
      </c>
      <c r="U34" s="775">
        <f t="shared" si="11"/>
        <v>100</v>
      </c>
      <c r="V34" s="774" t="s">
        <v>17</v>
      </c>
      <c r="W34" s="775">
        <f t="shared" si="12"/>
        <v>100</v>
      </c>
      <c r="X34" s="1816"/>
      <c r="Y34" s="322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3">
        <f t="shared" si="8"/>
        <v>111</v>
      </c>
      <c r="R35" s="774" t="s">
        <v>17</v>
      </c>
      <c r="S35" s="775">
        <f t="shared" si="10"/>
        <v>100</v>
      </c>
      <c r="T35" s="774" t="s">
        <v>17</v>
      </c>
      <c r="U35" s="775">
        <f t="shared" si="11"/>
        <v>100</v>
      </c>
      <c r="V35" s="774" t="s">
        <v>17</v>
      </c>
      <c r="W35" s="775">
        <f t="shared" si="12"/>
        <v>100</v>
      </c>
      <c r="X35" s="1816"/>
      <c r="Y35" s="322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2555</v>
      </c>
      <c r="Q36" s="1813">
        <f t="shared" si="8"/>
        <v>111</v>
      </c>
      <c r="R36" s="774" t="s">
        <v>17</v>
      </c>
      <c r="S36" s="775">
        <f t="shared" si="10"/>
        <v>100</v>
      </c>
      <c r="T36" s="774" t="s">
        <v>17</v>
      </c>
      <c r="U36" s="775">
        <f t="shared" si="11"/>
        <v>100</v>
      </c>
      <c r="V36" s="774" t="s">
        <v>17</v>
      </c>
      <c r="W36" s="775">
        <f t="shared" si="12"/>
        <v>100</v>
      </c>
      <c r="X36" s="1816"/>
      <c r="Y36" s="3226"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6"/>
      <c r="Q37" s="1813">
        <f t="shared" si="8"/>
        <v>111</v>
      </c>
      <c r="R37" s="777" t="s">
        <v>17</v>
      </c>
      <c r="S37" s="778">
        <f t="shared" si="10"/>
        <v>100</v>
      </c>
      <c r="T37" s="777" t="s">
        <v>17</v>
      </c>
      <c r="U37" s="778">
        <f t="shared" si="11"/>
        <v>100</v>
      </c>
      <c r="V37" s="777" t="s">
        <v>17</v>
      </c>
      <c r="W37" s="778">
        <f t="shared" si="12"/>
        <v>100</v>
      </c>
      <c r="X37" s="779"/>
      <c r="Y37" s="3226"/>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6"/>
      <c r="Q38" s="1813" t="str">
        <f>B38</f>
        <v>宗地面积</v>
      </c>
      <c r="R38" s="774" t="s">
        <v>17</v>
      </c>
      <c r="S38" s="775" t="e">
        <f t="shared" si="10"/>
        <v>#N/A</v>
      </c>
      <c r="T38" s="774" t="s">
        <v>17</v>
      </c>
      <c r="U38" s="775" t="e">
        <f t="shared" si="11"/>
        <v>#N/A</v>
      </c>
      <c r="V38" s="774" t="s">
        <v>17</v>
      </c>
      <c r="W38" s="775" t="e">
        <f t="shared" si="12"/>
        <v>#N/A</v>
      </c>
      <c r="X38" s="1816"/>
      <c r="Y38" s="3226"/>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26"/>
      <c r="Q39" s="1813" t="str">
        <f t="shared" ref="Q39:Q45" si="14">B39</f>
        <v>宗地形状</v>
      </c>
      <c r="R39" s="774" t="s">
        <v>17</v>
      </c>
      <c r="S39" s="775">
        <f t="shared" si="10"/>
        <v>100</v>
      </c>
      <c r="T39" s="774" t="s">
        <v>17</v>
      </c>
      <c r="U39" s="775">
        <f t="shared" si="11"/>
        <v>100</v>
      </c>
      <c r="V39" s="774" t="s">
        <v>17</v>
      </c>
      <c r="W39" s="775">
        <f t="shared" si="12"/>
        <v>100</v>
      </c>
      <c r="X39" s="1816"/>
      <c r="Y39" s="3226"/>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26"/>
      <c r="Q40" s="1813" t="str">
        <f t="shared" si="14"/>
        <v>临街宽度及深度</v>
      </c>
      <c r="R40" s="774" t="s">
        <v>17</v>
      </c>
      <c r="S40" s="775">
        <f t="shared" si="10"/>
        <v>100</v>
      </c>
      <c r="T40" s="774" t="s">
        <v>17</v>
      </c>
      <c r="U40" s="775">
        <f t="shared" si="11"/>
        <v>100</v>
      </c>
      <c r="V40" s="774" t="s">
        <v>17</v>
      </c>
      <c r="W40" s="775">
        <f t="shared" si="12"/>
        <v>100</v>
      </c>
      <c r="X40" s="1816"/>
      <c r="Y40" s="3226"/>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26"/>
      <c r="Q41" s="1813" t="str">
        <f t="shared" si="14"/>
        <v>宗地开发程度</v>
      </c>
      <c r="R41" s="770" t="s">
        <v>17</v>
      </c>
      <c r="S41" s="771">
        <f t="shared" si="10"/>
        <v>100</v>
      </c>
      <c r="T41" s="770" t="s">
        <v>17</v>
      </c>
      <c r="U41" s="771">
        <f t="shared" si="11"/>
        <v>100</v>
      </c>
      <c r="V41" s="770" t="s">
        <v>17</v>
      </c>
      <c r="W41" s="771">
        <f t="shared" si="12"/>
        <v>100</v>
      </c>
      <c r="X41" s="772"/>
      <c r="Y41" s="3226"/>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26" t="s">
        <v>2555</v>
      </c>
      <c r="Q42" s="1813" t="str">
        <f t="shared" si="14"/>
        <v>工程地质条件</v>
      </c>
      <c r="R42" s="774" t="s">
        <v>17</v>
      </c>
      <c r="S42" s="775">
        <f t="shared" si="10"/>
        <v>100</v>
      </c>
      <c r="T42" s="774" t="s">
        <v>17</v>
      </c>
      <c r="U42" s="775">
        <f t="shared" si="11"/>
        <v>100</v>
      </c>
      <c r="V42" s="774" t="s">
        <v>17</v>
      </c>
      <c r="W42" s="775">
        <f t="shared" si="12"/>
        <v>100</v>
      </c>
      <c r="X42" s="1816"/>
      <c r="Y42" s="3226"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6"/>
      <c r="Q43" s="1813">
        <f t="shared" si="14"/>
        <v>111</v>
      </c>
      <c r="R43" s="774" t="s">
        <v>17</v>
      </c>
      <c r="S43" s="775">
        <f t="shared" si="10"/>
        <v>100</v>
      </c>
      <c r="T43" s="774" t="s">
        <v>17</v>
      </c>
      <c r="U43" s="775">
        <f t="shared" si="11"/>
        <v>100</v>
      </c>
      <c r="V43" s="774" t="s">
        <v>17</v>
      </c>
      <c r="W43" s="775">
        <f t="shared" si="12"/>
        <v>100</v>
      </c>
      <c r="X43" s="1816"/>
      <c r="Y43" s="322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6"/>
      <c r="Q44" s="1813">
        <f t="shared" si="14"/>
        <v>111</v>
      </c>
      <c r="R44" s="774" t="s">
        <v>17</v>
      </c>
      <c r="S44" s="775">
        <f t="shared" si="10"/>
        <v>100</v>
      </c>
      <c r="T44" s="774" t="s">
        <v>17</v>
      </c>
      <c r="U44" s="775">
        <f t="shared" si="11"/>
        <v>100</v>
      </c>
      <c r="V44" s="774" t="s">
        <v>17</v>
      </c>
      <c r="W44" s="775">
        <f t="shared" si="12"/>
        <v>100</v>
      </c>
      <c r="X44" s="1816"/>
      <c r="Y44" s="3226"/>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6"/>
      <c r="Q45" s="1813">
        <f t="shared" si="14"/>
        <v>111</v>
      </c>
      <c r="R45" s="777" t="s">
        <v>17</v>
      </c>
      <c r="S45" s="778">
        <f t="shared" si="10"/>
        <v>100</v>
      </c>
      <c r="T45" s="777" t="s">
        <v>17</v>
      </c>
      <c r="U45" s="778">
        <f t="shared" si="11"/>
        <v>100</v>
      </c>
      <c r="V45" s="777" t="s">
        <v>17</v>
      </c>
      <c r="W45" s="778">
        <f t="shared" si="12"/>
        <v>100</v>
      </c>
      <c r="X45" s="779"/>
      <c r="Y45" s="3226"/>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19" t="str">
        <f>A46</f>
        <v>成交单价</v>
      </c>
      <c r="Q46" s="3219"/>
      <c r="R46" s="3250">
        <f>E46</f>
        <v>0</v>
      </c>
      <c r="S46" s="3250"/>
      <c r="T46" s="3250">
        <f>G46</f>
        <v>0</v>
      </c>
      <c r="U46" s="3250"/>
      <c r="V46" s="3250">
        <f>I46</f>
        <v>0</v>
      </c>
      <c r="W46" s="3250"/>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9" t="str">
        <f>A47</f>
        <v>比较价值（元/平方米）</v>
      </c>
      <c r="Q47" s="3219"/>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6" t="str">
        <f>A48</f>
        <v>估价对象XX用房的比较价值（楼面单价，元/平方米）</v>
      </c>
      <c r="Q48" s="3217"/>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34" t="s">
        <v>2754</v>
      </c>
      <c r="H55" s="3281"/>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5618.3899999999985</v>
      </c>
      <c r="F56" s="1106" t="e">
        <f t="shared" ref="F56:F65" si="15">ROUND(B56*E56/10000,0)</f>
        <v>#DIV/0!</v>
      </c>
      <c r="G56" s="3230"/>
      <c r="H56" s="3219"/>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82"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6813.6499999999987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4" t="s">
        <v>2636</v>
      </c>
      <c r="D4" s="3235"/>
      <c r="E4" s="3236" t="s">
        <v>2637</v>
      </c>
      <c r="F4" s="3237"/>
      <c r="G4" s="3234" t="s">
        <v>2638</v>
      </c>
      <c r="H4" s="3235"/>
      <c r="I4" s="3234" t="s">
        <v>2639</v>
      </c>
      <c r="J4" s="3235"/>
      <c r="K4" s="610" t="s">
        <v>2640</v>
      </c>
      <c r="L4" s="1133"/>
      <c r="M4" s="1134"/>
      <c r="N4" s="1134"/>
      <c r="O4" s="1134"/>
      <c r="P4" s="3238" t="s">
        <v>2641</v>
      </c>
      <c r="Q4" s="3239"/>
      <c r="R4" s="3244" t="s">
        <v>2637</v>
      </c>
      <c r="S4" s="3245"/>
      <c r="T4" s="3244" t="s">
        <v>2638</v>
      </c>
      <c r="U4" s="3245"/>
      <c r="V4" s="3250" t="s">
        <v>2639</v>
      </c>
      <c r="W4" s="3250"/>
      <c r="X4" s="1816"/>
      <c r="Y4" s="3244" t="s">
        <v>2641</v>
      </c>
      <c r="Z4" s="3245"/>
      <c r="AA4" s="3231" t="s">
        <v>2637</v>
      </c>
      <c r="AB4" s="3232" t="s">
        <v>2638</v>
      </c>
      <c r="AC4" s="3231" t="s">
        <v>2639</v>
      </c>
    </row>
    <row r="5" spans="1:29" ht="15">
      <c r="A5" s="404"/>
      <c r="B5" s="405"/>
      <c r="C5" s="3253" t="s">
        <v>2532</v>
      </c>
      <c r="D5" s="3254"/>
      <c r="E5" s="3260" t="s">
        <v>2533</v>
      </c>
      <c r="F5" s="3261"/>
      <c r="G5" s="3253" t="s">
        <v>2534</v>
      </c>
      <c r="H5" s="3254"/>
      <c r="I5" s="3253" t="s">
        <v>2535</v>
      </c>
      <c r="J5" s="3254"/>
      <c r="K5" s="610"/>
      <c r="L5" s="1133"/>
      <c r="M5" s="1134"/>
      <c r="N5" s="1134"/>
      <c r="O5" s="1134"/>
      <c r="P5" s="3240"/>
      <c r="Q5" s="3241"/>
      <c r="R5" s="3246"/>
      <c r="S5" s="3247"/>
      <c r="T5" s="3246"/>
      <c r="U5" s="3247"/>
      <c r="V5" s="3250"/>
      <c r="W5" s="3250"/>
      <c r="X5" s="1816"/>
      <c r="Y5" s="3246"/>
      <c r="Z5" s="3247"/>
      <c r="AA5" s="3232"/>
      <c r="AB5" s="3232"/>
      <c r="AC5" s="3232"/>
    </row>
    <row r="6" spans="1:29" ht="15.75" thickBot="1">
      <c r="A6" s="406"/>
      <c r="B6" s="407"/>
      <c r="C6" s="3283" t="s">
        <v>2787</v>
      </c>
      <c r="D6" s="3284"/>
      <c r="E6" s="3285" t="s">
        <v>2787</v>
      </c>
      <c r="F6" s="3286"/>
      <c r="G6" s="3283" t="s">
        <v>2787</v>
      </c>
      <c r="H6" s="3284"/>
      <c r="I6" s="3283" t="s">
        <v>2787</v>
      </c>
      <c r="J6" s="3284"/>
      <c r="K6" s="610" t="s">
        <v>2537</v>
      </c>
      <c r="L6" s="1133"/>
      <c r="M6" s="1134"/>
      <c r="N6" s="1134"/>
      <c r="O6" s="1134"/>
      <c r="P6" s="3242"/>
      <c r="Q6" s="3243"/>
      <c r="R6" s="3246"/>
      <c r="S6" s="3247"/>
      <c r="T6" s="3248"/>
      <c r="U6" s="3249"/>
      <c r="V6" s="3250"/>
      <c r="W6" s="3250"/>
      <c r="X6" s="1816"/>
      <c r="Y6" s="3248"/>
      <c r="Z6" s="3249"/>
      <c r="AA6" s="3233"/>
      <c r="AB6" s="3233"/>
      <c r="AC6" s="3233"/>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55" t="s">
        <v>2539</v>
      </c>
      <c r="Q7" s="3257"/>
      <c r="R7" s="770" t="s">
        <v>17</v>
      </c>
      <c r="S7" s="771">
        <f t="shared" ref="S7:S15" si="0">F7</f>
        <v>0</v>
      </c>
      <c r="T7" s="770" t="s">
        <v>17</v>
      </c>
      <c r="U7" s="771">
        <f t="shared" ref="U7:U15" si="1">H7</f>
        <v>0</v>
      </c>
      <c r="V7" s="770" t="s">
        <v>17</v>
      </c>
      <c r="W7" s="771">
        <f t="shared" ref="W7:W15" si="2">J7</f>
        <v>0</v>
      </c>
      <c r="X7" s="772"/>
      <c r="Y7" s="3255" t="s">
        <v>2539</v>
      </c>
      <c r="Z7" s="3256"/>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5" t="s">
        <v>2542</v>
      </c>
      <c r="Q8" s="3256"/>
      <c r="R8" s="770" t="s">
        <v>17</v>
      </c>
      <c r="S8" s="771">
        <f t="shared" si="0"/>
        <v>0</v>
      </c>
      <c r="T8" s="770" t="s">
        <v>17</v>
      </c>
      <c r="U8" s="771">
        <f t="shared" si="1"/>
        <v>0</v>
      </c>
      <c r="V8" s="770" t="s">
        <v>17</v>
      </c>
      <c r="W8" s="771">
        <f t="shared" si="2"/>
        <v>0</v>
      </c>
      <c r="X8" s="772"/>
      <c r="Y8" s="3255" t="s">
        <v>2542</v>
      </c>
      <c r="Z8" s="3256"/>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19" t="s">
        <v>2545</v>
      </c>
      <c r="Q9" s="1798" t="str">
        <f t="shared" ref="Q9:Q15" si="6">B9</f>
        <v>用途</v>
      </c>
      <c r="R9" s="770" t="s">
        <v>17</v>
      </c>
      <c r="S9" s="771">
        <f t="shared" si="0"/>
        <v>100</v>
      </c>
      <c r="T9" s="770" t="s">
        <v>17</v>
      </c>
      <c r="U9" s="771">
        <f t="shared" si="1"/>
        <v>100</v>
      </c>
      <c r="V9" s="770" t="s">
        <v>17</v>
      </c>
      <c r="W9" s="771">
        <f t="shared" si="2"/>
        <v>100</v>
      </c>
      <c r="X9" s="772"/>
      <c r="Y9" s="302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9"/>
      <c r="Q10" s="1798" t="str">
        <f t="shared" si="6"/>
        <v>土地使用年限（年）</v>
      </c>
      <c r="R10" s="770" t="s">
        <v>17</v>
      </c>
      <c r="S10" s="771">
        <f t="shared" si="0"/>
        <v>111</v>
      </c>
      <c r="T10" s="770" t="s">
        <v>17</v>
      </c>
      <c r="U10" s="771">
        <f t="shared" si="1"/>
        <v>111</v>
      </c>
      <c r="V10" s="770" t="s">
        <v>17</v>
      </c>
      <c r="W10" s="771">
        <f t="shared" si="2"/>
        <v>111</v>
      </c>
      <c r="X10" s="772"/>
      <c r="Y10" s="3024"/>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2550</v>
      </c>
      <c r="Q15" s="1813" t="str">
        <f t="shared" si="6"/>
        <v>产业集聚程度</v>
      </c>
      <c r="R15" s="774" t="s">
        <v>17</v>
      </c>
      <c r="S15" s="775">
        <f t="shared" si="0"/>
        <v>100</v>
      </c>
      <c r="T15" s="774" t="s">
        <v>17</v>
      </c>
      <c r="U15" s="775">
        <f t="shared" si="1"/>
        <v>100</v>
      </c>
      <c r="V15" s="774" t="s">
        <v>17</v>
      </c>
      <c r="W15" s="775">
        <f t="shared" si="2"/>
        <v>100</v>
      </c>
      <c r="X15" s="1816"/>
      <c r="Y15" s="3221"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3" t="str">
        <f t="shared" ref="Q19:Q33" si="8">B19</f>
        <v>区域土地利用方向</v>
      </c>
      <c r="R19" s="774" t="s">
        <v>17</v>
      </c>
      <c r="S19" s="775">
        <f>F19</f>
        <v>100</v>
      </c>
      <c r="T19" s="774" t="s">
        <v>17</v>
      </c>
      <c r="U19" s="775">
        <f>H19</f>
        <v>100</v>
      </c>
      <c r="V19" s="774" t="s">
        <v>17</v>
      </c>
      <c r="W19" s="775">
        <f>J19</f>
        <v>100</v>
      </c>
      <c r="X19" s="1816"/>
      <c r="Y19" s="3222"/>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22"/>
      <c r="Q20" s="1813"/>
      <c r="R20" s="774"/>
      <c r="S20" s="775"/>
      <c r="T20" s="774"/>
      <c r="U20" s="775"/>
      <c r="V20" s="774"/>
      <c r="W20" s="775"/>
      <c r="X20" s="1816"/>
      <c r="Y20" s="3222"/>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3" t="str">
        <f t="shared" si="8"/>
        <v>环境状况</v>
      </c>
      <c r="R21" s="774" t="s">
        <v>17</v>
      </c>
      <c r="S21" s="775">
        <f>F21</f>
        <v>100</v>
      </c>
      <c r="T21" s="774" t="s">
        <v>17</v>
      </c>
      <c r="U21" s="775">
        <f>H21</f>
        <v>100</v>
      </c>
      <c r="V21" s="774" t="s">
        <v>17</v>
      </c>
      <c r="W21" s="775">
        <f>J21</f>
        <v>100</v>
      </c>
      <c r="X21" s="1816"/>
      <c r="Y21" s="3222"/>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8" t="str">
        <f t="shared" si="8"/>
        <v>公共配套设施</v>
      </c>
      <c r="R23" s="770" t="s">
        <v>17</v>
      </c>
      <c r="S23" s="771">
        <f>F23</f>
        <v>100</v>
      </c>
      <c r="T23" s="770" t="s">
        <v>17</v>
      </c>
      <c r="U23" s="771">
        <f>H23</f>
        <v>100</v>
      </c>
      <c r="V23" s="770" t="s">
        <v>17</v>
      </c>
      <c r="W23" s="771">
        <f>J23</f>
        <v>100</v>
      </c>
      <c r="X23" s="772"/>
      <c r="Y23" s="3222"/>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22"/>
      <c r="Q24" s="1798"/>
      <c r="R24" s="770"/>
      <c r="S24" s="771"/>
      <c r="T24" s="770"/>
      <c r="U24" s="771"/>
      <c r="V24" s="770"/>
      <c r="W24" s="771"/>
      <c r="X24" s="772"/>
      <c r="Y24" s="3222"/>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8"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22"/>
      <c r="Q26" s="1798"/>
      <c r="R26" s="770"/>
      <c r="S26" s="771"/>
      <c r="T26" s="770"/>
      <c r="U26" s="771"/>
      <c r="V26" s="770"/>
      <c r="W26" s="771"/>
      <c r="X26" s="772"/>
      <c r="Y26" s="3222"/>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2"/>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3" t="str">
        <f t="shared" si="8"/>
        <v>毗邻道路的类型与等级</v>
      </c>
      <c r="R28" s="774" t="s">
        <v>17</v>
      </c>
      <c r="S28" s="775">
        <f t="shared" si="10"/>
        <v>100</v>
      </c>
      <c r="T28" s="774" t="s">
        <v>17</v>
      </c>
      <c r="U28" s="775">
        <f t="shared" si="11"/>
        <v>100</v>
      </c>
      <c r="V28" s="774" t="s">
        <v>17</v>
      </c>
      <c r="W28" s="775">
        <f t="shared" si="12"/>
        <v>100</v>
      </c>
      <c r="X28" s="1816"/>
      <c r="Y28" s="3222"/>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22"/>
      <c r="Q29" s="1813"/>
      <c r="R29" s="774"/>
      <c r="S29" s="775"/>
      <c r="T29" s="774"/>
      <c r="U29" s="775"/>
      <c r="V29" s="774"/>
      <c r="W29" s="775"/>
      <c r="X29" s="1816"/>
      <c r="Y29" s="3222"/>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3" t="str">
        <f t="shared" si="8"/>
        <v>土地级别</v>
      </c>
      <c r="R30" s="774" t="s">
        <v>17</v>
      </c>
      <c r="S30" s="775">
        <f t="shared" si="10"/>
        <v>100</v>
      </c>
      <c r="T30" s="774" t="s">
        <v>17</v>
      </c>
      <c r="U30" s="775">
        <f t="shared" si="11"/>
        <v>100</v>
      </c>
      <c r="V30" s="774" t="s">
        <v>17</v>
      </c>
      <c r="W30" s="775">
        <f t="shared" si="12"/>
        <v>100</v>
      </c>
      <c r="X30" s="1816"/>
      <c r="Y30" s="3222"/>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3">
        <f t="shared" si="8"/>
        <v>111</v>
      </c>
      <c r="R31" s="774" t="s">
        <v>17</v>
      </c>
      <c r="S31" s="775">
        <f t="shared" si="10"/>
        <v>100</v>
      </c>
      <c r="T31" s="774" t="s">
        <v>17</v>
      </c>
      <c r="U31" s="775">
        <f t="shared" si="11"/>
        <v>100</v>
      </c>
      <c r="V31" s="774" t="s">
        <v>17</v>
      </c>
      <c r="W31" s="775">
        <f t="shared" si="12"/>
        <v>100</v>
      </c>
      <c r="X31" s="1816"/>
      <c r="Y31" s="3222"/>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2555</v>
      </c>
      <c r="Q32" s="1813">
        <f t="shared" si="8"/>
        <v>111</v>
      </c>
      <c r="R32" s="774" t="s">
        <v>17</v>
      </c>
      <c r="S32" s="775">
        <f t="shared" si="10"/>
        <v>100</v>
      </c>
      <c r="T32" s="774" t="s">
        <v>17</v>
      </c>
      <c r="U32" s="775">
        <f t="shared" si="11"/>
        <v>100</v>
      </c>
      <c r="V32" s="774" t="s">
        <v>17</v>
      </c>
      <c r="W32" s="775">
        <f t="shared" si="12"/>
        <v>100</v>
      </c>
      <c r="X32" s="1816"/>
      <c r="Y32" s="3226"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6"/>
      <c r="Q33" s="1813">
        <f t="shared" si="8"/>
        <v>111</v>
      </c>
      <c r="R33" s="777" t="s">
        <v>17</v>
      </c>
      <c r="S33" s="778">
        <f t="shared" si="10"/>
        <v>100</v>
      </c>
      <c r="T33" s="777" t="s">
        <v>17</v>
      </c>
      <c r="U33" s="778">
        <f t="shared" si="11"/>
        <v>100</v>
      </c>
      <c r="V33" s="777" t="s">
        <v>17</v>
      </c>
      <c r="W33" s="778">
        <f t="shared" si="12"/>
        <v>100</v>
      </c>
      <c r="X33" s="779"/>
      <c r="Y33" s="3226"/>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6"/>
      <c r="Q34" s="1813" t="str">
        <f>B34</f>
        <v>宗地面积</v>
      </c>
      <c r="R34" s="774" t="s">
        <v>17</v>
      </c>
      <c r="S34" s="775" t="e">
        <f t="shared" si="10"/>
        <v>#N/A</v>
      </c>
      <c r="T34" s="774" t="s">
        <v>17</v>
      </c>
      <c r="U34" s="775" t="e">
        <f t="shared" si="11"/>
        <v>#N/A</v>
      </c>
      <c r="V34" s="774" t="s">
        <v>17</v>
      </c>
      <c r="W34" s="775" t="e">
        <f t="shared" si="12"/>
        <v>#N/A</v>
      </c>
      <c r="X34" s="1816"/>
      <c r="Y34" s="3226"/>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26"/>
      <c r="Q35" s="1813" t="str">
        <f t="shared" ref="Q35:Q40" si="14">B35</f>
        <v>宗地形状</v>
      </c>
      <c r="R35" s="774" t="s">
        <v>17</v>
      </c>
      <c r="S35" s="775">
        <f t="shared" si="10"/>
        <v>100</v>
      </c>
      <c r="T35" s="774" t="s">
        <v>17</v>
      </c>
      <c r="U35" s="775">
        <f t="shared" si="11"/>
        <v>100</v>
      </c>
      <c r="V35" s="774" t="s">
        <v>17</v>
      </c>
      <c r="W35" s="775">
        <f t="shared" si="12"/>
        <v>100</v>
      </c>
      <c r="X35" s="1816"/>
      <c r="Y35" s="3226"/>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26"/>
      <c r="Q36" s="1813" t="str">
        <f t="shared" si="14"/>
        <v>宗地开发程度</v>
      </c>
      <c r="R36" s="770" t="s">
        <v>17</v>
      </c>
      <c r="S36" s="771">
        <f t="shared" si="10"/>
        <v>100</v>
      </c>
      <c r="T36" s="770" t="s">
        <v>17</v>
      </c>
      <c r="U36" s="771">
        <f t="shared" si="11"/>
        <v>100</v>
      </c>
      <c r="V36" s="770" t="s">
        <v>17</v>
      </c>
      <c r="W36" s="771">
        <f t="shared" si="12"/>
        <v>100</v>
      </c>
      <c r="X36" s="772"/>
      <c r="Y36" s="3226"/>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26" t="s">
        <v>2555</v>
      </c>
      <c r="Q37" s="1813" t="str">
        <f t="shared" si="14"/>
        <v>工程地质条件</v>
      </c>
      <c r="R37" s="774" t="s">
        <v>17</v>
      </c>
      <c r="S37" s="775">
        <f t="shared" si="10"/>
        <v>100</v>
      </c>
      <c r="T37" s="774" t="s">
        <v>17</v>
      </c>
      <c r="U37" s="775">
        <f t="shared" si="11"/>
        <v>100</v>
      </c>
      <c r="V37" s="774" t="s">
        <v>17</v>
      </c>
      <c r="W37" s="775">
        <f t="shared" si="12"/>
        <v>100</v>
      </c>
      <c r="X37" s="1816"/>
      <c r="Y37" s="3226"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6"/>
      <c r="Q38" s="1813">
        <f t="shared" si="14"/>
        <v>111</v>
      </c>
      <c r="R38" s="774" t="s">
        <v>17</v>
      </c>
      <c r="S38" s="775">
        <f t="shared" si="10"/>
        <v>100</v>
      </c>
      <c r="T38" s="774" t="s">
        <v>17</v>
      </c>
      <c r="U38" s="775">
        <f t="shared" si="11"/>
        <v>100</v>
      </c>
      <c r="V38" s="774" t="s">
        <v>17</v>
      </c>
      <c r="W38" s="775">
        <f t="shared" si="12"/>
        <v>100</v>
      </c>
      <c r="X38" s="1816"/>
      <c r="Y38" s="322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6"/>
      <c r="Q39" s="1813">
        <f t="shared" si="14"/>
        <v>111</v>
      </c>
      <c r="R39" s="774" t="s">
        <v>17</v>
      </c>
      <c r="S39" s="775">
        <f t="shared" si="10"/>
        <v>100</v>
      </c>
      <c r="T39" s="774" t="s">
        <v>17</v>
      </c>
      <c r="U39" s="775">
        <f t="shared" si="11"/>
        <v>100</v>
      </c>
      <c r="V39" s="774" t="s">
        <v>17</v>
      </c>
      <c r="W39" s="775">
        <f t="shared" si="12"/>
        <v>100</v>
      </c>
      <c r="X39" s="1816"/>
      <c r="Y39" s="3226"/>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6"/>
      <c r="Q40" s="1813">
        <f t="shared" si="14"/>
        <v>111</v>
      </c>
      <c r="R40" s="777" t="s">
        <v>17</v>
      </c>
      <c r="S40" s="778">
        <f t="shared" si="10"/>
        <v>100</v>
      </c>
      <c r="T40" s="777" t="s">
        <v>17</v>
      </c>
      <c r="U40" s="778">
        <f t="shared" si="11"/>
        <v>100</v>
      </c>
      <c r="V40" s="777" t="s">
        <v>17</v>
      </c>
      <c r="W40" s="778">
        <f t="shared" si="12"/>
        <v>100</v>
      </c>
      <c r="X40" s="779"/>
      <c r="Y40" s="3226"/>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19" t="str">
        <f>A41</f>
        <v>成交单价</v>
      </c>
      <c r="Q41" s="3219"/>
      <c r="R41" s="3250">
        <f>E41</f>
        <v>0</v>
      </c>
      <c r="S41" s="3250"/>
      <c r="T41" s="3250">
        <f>G41</f>
        <v>0</v>
      </c>
      <c r="U41" s="3250"/>
      <c r="V41" s="3250">
        <f>I41</f>
        <v>0</v>
      </c>
      <c r="W41" s="3250"/>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6" t="str">
        <f>A43</f>
        <v>估价对象XX用房的比较价值（楼面单价，元/平方米）</v>
      </c>
      <c r="Q43" s="3217"/>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34" t="s">
        <v>2754</v>
      </c>
      <c r="H50" s="3281"/>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5618.3899999999985</v>
      </c>
      <c r="F51" s="691" t="e">
        <f t="shared" ref="F51:F60" si="15">ROUND(B51*E51/10000,0)</f>
        <v>#DIV/0!</v>
      </c>
      <c r="G51" s="3230"/>
      <c r="H51" s="3219"/>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82"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12647</v>
      </c>
      <c r="C2" s="2909" t="s">
        <v>2985</v>
      </c>
      <c r="D2" s="2909" t="s">
        <v>2986</v>
      </c>
      <c r="E2" s="2910">
        <f ca="1">SUMIF(E6:E13,"&lt;&gt;#ref!",E6:E13)</f>
        <v>6813.6499999999987</v>
      </c>
    </row>
    <row r="3" spans="1:5" ht="15.75">
      <c r="A3" s="2909" t="s">
        <v>2987</v>
      </c>
      <c r="B3" s="2910">
        <f ca="1">ROUND(B2*10000/E2,0)</f>
        <v>18561</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12647</v>
      </c>
      <c r="C6" s="2909" t="s">
        <v>2985</v>
      </c>
      <c r="D6" s="2911"/>
      <c r="E6" s="2574">
        <f ca="1">SUMIF(INDIRECT("'"&amp;A6&amp;"'"&amp;"!C:C"),"建筑面积",INDIRECT("'"&amp;A6&amp;"'"&amp;"!D:D"))</f>
        <v>6813.6499999999987</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3" t="s">
        <v>1150</v>
      </c>
      <c r="C1" s="3293"/>
      <c r="D1" s="3293"/>
      <c r="E1" s="3293"/>
      <c r="F1" s="3293"/>
      <c r="G1" s="3292" t="s">
        <v>1151</v>
      </c>
      <c r="H1" s="3292"/>
      <c r="I1" s="3292"/>
      <c r="J1" s="3292"/>
      <c r="K1" s="3292"/>
      <c r="L1" s="3292"/>
      <c r="N1" s="3292" t="s">
        <v>1152</v>
      </c>
      <c r="O1" s="3292"/>
      <c r="P1" s="3292"/>
      <c r="Q1" s="3292"/>
      <c r="R1" s="1449"/>
      <c r="S1" s="3292" t="s">
        <v>1153</v>
      </c>
      <c r="T1" s="3292"/>
      <c r="U1" s="3292"/>
      <c r="V1" s="3292"/>
      <c r="X1" s="3291" t="s">
        <v>1154</v>
      </c>
      <c r="Y1" s="3292"/>
      <c r="Z1" s="3292"/>
      <c r="AA1" s="3292"/>
      <c r="AB1" s="3292"/>
      <c r="AD1" s="3291" t="s">
        <v>1155</v>
      </c>
      <c r="AE1" s="3292"/>
      <c r="AF1" s="3292"/>
      <c r="AG1" s="3292"/>
      <c r="AH1" s="329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9" t="s">
        <v>2995</v>
      </c>
      <c r="D1" s="3300"/>
      <c r="E1" s="3300"/>
      <c r="F1" s="3300"/>
      <c r="G1" s="3300"/>
      <c r="H1" s="3300"/>
      <c r="I1" s="3300"/>
      <c r="J1" s="3300"/>
      <c r="K1" s="3300"/>
      <c r="L1" s="3300"/>
      <c r="M1" s="3300"/>
      <c r="N1" s="3300"/>
      <c r="O1" s="3300"/>
      <c r="P1" s="3300"/>
      <c r="Q1" s="3300"/>
      <c r="R1" s="3300"/>
      <c r="S1" s="3301"/>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161" t="s">
        <v>33</v>
      </c>
      <c r="D22" s="3162"/>
      <c r="E22" s="3162"/>
      <c r="F22" s="3162"/>
      <c r="G22" s="3162"/>
      <c r="H22" s="3162"/>
      <c r="I22" s="3162"/>
      <c r="J22" s="3162"/>
      <c r="K22" s="3162"/>
      <c r="L22" s="3162"/>
      <c r="M22" s="3162"/>
      <c r="N22" s="3162"/>
      <c r="O22" s="3162"/>
      <c r="P22" s="3162"/>
      <c r="Q22" s="3298"/>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64"/>
      <c r="B4" s="2984" t="s">
        <v>1630</v>
      </c>
      <c r="C4" s="2984"/>
      <c r="D4" s="2984"/>
      <c r="E4" s="1964"/>
    </row>
    <row r="5" spans="1:5" ht="16.5" thickTop="1">
      <c r="A5" s="1962"/>
      <c r="B5" s="2982" t="s">
        <v>1622</v>
      </c>
      <c r="C5" s="1965" t="s">
        <v>1623</v>
      </c>
      <c r="D5" s="1043">
        <f ca="1">结果表!H101</f>
        <v>30034</v>
      </c>
      <c r="E5" s="1962"/>
    </row>
    <row r="6" spans="1:5" ht="15.75">
      <c r="A6" s="1962"/>
      <c r="B6" s="2982"/>
      <c r="C6" s="1965" t="s">
        <v>1624</v>
      </c>
      <c r="D6" s="1043" t="str">
        <f ca="1">NUMBERSTRING(INT(D5*10000),2)&amp;"元整"</f>
        <v>叁亿零叁拾肆万元整</v>
      </c>
      <c r="E6" s="1962"/>
    </row>
    <row r="7" spans="1:5" ht="15.75">
      <c r="A7" s="1962"/>
      <c r="B7" s="2987"/>
      <c r="C7" s="1966" t="s">
        <v>1625</v>
      </c>
      <c r="D7" s="1044">
        <f ca="1">结果表!H102</f>
        <v>36755</v>
      </c>
      <c r="E7" s="1962"/>
    </row>
    <row r="8" spans="1:5" ht="15.75">
      <c r="A8" s="1962"/>
      <c r="B8" s="2988" t="str">
        <f>结果表!E103</f>
        <v>2.估价师知悉的法定优先受偿款</v>
      </c>
      <c r="C8" s="1967" t="s">
        <v>1626</v>
      </c>
      <c r="D8" s="1044">
        <f>结果表!H103</f>
        <v>0</v>
      </c>
      <c r="E8" s="1962"/>
    </row>
    <row r="9" spans="1:5" ht="15.75">
      <c r="A9" s="1962"/>
      <c r="B9" s="299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1" t="str">
        <f>结果表!E107</f>
        <v>3.房地产抵押价值</v>
      </c>
      <c r="C13" s="1970" t="s">
        <v>1623</v>
      </c>
      <c r="D13" s="1046">
        <f ca="1">结果表!H107</f>
        <v>30034</v>
      </c>
      <c r="E13" s="1962"/>
    </row>
    <row r="14" spans="1:5" ht="15.75">
      <c r="A14" s="1962"/>
      <c r="B14" s="2982"/>
      <c r="C14" s="1965" t="s">
        <v>1624</v>
      </c>
      <c r="D14" s="1043" t="str">
        <f ca="1">NUMBERSTRING(INT(D13*10000),2)&amp;"元整"</f>
        <v>叁亿零叁拾肆万元整</v>
      </c>
      <c r="E14" s="1962"/>
    </row>
    <row r="15" spans="1:5" ht="15">
      <c r="A15" s="1962"/>
      <c r="B15" s="2987"/>
      <c r="C15" s="1966" t="s">
        <v>1634</v>
      </c>
      <c r="D15" s="1055">
        <f ca="1">结果表!H108</f>
        <v>36755</v>
      </c>
      <c r="E15" s="1962"/>
    </row>
    <row r="16" spans="1:5" ht="15">
      <c r="A16" s="1962"/>
      <c r="B16" s="2988" t="str">
        <f>结果表!E109</f>
        <v>——</v>
      </c>
      <c r="C16" s="1970" t="s">
        <v>1635</v>
      </c>
      <c r="D16" s="1971" t="str">
        <f>结果表!H109</f>
        <v>——</v>
      </c>
      <c r="E16" s="1962"/>
    </row>
    <row r="17" spans="1:5" ht="15.75">
      <c r="A17" s="1962"/>
      <c r="B17" s="2989"/>
      <c r="C17" s="1965" t="s">
        <v>1636</v>
      </c>
      <c r="D17" s="1043" t="e">
        <f>NUMBERSTRING(INT(D16*10000),2)&amp;"元整"</f>
        <v>#VALUE!</v>
      </c>
      <c r="E17" s="1962"/>
    </row>
    <row r="18" spans="1:5" ht="15">
      <c r="A18" s="1962"/>
      <c r="B18" s="2990"/>
      <c r="C18" s="1966" t="s">
        <v>1625</v>
      </c>
      <c r="D18" s="1055" t="str">
        <f>结果表!H110</f>
        <v>——</v>
      </c>
      <c r="E18" s="1962"/>
    </row>
    <row r="19" spans="1:5" ht="15.75">
      <c r="A19" s="1962"/>
      <c r="B19" s="2981" t="str">
        <f>结果表!E111</f>
        <v>4.抵押净值</v>
      </c>
      <c r="C19" s="1970" t="s">
        <v>1623</v>
      </c>
      <c r="D19" s="1044">
        <f ca="1">结果表!H111</f>
        <v>22997</v>
      </c>
      <c r="E19" s="1962"/>
    </row>
    <row r="20" spans="1:5" ht="15.75">
      <c r="A20" s="1962"/>
      <c r="B20" s="2982"/>
      <c r="C20" s="1965" t="s">
        <v>1636</v>
      </c>
      <c r="D20" s="1043" t="str">
        <f ca="1">NUMBERSTRING(INT(D19*10000),2)&amp;"元整"</f>
        <v>贰亿贰仟玖佰玖拾柒万元整</v>
      </c>
      <c r="E20" s="1962"/>
    </row>
    <row r="21" spans="1:5" ht="15.75" thickBot="1">
      <c r="A21" s="1962"/>
      <c r="B21" s="2983"/>
      <c r="C21" s="1972" t="s">
        <v>1634</v>
      </c>
      <c r="D21" s="1056">
        <f ca="1">结果表!H112</f>
        <v>28143</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34857</v>
      </c>
      <c r="C2" s="2" t="s">
        <v>133</v>
      </c>
      <c r="D2" s="243"/>
      <c r="E2" s="243"/>
      <c r="F2" s="243"/>
      <c r="G2" s="243"/>
    </row>
    <row r="3" spans="1:7" s="244" customFormat="1" ht="18" customHeight="1" thickBot="1">
      <c r="A3" s="247" t="s">
        <v>85</v>
      </c>
      <c r="B3" s="248">
        <f ca="1">ROUND(B2*10000/'数据-汇总表'!E3,0)</f>
        <v>42657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1520</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31127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2724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110</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107</v>
      </c>
      <c r="D42" s="282"/>
      <c r="E42" s="282"/>
      <c r="F42" s="283"/>
      <c r="G42" s="3186" t="s">
        <v>121</v>
      </c>
    </row>
    <row r="43" spans="1:7" ht="13.5" customHeight="1">
      <c r="A43" s="954" t="s">
        <v>792</v>
      </c>
      <c r="B43" s="259" t="s">
        <v>1064</v>
      </c>
      <c r="C43" s="282">
        <f ca="1">ROUND(IF('数据-取费表'!B22&lt;=1,C39*F22*'数据-取费表'!B21/2,C39*(POWER((1+F22),'数据-取费表'!B21/2)-1)),0)</f>
        <v>3</v>
      </c>
      <c r="D43" s="282"/>
      <c r="E43" s="282"/>
      <c r="F43" s="283"/>
      <c r="G43" s="3187"/>
    </row>
    <row r="44" spans="1:7" ht="13.5" customHeight="1">
      <c r="A44" s="954" t="s">
        <v>793</v>
      </c>
      <c r="B44" s="259" t="s">
        <v>1066</v>
      </c>
      <c r="C44" s="282">
        <f ca="1">ROUND(IF('数据-取费表'!B22&lt;=1,C40*F22*'数据-取费表'!B21/2,C40*(POWER((1+F22),'数据-取费表'!B21/2)-1)),4)</f>
        <v>1.1000000000000001E-3</v>
      </c>
      <c r="D44" s="282"/>
      <c r="E44" s="282"/>
      <c r="F44" s="283"/>
      <c r="G44" s="3188"/>
    </row>
    <row r="45" spans="1:7" s="258" customFormat="1" ht="13.5" customHeight="1">
      <c r="A45" s="951" t="s">
        <v>786</v>
      </c>
      <c r="B45" s="288" t="s">
        <v>112</v>
      </c>
      <c r="C45" s="289">
        <f>C46</f>
        <v>775</v>
      </c>
      <c r="D45" s="279">
        <f>C47</f>
        <v>7.4999999999999997E-3</v>
      </c>
      <c r="E45" s="280" t="s">
        <v>129</v>
      </c>
      <c r="F45" s="290"/>
      <c r="G45" s="291" t="s">
        <v>1072</v>
      </c>
    </row>
    <row r="46" spans="1:7" s="258" customFormat="1" ht="13.5" customHeight="1">
      <c r="A46" s="954" t="s">
        <v>794</v>
      </c>
      <c r="B46" s="292" t="s">
        <v>1065</v>
      </c>
      <c r="C46" s="293">
        <f>ROUND((C33+C39)*F27,0)</f>
        <v>775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4388</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3730</v>
      </c>
      <c r="D51" s="276"/>
      <c r="E51" s="276"/>
      <c r="F51" s="308"/>
      <c r="G51" s="278" t="s">
        <v>64</v>
      </c>
    </row>
    <row r="52" spans="1:7" s="252" customFormat="1" ht="16.5" thickBot="1">
      <c r="A52" s="309" t="s">
        <v>65</v>
      </c>
      <c r="B52" s="310"/>
      <c r="C52" s="311">
        <f ca="1">C31+C51</f>
        <v>34857</v>
      </c>
      <c r="D52" s="310"/>
      <c r="E52" s="310"/>
      <c r="F52" s="310"/>
      <c r="G52" s="312"/>
    </row>
    <row r="55" spans="1:7" ht="15">
      <c r="B55" s="314" t="s">
        <v>66</v>
      </c>
      <c r="C55" s="315"/>
    </row>
    <row r="56" spans="1:7">
      <c r="B56" s="317" t="s">
        <v>67</v>
      </c>
      <c r="C56" s="318">
        <f ca="1">ROUND(C51/C52,3)</f>
        <v>0.107</v>
      </c>
    </row>
    <row r="57" spans="1:7">
      <c r="B57" s="317" t="s">
        <v>68</v>
      </c>
      <c r="C57" s="319">
        <f ca="1">1-C56</f>
        <v>0.89300000000000002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871</v>
      </c>
      <c r="B1" s="330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1641</v>
      </c>
      <c r="B2" s="3001" t="s">
        <v>1642</v>
      </c>
      <c r="C2" s="3001" t="s">
        <v>1643</v>
      </c>
      <c r="D2" s="3001" t="str">
        <f>结果表!D116</f>
        <v>出让国有建设用地使用权价值</v>
      </c>
      <c r="E2" s="3001"/>
      <c r="F2" s="3001" t="str">
        <f>结果表!F116</f>
        <v>建筑物价值</v>
      </c>
      <c r="G2" s="3001"/>
      <c r="H2" s="3001" t="str">
        <f>IF(项目基本情况!B9="房地产市场价值","房地产市场价值","房地产价值")</f>
        <v>房地产价值</v>
      </c>
      <c r="I2" s="3001"/>
    </row>
    <row r="3" spans="1:9" ht="15">
      <c r="A3" s="2995"/>
      <c r="B3" s="2995"/>
      <c r="C3" s="2995"/>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25259</v>
      </c>
      <c r="E4" s="1047">
        <f ca="1">结果表!E118</f>
        <v>30911</v>
      </c>
      <c r="F4" s="1047">
        <f ca="1">结果表!F118</f>
        <v>4775</v>
      </c>
      <c r="G4" s="1047">
        <f ca="1">结果表!G118</f>
        <v>5844</v>
      </c>
      <c r="H4" s="1047">
        <f ca="1">结果表!H118</f>
        <v>30034</v>
      </c>
      <c r="I4" s="1047">
        <f ca="1">结果表!I118</f>
        <v>36755</v>
      </c>
    </row>
    <row r="5" spans="1:9" ht="30" customHeight="1">
      <c r="A5" s="2995" t="s">
        <v>1640</v>
      </c>
      <c r="B5" s="2995"/>
      <c r="C5" s="2995"/>
      <c r="D5" s="2996" t="str">
        <f ca="1">结果表!D119</f>
        <v>贰亿伍仟贰佰伍拾玖万元整</v>
      </c>
      <c r="E5" s="2996"/>
      <c r="F5" s="2996" t="str">
        <f ca="1">结果表!F119</f>
        <v>肆仟柒佰柒拾伍万元整</v>
      </c>
      <c r="G5" s="2996"/>
      <c r="H5" s="2996" t="str">
        <f ca="1">结果表!H119</f>
        <v>叁亿零叁拾肆万元整</v>
      </c>
      <c r="I5" s="2996"/>
    </row>
    <row r="6" spans="1:9" ht="15.75">
      <c r="A6" s="2994" t="str">
        <f>结果表!A120</f>
        <v>估价师知悉的法定优先受偿款</v>
      </c>
      <c r="B6" s="2994"/>
      <c r="C6" s="2994"/>
      <c r="D6" s="2994">
        <f>结果表!D120</f>
        <v>0</v>
      </c>
      <c r="E6" s="2994"/>
      <c r="F6" s="2994"/>
      <c r="G6" s="2994"/>
      <c r="H6" s="2994"/>
      <c r="I6" s="2994"/>
    </row>
    <row r="7" spans="1:9" ht="15">
      <c r="A7" s="2995" t="s">
        <v>1640</v>
      </c>
      <c r="B7" s="2995"/>
      <c r="C7" s="2995"/>
      <c r="D7" s="2997" t="str">
        <f>结果表!D121</f>
        <v>零元整</v>
      </c>
      <c r="E7" s="2998"/>
      <c r="F7" s="2998"/>
      <c r="G7" s="2998"/>
      <c r="H7" s="2998"/>
      <c r="I7" s="2999"/>
    </row>
    <row r="8" spans="1:9" ht="15.75">
      <c r="A8" s="2994" t="str">
        <f>结果表!A122</f>
        <v>房地产抵押价值</v>
      </c>
      <c r="B8" s="2994"/>
      <c r="C8" s="2994"/>
      <c r="D8" s="2994">
        <f ca="1">结果表!D122</f>
        <v>30034</v>
      </c>
      <c r="E8" s="2994"/>
      <c r="F8" s="2994"/>
      <c r="G8" s="2994"/>
      <c r="H8" s="2994"/>
      <c r="I8" s="2994"/>
    </row>
    <row r="9" spans="1:9" ht="15">
      <c r="A9" s="2995" t="s">
        <v>1640</v>
      </c>
      <c r="B9" s="2995"/>
      <c r="C9" s="2995"/>
      <c r="D9" s="2996" t="str">
        <f ca="1">结果表!D123</f>
        <v>叁亿零叁拾肆万元整</v>
      </c>
      <c r="E9" s="2996"/>
      <c r="F9" s="2996"/>
      <c r="G9" s="2996"/>
      <c r="H9" s="2996"/>
      <c r="I9" s="2996"/>
    </row>
    <row r="10" spans="1:9" ht="15.75">
      <c r="A10" s="2994" t="str">
        <f>结果表!A124</f>
        <v/>
      </c>
      <c r="B10" s="2994"/>
      <c r="C10" s="2994"/>
      <c r="D10" s="2994" t="str">
        <f>结果表!D124</f>
        <v>——</v>
      </c>
      <c r="E10" s="2994"/>
      <c r="F10" s="2994"/>
      <c r="G10" s="2994"/>
      <c r="H10" s="2994"/>
      <c r="I10" s="2994"/>
    </row>
    <row r="11" spans="1:9" ht="15">
      <c r="A11" s="2995" t="s">
        <v>1640</v>
      </c>
      <c r="B11" s="2995"/>
      <c r="C11" s="2995"/>
      <c r="D11" s="2996" t="e">
        <f>结果表!D125</f>
        <v>#VALUE!</v>
      </c>
      <c r="E11" s="2996"/>
      <c r="F11" s="2996"/>
      <c r="G11" s="2996"/>
      <c r="H11" s="2996"/>
      <c r="I11" s="2996"/>
    </row>
    <row r="12" spans="1:9" ht="15.75">
      <c r="A12" s="2994" t="str">
        <f>结果表!A126</f>
        <v>抵押净值</v>
      </c>
      <c r="B12" s="2994"/>
      <c r="C12" s="2994"/>
      <c r="D12" s="2994">
        <f ca="1">结果表!D126</f>
        <v>22997</v>
      </c>
      <c r="E12" s="2994"/>
      <c r="F12" s="2994"/>
      <c r="G12" s="2994"/>
      <c r="H12" s="2994"/>
      <c r="I12" s="2994"/>
    </row>
    <row r="13" spans="1:9" ht="15.75" thickBot="1">
      <c r="A13" s="2991" t="s">
        <v>1640</v>
      </c>
      <c r="B13" s="2991"/>
      <c r="C13" s="2991"/>
      <c r="D13" s="2992" t="str">
        <f ca="1">结果表!D127</f>
        <v>贰亿贰仟玖佰玖拾柒万元整</v>
      </c>
      <c r="E13" s="2992"/>
      <c r="F13" s="2992"/>
      <c r="G13" s="2992"/>
      <c r="H13" s="2992"/>
      <c r="I13" s="2992"/>
    </row>
    <row r="14" spans="1:9" ht="15" thickTop="1">
      <c r="A14" s="2993" t="s">
        <v>1645</v>
      </c>
      <c r="B14" s="2993"/>
      <c r="C14" s="2993"/>
      <c r="D14" s="2993"/>
      <c r="E14" s="2993"/>
      <c r="F14" s="2993"/>
      <c r="G14" s="2993"/>
      <c r="H14" s="2993"/>
      <c r="I14" s="299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8" t="s">
        <v>1662</v>
      </c>
      <c r="B1" s="3008"/>
      <c r="C1" s="3008"/>
      <c r="D1" s="3008"/>
    </row>
    <row r="2" spans="1:4" ht="18">
      <c r="A2" s="3009" t="s">
        <v>1646</v>
      </c>
      <c r="B2" s="3009"/>
      <c r="C2" s="3009"/>
      <c r="D2" s="3009"/>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9" t="s">
        <v>1652</v>
      </c>
      <c r="B6" s="3009"/>
      <c r="C6" s="3009"/>
      <c r="D6" s="300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0"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2" t="str">
        <f>IF(项目基本情况!B8="抵押","4.本次评估估价师所知悉的法定优先受偿款情况说明如下：","——")</f>
        <v>4.本次评估估价师所知悉的法定优先受偿款情况说明如下：</v>
      </c>
      <c r="B14" s="3007"/>
      <c r="C14" s="3007"/>
      <c r="D14" s="3007"/>
    </row>
    <row r="15" spans="1:4" ht="42" customHeight="1">
      <c r="A15" s="3002" t="str">
        <f>IF(项目基本情况!B8="抵押","（1）"&amp;CONCATENATE(项目基本情况!L20,项目基本情况!L21,项目基本情况!L22),"——")</f>
        <v>（1）根据估价对象《房屋所有权证》原件、《国有土地使用权》原件，截至价值时点，估价对象抵押权未见登记。</v>
      </c>
      <c r="B15" s="3002"/>
      <c r="C15" s="3002"/>
      <c r="D15" s="3002"/>
    </row>
    <row r="16" spans="1:4" ht="30" customHeight="1">
      <c r="A16" s="3004" t="s">
        <v>1656</v>
      </c>
      <c r="B16" s="3004"/>
      <c r="C16" s="3004"/>
      <c r="D16" s="3004"/>
    </row>
    <row r="17" spans="1:4" ht="144" customHeight="1">
      <c r="A17" s="3004" t="s">
        <v>1657</v>
      </c>
      <c r="B17" s="3004"/>
      <c r="C17" s="3004"/>
      <c r="D17" s="3004"/>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1658</v>
      </c>
      <c r="B22" s="3006"/>
      <c r="C22" s="3006"/>
      <c r="D22" s="300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3">
        <v>42551</v>
      </c>
      <c r="D31" s="30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6" t="s">
        <v>1669</v>
      </c>
      <c r="B15" s="3011" t="s">
        <v>136</v>
      </c>
      <c r="C15" s="3012"/>
    </row>
    <row r="16" spans="1:7" ht="13.5">
      <c r="A16" s="3017"/>
      <c r="B16" s="3011" t="s">
        <v>69</v>
      </c>
      <c r="C16" s="3012"/>
    </row>
    <row r="17" spans="1:3" ht="13.5">
      <c r="A17" s="3017"/>
      <c r="B17" s="3014" t="s">
        <v>1670</v>
      </c>
      <c r="C17" s="2003" t="s">
        <v>1669</v>
      </c>
    </row>
    <row r="18" spans="1:3" ht="13.5">
      <c r="A18" s="3017"/>
      <c r="B18" s="3014"/>
      <c r="C18" s="2003" t="s">
        <v>1671</v>
      </c>
    </row>
    <row r="19" spans="1:3" ht="13.5">
      <c r="A19" s="3017"/>
      <c r="B19" s="3014"/>
      <c r="C19" s="2003" t="s">
        <v>1672</v>
      </c>
    </row>
    <row r="20" spans="1:3" ht="13.5">
      <c r="A20" s="3018"/>
      <c r="B20" s="3013" t="s">
        <v>1673</v>
      </c>
      <c r="C20" s="3012"/>
    </row>
    <row r="21" spans="1:3" ht="13.5">
      <c r="A21" s="2004" t="s">
        <v>1674</v>
      </c>
      <c r="B21" s="2005"/>
      <c r="C21" s="2006"/>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2003" t="s">
        <v>1680</v>
      </c>
    </row>
    <row r="26" spans="1:3" ht="13.5">
      <c r="A26" s="3015"/>
      <c r="B26" s="3014"/>
      <c r="C26" s="2003" t="s">
        <v>1681</v>
      </c>
    </row>
    <row r="27" spans="1:3" ht="13.5">
      <c r="A27" s="3015"/>
      <c r="B27" s="3014"/>
      <c r="C27" s="2003" t="s">
        <v>1682</v>
      </c>
    </row>
    <row r="28" spans="1:3" ht="13.5">
      <c r="A28" s="3015"/>
      <c r="B28" s="3014"/>
      <c r="C28" s="2003" t="s">
        <v>1683</v>
      </c>
    </row>
    <row r="29" spans="1:3" ht="13.5">
      <c r="A29" s="3015"/>
      <c r="B29" s="3014"/>
      <c r="C29" s="2003" t="s">
        <v>1684</v>
      </c>
    </row>
    <row r="30" spans="1:3" ht="13.5">
      <c r="A30" s="3015"/>
      <c r="B30" s="3014"/>
      <c r="C30" s="2003" t="s">
        <v>1685</v>
      </c>
    </row>
    <row r="31" spans="1:3" ht="13.5">
      <c r="A31" s="3015"/>
      <c r="B31" s="3014"/>
      <c r="C31" s="2003" t="s">
        <v>1686</v>
      </c>
    </row>
    <row r="32" spans="1:3" ht="13.5">
      <c r="A32" s="3015"/>
      <c r="B32" s="3014"/>
      <c r="C32" s="2003" t="s">
        <v>1687</v>
      </c>
    </row>
    <row r="33" spans="1:3" ht="13.5">
      <c r="A33" s="3015"/>
      <c r="B33" s="301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9" t="s">
        <v>846</v>
      </c>
      <c r="B25" s="3019"/>
      <c r="C25" s="3019"/>
      <c r="D25" s="3019"/>
      <c r="E25" s="3019"/>
      <c r="F25" s="3019"/>
      <c r="G25" s="3019"/>
    </row>
    <row r="26" spans="1:7" s="1028" customFormat="1" ht="24" customHeight="1">
      <c r="A26" s="3020" t="s">
        <v>847</v>
      </c>
      <c r="B26" s="3020"/>
      <c r="C26" s="3021"/>
      <c r="D26" s="3022" t="s">
        <v>848</v>
      </c>
      <c r="E26" s="3020"/>
      <c r="F26" s="3020"/>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2018-06-08T04:40:38Z</dcterms:modified>
</cp:coreProperties>
</file>