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 windowWidth="13125" windowHeight="1171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汇总表及案例情况" sheetId="80" state="hidden" r:id="rId23"/>
    <sheet name="典型户型修正" sheetId="31"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state="hidden" r:id="rId47"/>
    <sheet name="Sheet2" sheetId="82"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C34" i="34"/>
  <c r="C6" i="69"/>
  <c r="D33" i="43"/>
  <c r="G84" i="43"/>
  <c r="G85" i="43"/>
  <c r="G86" i="43"/>
  <c r="G87" i="43"/>
  <c r="G88" i="43"/>
  <c r="G89" i="43"/>
  <c r="G90" i="43"/>
  <c r="G83" i="43"/>
  <c r="N6" i="1" l="1"/>
  <c r="H16" i="80" l="1"/>
  <c r="C75" i="9"/>
  <c r="C66" i="9"/>
  <c r="H13" i="80"/>
  <c r="H14" i="80"/>
  <c r="H15" i="80"/>
  <c r="H12" i="80"/>
  <c r="E37" i="34"/>
  <c r="G37" i="34" s="1"/>
  <c r="I37" i="34" s="1"/>
  <c r="Y6"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R73" i="31"/>
  <c r="R74" i="31"/>
  <c r="S74" i="31" s="1"/>
  <c r="R75" i="31"/>
  <c r="R76" i="31"/>
  <c r="S76" i="31" s="1"/>
  <c r="R77" i="31"/>
  <c r="R78" i="31"/>
  <c r="S78" i="31" s="1"/>
  <c r="R79" i="31"/>
  <c r="R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S98" i="31" s="1"/>
  <c r="R99" i="31"/>
  <c r="R100" i="31"/>
  <c r="S100" i="31" s="1"/>
  <c r="R101" i="31"/>
  <c r="R102" i="31"/>
  <c r="S102" i="31" s="1"/>
  <c r="R103" i="31"/>
  <c r="R104" i="31"/>
  <c r="S104" i="31" s="1"/>
  <c r="R105" i="31"/>
  <c r="R106" i="31"/>
  <c r="S106" i="31" s="1"/>
  <c r="R107" i="31"/>
  <c r="R108" i="31"/>
  <c r="R109" i="31"/>
  <c r="R110" i="31"/>
  <c r="S110" i="31" s="1"/>
  <c r="R111" i="31"/>
  <c r="R112" i="31"/>
  <c r="S112" i="31" s="1"/>
  <c r="R113" i="31"/>
  <c r="R114" i="31"/>
  <c r="S114" i="31" s="1"/>
  <c r="R115" i="31"/>
  <c r="R116" i="31"/>
  <c r="S116" i="31" s="1"/>
  <c r="R117" i="31"/>
  <c r="R118" i="31"/>
  <c r="S118" i="31" s="1"/>
  <c r="R119" i="31"/>
  <c r="R120" i="3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78" i="31"/>
  <c r="S272" i="31"/>
  <c r="S270" i="31"/>
  <c r="S262"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1" i="31"/>
  <c r="S220" i="31"/>
  <c r="S219" i="31"/>
  <c r="S217" i="31"/>
  <c r="S215" i="31"/>
  <c r="S213" i="31"/>
  <c r="S211" i="31"/>
  <c r="S209" i="31"/>
  <c r="S207" i="31"/>
  <c r="S205" i="31"/>
  <c r="S204" i="31"/>
  <c r="S203" i="31"/>
  <c r="S201" i="31"/>
  <c r="S199" i="31"/>
  <c r="S197" i="31"/>
  <c r="S195" i="31"/>
  <c r="S193" i="31"/>
  <c r="S191" i="31"/>
  <c r="S189" i="31"/>
  <c r="S188" i="31"/>
  <c r="S187" i="31"/>
  <c r="S185" i="31"/>
  <c r="S183" i="31"/>
  <c r="S181" i="31"/>
  <c r="S179" i="31"/>
  <c r="S177" i="31"/>
  <c r="S175" i="31"/>
  <c r="S173" i="31"/>
  <c r="S172" i="31"/>
  <c r="S171" i="31"/>
  <c r="S169" i="31"/>
  <c r="S167" i="31"/>
  <c r="S165" i="31"/>
  <c r="S163" i="31"/>
  <c r="S161" i="31"/>
  <c r="S159" i="31"/>
  <c r="S157" i="31"/>
  <c r="S156" i="31"/>
  <c r="S155" i="31"/>
  <c r="S153" i="31"/>
  <c r="S151" i="31"/>
  <c r="S149" i="31"/>
  <c r="S147" i="31"/>
  <c r="S145" i="31"/>
  <c r="S143" i="31"/>
  <c r="S141" i="31"/>
  <c r="S140" i="31"/>
  <c r="S139" i="31"/>
  <c r="S137" i="31"/>
  <c r="S135" i="31"/>
  <c r="S133" i="31"/>
  <c r="S131" i="31"/>
  <c r="S129"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1" i="31"/>
  <c r="S120" i="31"/>
  <c r="S119" i="31"/>
  <c r="S117" i="31"/>
  <c r="S115"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5" i="31"/>
  <c r="S73" i="31"/>
  <c r="S72" i="31"/>
  <c r="S71" i="31"/>
  <c r="S69" i="31"/>
  <c r="S67" i="31"/>
  <c r="S65" i="31"/>
  <c r="S63" i="31"/>
  <c r="S61" i="31"/>
  <c r="S59" i="31"/>
  <c r="S57" i="31"/>
  <c r="S56" i="31"/>
  <c r="S55" i="31"/>
  <c r="S97" i="31"/>
  <c r="S96" i="31"/>
  <c r="S95" i="31"/>
  <c r="S93" i="31"/>
  <c r="S91" i="31"/>
  <c r="S89" i="31"/>
  <c r="S87" i="31"/>
  <c r="S85" i="31"/>
  <c r="S83" i="31"/>
  <c r="S81" i="31"/>
  <c r="S80" i="31"/>
  <c r="S79" i="31"/>
  <c r="S31" i="31"/>
  <c r="S30" i="31"/>
  <c r="S29" i="31"/>
  <c r="S99" i="31"/>
  <c r="S101" i="31"/>
  <c r="S103"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F28" i="34"/>
  <c r="AA28" i="34" s="1"/>
  <c r="F25" i="34"/>
  <c r="S25" i="34" s="1"/>
  <c r="H23" i="34"/>
  <c r="U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39" i="34"/>
  <c r="W41" i="34"/>
  <c r="AC42" i="34"/>
  <c r="AB35"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G22" i="68"/>
  <c r="C6" i="43"/>
  <c r="B19" i="53"/>
  <c r="B37" i="72"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36" i="34"/>
  <c r="S36"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8" i="76"/>
  <c r="E9" i="76"/>
  <c r="B13" i="76"/>
  <c r="F26" i="15"/>
  <c r="F9" i="67"/>
  <c r="M28" i="67"/>
  <c r="F6" i="15"/>
  <c r="F42" i="15"/>
  <c r="F4" i="73"/>
  <c r="M8" i="15"/>
  <c r="M9" i="15"/>
  <c r="M8" i="67"/>
  <c r="F20" i="31"/>
  <c r="C76" i="15"/>
  <c r="B11" i="76"/>
  <c r="F16" i="67"/>
  <c r="F3" i="73"/>
  <c r="F7" i="73"/>
  <c r="F5" i="73"/>
  <c r="F42" i="67"/>
  <c r="M26" i="67"/>
  <c r="F43" i="67"/>
  <c r="M28" i="15"/>
  <c r="L47" i="67"/>
  <c r="M23" i="15"/>
  <c r="F37" i="67"/>
  <c r="L48" i="67"/>
  <c r="B8" i="76"/>
  <c r="E11" i="76"/>
  <c r="F36" i="67"/>
  <c r="E10" i="76"/>
  <c r="B9" i="76"/>
  <c r="F40" i="15"/>
  <c r="E13" i="76"/>
  <c r="L47" i="15"/>
  <c r="M22" i="15"/>
  <c r="L48" i="15"/>
  <c r="M6" i="15"/>
  <c r="B10" i="76"/>
  <c r="F38" i="67"/>
  <c r="F6" i="73"/>
  <c r="M29" i="67"/>
  <c r="F37" i="15"/>
  <c r="C76" i="67"/>
  <c r="F38" i="15"/>
  <c r="E2" i="69"/>
  <c r="F7" i="67"/>
  <c r="E2" i="68"/>
  <c r="F26" i="67"/>
  <c r="F36" i="15"/>
  <c r="F8" i="15"/>
  <c r="F9" i="15"/>
  <c r="D6" i="73"/>
  <c r="F8" i="67"/>
  <c r="M23" i="67"/>
  <c r="F7" i="15"/>
  <c r="E12" i="76"/>
  <c r="M9" i="67"/>
  <c r="F16" i="15"/>
  <c r="M26" i="15"/>
  <c r="B7" i="76"/>
  <c r="M29" i="15"/>
  <c r="F13" i="67"/>
  <c r="F13" i="15"/>
  <c r="B12" i="76"/>
  <c r="M24" i="67"/>
  <c r="M6" i="67"/>
  <c r="E7" i="76"/>
  <c r="J15" i="67"/>
  <c r="M22" i="67"/>
  <c r="AO13" i="1"/>
  <c r="F40" i="67"/>
  <c r="F43" i="15"/>
  <c r="J15" i="15"/>
  <c r="M24" i="15"/>
  <c r="F6" i="67"/>
  <c r="F78" i="34" l="1"/>
  <c r="G78" i="34" s="1"/>
  <c r="J15" i="34"/>
  <c r="W15" i="34" s="1"/>
  <c r="H15" i="34"/>
  <c r="AB15" i="34" s="1"/>
  <c r="F15" i="34"/>
  <c r="AA15" i="34" s="1"/>
  <c r="AC44" i="34"/>
  <c r="S44" i="34"/>
  <c r="H43" i="34"/>
  <c r="J43" i="34"/>
  <c r="AC43" i="34" s="1"/>
  <c r="S43" i="34"/>
  <c r="S35" i="34"/>
  <c r="AA33" i="34"/>
  <c r="S37" i="34"/>
  <c r="C7" i="35"/>
  <c r="C48" i="35" s="1"/>
  <c r="D48" i="35" s="1"/>
  <c r="C7" i="36"/>
  <c r="C46" i="36" s="1"/>
  <c r="D46" i="36" s="1"/>
  <c r="E46" i="36" s="1"/>
  <c r="F46" i="36" s="1"/>
  <c r="G46" i="36" s="1"/>
  <c r="H46" i="36" s="1"/>
  <c r="I46" i="36"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C7" i="33"/>
  <c r="C58" i="33" s="1"/>
  <c r="D58" i="33" s="1"/>
  <c r="E58" i="33" s="1"/>
  <c r="F58" i="33" s="1"/>
  <c r="G58" i="33" s="1"/>
  <c r="H58" i="33" s="1"/>
  <c r="I58" i="33" s="1"/>
  <c r="J58" i="33" s="1"/>
  <c r="K58" i="33" s="1"/>
  <c r="L58" i="33" s="1"/>
  <c r="M58" i="33" s="1"/>
  <c r="N58" i="33" s="1"/>
  <c r="O58" i="33" s="1"/>
  <c r="AC27" i="34"/>
  <c r="U27" i="34"/>
  <c r="S8" i="34"/>
  <c r="AC23" i="34"/>
  <c r="S23" i="34"/>
  <c r="AB23" i="34"/>
  <c r="U21" i="34"/>
  <c r="S21" i="34"/>
  <c r="U19" i="34"/>
  <c r="S19" i="34"/>
  <c r="W19" i="34"/>
  <c r="AC17" i="34"/>
  <c r="AB17" i="34"/>
  <c r="S17" i="34"/>
  <c r="AC15" i="34"/>
  <c r="U34" i="34"/>
  <c r="J9" i="34"/>
  <c r="H9" i="34"/>
  <c r="W8" i="34"/>
  <c r="C21" i="68"/>
  <c r="C40" i="69"/>
  <c r="G22" i="69"/>
  <c r="G22" i="11"/>
  <c r="E1" i="73"/>
  <c r="G26" i="12"/>
  <c r="BB5" i="3"/>
  <c r="E12" i="6" s="1"/>
  <c r="E57" i="40" s="1"/>
  <c r="BL15" i="3"/>
  <c r="AZ15" i="3" s="1"/>
  <c r="AZ14" i="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M6" i="1"/>
  <c r="O6" i="1" s="1"/>
  <c r="T13" i="1"/>
  <c r="C58" i="21"/>
  <c r="D58" i="21"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0" i="6"/>
  <c r="H16" i="1"/>
  <c r="P11" i="1"/>
  <c r="D9" i="11"/>
  <c r="C9" i="11" s="1"/>
  <c r="D19" i="12"/>
  <c r="C19" i="12" s="1"/>
  <c r="AZ13" i="3"/>
  <c r="O9" i="1"/>
  <c r="P9" i="1" s="1"/>
  <c r="O12" i="1"/>
  <c r="P12" i="1" s="1"/>
  <c r="O8" i="1"/>
  <c r="P8" i="1" s="1"/>
  <c r="H73" i="43"/>
  <c r="H90"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4" i="73"/>
  <c r="C16" i="15"/>
  <c r="D3" i="73"/>
  <c r="D5" i="73"/>
  <c r="C16" i="67"/>
  <c r="S15" i="34" l="1"/>
  <c r="U15" i="34"/>
  <c r="W43" i="34"/>
  <c r="AB43" i="34"/>
  <c r="U43" i="34"/>
  <c r="E83" i="43"/>
  <c r="B81" i="43" s="1"/>
  <c r="D67" i="39"/>
  <c r="D69" i="39" s="1"/>
  <c r="C31" i="12"/>
  <c r="C28" i="15"/>
  <c r="C77" i="9"/>
  <c r="C74" i="9" s="1"/>
  <c r="C48" i="69"/>
  <c r="C30" i="69"/>
  <c r="E15" i="6"/>
  <c r="E64" i="39" s="1"/>
  <c r="E11" i="6"/>
  <c r="E60" i="39" s="1"/>
  <c r="E14" i="6"/>
  <c r="E63" i="39" s="1"/>
  <c r="N94" i="46"/>
  <c r="E13" i="6"/>
  <c r="J7" i="36"/>
  <c r="W7" i="36" s="1"/>
  <c r="O23" i="43"/>
  <c r="P26" i="43"/>
  <c r="AB9" i="34"/>
  <c r="U9" i="34"/>
  <c r="AC9" i="34"/>
  <c r="W9" i="34"/>
  <c r="J26" i="43"/>
  <c r="E28" i="6"/>
  <c r="K14" i="1" s="1"/>
  <c r="K16" i="1" s="1"/>
  <c r="N370" i="46"/>
  <c r="P6" i="1"/>
  <c r="C13" i="12" s="1"/>
  <c r="F26" i="43"/>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T49" i="34" l="1"/>
  <c r="G49" i="34" s="1"/>
  <c r="G53" i="34" s="1"/>
  <c r="H53" i="34" s="1"/>
  <c r="F10" i="40"/>
  <c r="S10" i="40" s="1"/>
  <c r="M14" i="1"/>
  <c r="AC6" i="3"/>
  <c r="E59" i="40"/>
  <c r="H6" i="3"/>
  <c r="S7" i="36"/>
  <c r="J10" i="39"/>
  <c r="W10" i="39" s="1"/>
  <c r="D26" i="43"/>
  <c r="C25" i="43" s="1"/>
  <c r="C33" i="43" s="1"/>
  <c r="H10" i="39"/>
  <c r="U10" i="39" s="1"/>
  <c r="AA10" i="39"/>
  <c r="E3" i="6"/>
  <c r="E6" i="6" s="1"/>
  <c r="H10" i="40"/>
  <c r="AB10" i="40" s="1"/>
  <c r="J10" i="40"/>
  <c r="AC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67"/>
  <c r="M27" i="67"/>
  <c r="F41" i="15"/>
  <c r="G54" i="34" l="1"/>
  <c r="H54" i="34" s="1"/>
  <c r="B1" i="74"/>
  <c r="B14" i="74"/>
  <c r="AB10" i="39"/>
  <c r="F69" i="67"/>
  <c r="R50" i="34"/>
  <c r="C49" i="34" s="1"/>
  <c r="F25" i="12"/>
  <c r="C26" i="12" s="1"/>
  <c r="D25" i="12" s="1"/>
  <c r="W10" i="40"/>
  <c r="U10" i="40"/>
  <c r="D14" i="12"/>
  <c r="D17" i="12" s="1"/>
  <c r="C17" i="12" s="1"/>
  <c r="L18" i="9"/>
  <c r="D3" i="37"/>
  <c r="D19" i="11"/>
  <c r="C19" i="11" s="1"/>
  <c r="C20" i="11" s="1"/>
  <c r="C28" i="11" s="1"/>
  <c r="C27" i="11" s="1"/>
  <c r="D37" i="11"/>
  <c r="D3" i="33"/>
  <c r="D3" i="34"/>
  <c r="D116" i="43"/>
  <c r="F24" i="67"/>
  <c r="C24" i="67" s="1"/>
  <c r="F24" i="15"/>
  <c r="C24" i="15" s="1"/>
  <c r="F22" i="68"/>
  <c r="C23" i="68" s="1"/>
  <c r="F22" i="69"/>
  <c r="F41" i="69" s="1"/>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D30" i="6" l="1"/>
  <c r="H22" i="6"/>
  <c r="C50" i="34"/>
  <c r="E54" i="34"/>
  <c r="F54" i="34" s="1"/>
  <c r="I54" i="34"/>
  <c r="J54" i="34" s="1"/>
  <c r="F41" i="68"/>
  <c r="C26" i="69"/>
  <c r="D22" i="69" s="1"/>
  <c r="H24" i="6"/>
  <c r="R24" i="6" s="1"/>
  <c r="R11" i="1" s="1"/>
  <c r="H21" i="6"/>
  <c r="C26" i="68"/>
  <c r="D22" i="68" s="1"/>
  <c r="C44" i="68"/>
  <c r="D41" i="68" s="1"/>
  <c r="C44" i="69"/>
  <c r="D41" i="69" s="1"/>
  <c r="C26" i="11"/>
  <c r="D22" i="11" s="1"/>
  <c r="C25" i="11"/>
  <c r="C44" i="11"/>
  <c r="D41" i="11" s="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4"/>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19" i="9"/>
  <c r="AO7" i="1"/>
  <c r="D20" i="9"/>
  <c r="AO6" i="1"/>
  <c r="AO12" i="1"/>
  <c r="AO11" i="1"/>
  <c r="AO9" i="1"/>
  <c r="AO8"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R24" i="31"/>
  <c r="J12" i="80" s="1"/>
  <c r="D6" i="71"/>
  <c r="C5" i="71"/>
  <c r="D5" i="71" s="1"/>
  <c r="M24" i="43" s="1"/>
  <c r="C42" i="40"/>
  <c r="C43" i="40"/>
  <c r="E47" i="40"/>
  <c r="F47" i="40" s="1"/>
  <c r="E46" i="40"/>
  <c r="F46" i="40" s="1"/>
  <c r="I47" i="40"/>
  <c r="J47" i="40" s="1"/>
  <c r="K12" i="80" l="1"/>
  <c r="L12" i="80" s="1"/>
  <c r="D35" i="9"/>
  <c r="C34" i="9"/>
  <c r="S24" i="31"/>
  <c r="R27" i="31"/>
  <c r="R26"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D34" i="9"/>
  <c r="S26" i="31" l="1"/>
  <c r="J14" i="80"/>
  <c r="K14" i="80" s="1"/>
  <c r="L14" i="80" s="1"/>
  <c r="S27" i="31"/>
  <c r="J15" i="80"/>
  <c r="K15" i="80" s="1"/>
  <c r="L15" i="80" s="1"/>
  <c r="S25" i="31"/>
  <c r="J13" i="80"/>
  <c r="K13" i="80" s="1"/>
  <c r="L13" i="80" s="1"/>
  <c r="K16" i="80" l="1"/>
  <c r="S22" i="31"/>
  <c r="R22" i="31" s="1"/>
  <c r="K25" i="9" l="1"/>
  <c r="J16" i="80"/>
  <c r="B20" i="31"/>
  <c r="B21" i="31" s="1"/>
  <c r="G118" i="9" l="1"/>
  <c r="F118" i="9" s="1"/>
  <c r="I118" i="9"/>
  <c r="E118" i="9" l="1"/>
  <c r="E4" i="52" s="1"/>
  <c r="B48" i="72" s="1"/>
  <c r="G4" i="52"/>
  <c r="B52" i="72" s="1"/>
  <c r="F4" i="52"/>
  <c r="B51" i="72" s="1"/>
  <c r="F119" i="9"/>
  <c r="F5" i="52" s="1"/>
  <c r="B53" i="72" s="1"/>
  <c r="C105" i="9"/>
  <c r="H118" i="9"/>
  <c r="D14" i="74" s="1"/>
  <c r="H102" i="9"/>
  <c r="I4" i="52"/>
  <c r="G14" i="74" l="1"/>
  <c r="B6" i="74" s="1"/>
  <c r="D6" i="74" s="1"/>
  <c r="F14" i="74"/>
  <c r="B5" i="74"/>
  <c r="D5" i="74" s="1"/>
  <c r="E14" i="74"/>
  <c r="D118" i="9"/>
  <c r="D4" i="52" s="1"/>
  <c r="B47" i="72" s="1"/>
  <c r="D7" i="53"/>
  <c r="B21" i="72" s="1"/>
  <c r="H4" i="52"/>
  <c r="H101" i="9"/>
  <c r="H119" i="9"/>
  <c r="H5" i="52" s="1"/>
  <c r="C104" i="9"/>
  <c r="C5" i="74" l="1"/>
  <c r="D119" i="9"/>
  <c r="D5" i="52" s="1"/>
  <c r="B49" i="72" s="1"/>
  <c r="D45" i="9"/>
  <c r="D55" i="9" s="1"/>
  <c r="D5" i="53"/>
  <c r="M48" i="9"/>
  <c r="H107" i="9"/>
  <c r="D122" i="9" l="1"/>
  <c r="D13" i="53"/>
  <c r="M49" i="9"/>
  <c r="H108" i="9"/>
  <c r="D6" i="53"/>
  <c r="B22" i="72" s="1"/>
  <c r="B20" i="72"/>
  <c r="C85" i="9"/>
  <c r="C72" i="9"/>
  <c r="M53" i="9"/>
  <c r="D53" i="9"/>
  <c r="D52" i="9"/>
  <c r="C78" i="9"/>
  <c r="C73" i="9" s="1"/>
  <c r="C93" i="9"/>
  <c r="C86" i="9" s="1"/>
  <c r="C64" i="9"/>
  <c r="C63" i="9" s="1"/>
  <c r="C67" i="9" s="1"/>
  <c r="N12" i="80" l="1"/>
  <c r="M12" i="80" s="1"/>
  <c r="C79" i="9"/>
  <c r="D15" i="53"/>
  <c r="B31" i="72" s="1"/>
  <c r="C6" i="74"/>
  <c r="L64" i="9"/>
  <c r="M64" i="9" s="1"/>
  <c r="L63" i="9"/>
  <c r="M63" i="9" s="1"/>
  <c r="L67" i="9"/>
  <c r="M67" i="9" s="1"/>
  <c r="L66" i="9"/>
  <c r="M66" i="9" s="1"/>
  <c r="L68" i="9"/>
  <c r="M68" i="9" s="1"/>
  <c r="L65" i="9"/>
  <c r="M65" i="9" s="1"/>
  <c r="C95" i="9"/>
  <c r="C68" i="9"/>
  <c r="D54" i="9" s="1"/>
  <c r="D48" i="9" s="1"/>
  <c r="M52" i="9" s="1"/>
  <c r="D59" i="9"/>
  <c r="M55" i="9" s="1"/>
  <c r="B30" i="72"/>
  <c r="D14" i="53"/>
  <c r="B32" i="72" s="1"/>
  <c r="D123" i="9"/>
  <c r="D9" i="52" s="1"/>
  <c r="D8" i="52"/>
  <c r="N13" i="80" l="1"/>
  <c r="M13" i="80" s="1"/>
  <c r="C96" i="9"/>
  <c r="E96" i="9" s="1"/>
  <c r="E97" i="9" s="1"/>
  <c r="M69" i="9"/>
  <c r="N69" i="9" s="1"/>
  <c r="C80" i="9"/>
  <c r="E80" i="9" s="1"/>
  <c r="E81" i="9" s="1"/>
  <c r="N15" i="80" l="1"/>
  <c r="M15" i="80" s="1"/>
  <c r="N14" i="80"/>
  <c r="M14" i="80" s="1"/>
  <c r="C97" i="9"/>
  <c r="C81" i="9"/>
  <c r="N16" i="80" l="1"/>
  <c r="L25" i="9" s="1"/>
  <c r="D58" i="9"/>
  <c r="D56" i="9" s="1"/>
  <c r="M54" i="9" s="1"/>
  <c r="M16" i="80" l="1"/>
  <c r="B8" i="74"/>
  <c r="D8" i="74" s="1"/>
  <c r="N57" i="9"/>
  <c r="N58" i="9" s="1"/>
  <c r="P57" i="9" l="1"/>
  <c r="N59" i="9"/>
  <c r="N61" i="9" s="1"/>
  <c r="H112" i="9" s="1"/>
  <c r="D21" i="53" s="1"/>
  <c r="B39" i="72" s="1"/>
  <c r="H111" i="9" l="1"/>
  <c r="D19" i="53" s="1"/>
  <c r="C8" i="74"/>
  <c r="N60" i="9"/>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<sst xmlns="http://schemas.openxmlformats.org/spreadsheetml/2006/main" count="7907" uniqueCount="3476">
  <si>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</si>
  <si>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</si>
  <si>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</si>
  <si>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</si>
  <si>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</si>
  <si>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</si>
  <si>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</si>
  <si>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</si>
  <si>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</si>
  <si>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</si>
  <si>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</si>
  <si>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</si>
  <si>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</si>
  <si>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</si>
  <si>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</si>
  <si>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</si>
  <si>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</si>
  <si>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</si>
  <si>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</si>
  <si>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</si>
  <si>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</si>
  <si>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</si>
  <si>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</si>
  <si>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</si>
  <si>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</si>
  <si>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</si>
  <si>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</si>
  <si>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</si>
  <si>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</si>
  <si>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</si>
  <si>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</si>
  <si>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</si>
  <si>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</si>
  <si>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</si>
  <si>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</si>
  <si>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</si>
  <si>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</si>
  <si>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</si>
  <si>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</si>
  <si>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</si>
  <si>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</si>
  <si>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</si>
  <si>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</si>
  <si>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</si>
  <si>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</si>
  <si>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</si>
  <si>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</si>
  <si>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</si>
  <si>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</si>
  <si>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</si>
  <si>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</si>
  <si>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</si>
  <si>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</si>
  <si>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</si>
  <si>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</si>
  <si>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</si>
  <si>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</si>
  <si>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</si>
  <si>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</si>
  <si>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</si>
  <si>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</si>
  <si>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</si>
  <si>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</si>
  <si>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</si>
  <si>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</si>
  <si>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</si>
  <si>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</si>
  <si>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</si>
  <si>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</si>
  <si>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</si>
  <si>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</si>
  <si>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</si>
  <si>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</si>
  <si>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</si>
  <si>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</si>
  <si>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</si>
  <si>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</si>
  <si>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</si>
  <si>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</si>
  <si>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</si>
  <si>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</si>
  <si>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</si>
  <si>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</si>
  <si>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</si>
  <si>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</si>
  <si>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</si>
  <si>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</si>
  <si>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</si>
  <si>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</si>
  <si>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</si>
  <si>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</si>
  <si>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</si>
  <si>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</si>
  <si>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</si>
  <si>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</si>
  <si>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</si>
  <si>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</si>
  <si>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</si>
  <si>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</si>
  <si>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</si>
  <si>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</si>
  <si>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</si>
  <si>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</si>
  <si>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</si>
  <si>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</si>
  <si>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</si>
  <si>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</si>
  <si>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</si>
  <si>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</si>
  <si>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</si>
  <si>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</si>
  <si>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</si>
  <si>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</si>
  <si>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</si>
  <si>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</si>
  <si>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</si>
  <si>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</si>
  <si>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</si>
  <si>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</si>
  <si>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</si>
  <si>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</si>
  <si>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</si>
  <si>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</si>
  <si>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</si>
  <si>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</si>
  <si>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</si>
  <si>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</si>
  <si>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</si>
  <si>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</si>
  <si>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</si>
  <si>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</si>
  <si>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</si>
  <si>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</si>
  <si>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</si>
  <si>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</si>
  <si>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</si>
  <si>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</si>
  <si>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</si>
  <si>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</si>
  <si>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</si>
  <si>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</si>
  <si>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</si>
  <si>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</si>
  <si>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</si>
  <si>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</si>
  <si>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</si>
  <si>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</si>
  <si>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</si>
  <si>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</si>
  <si>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</si>
  <si>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</si>
  <si>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</si>
  <si>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</si>
  <si>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</si>
  <si>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</si>
  <si>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</si>
  <si>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</si>
  <si>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</si>
  <si>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</si>
  <si>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</si>
  <si>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</si>
  <si>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</si>
  <si>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</si>
  <si>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</si>
  <si>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</si>
  <si>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</si>
  <si>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</si>
  <si>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</si>
  <si>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</si>
  <si>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</si>
  <si>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</si>
  <si>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</si>
  <si>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</si>
  <si>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</si>
  <si>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</si>
  <si>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</si>
  <si>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</si>
  <si>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</si>
  <si>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</si>
  <si>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</si>
  <si>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</si>
  <si>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</si>
  <si>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</si>
  <si>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</si>
  <si>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</si>
  <si>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</si>
  <si>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</si>
  <si>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</si>
  <si>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</si>
  <si>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</si>
  <si>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</si>
  <si>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</si>
  <si>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</si>
  <si>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</si>
  <si>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</si>
  <si>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</si>
  <si>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</si>
  <si>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</si>
  <si>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</si>
  <si>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</si>
  <si>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</si>
  <si>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</si>
  <si>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</si>
  <si>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</si>
  <si>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</si>
  <si>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</si>
  <si>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</si>
  <si>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</si>
  <si>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</si>
  <si>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</si>
  <si>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</si>
  <si>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</si>
  <si>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</si>
  <si>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</si>
  <si>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</si>
  <si>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</si>
  <si>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</si>
  <si>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</si>
  <si>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</si>
  <si>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</si>
  <si>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</si>
  <si>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</si>
  <si>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</si>
  <si>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</si>
  <si>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</si>
  <si>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</si>
  <si>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</si>
  <si>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</si>
  <si>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</si>
  <si>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</si>
  <si>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</si>
  <si>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</si>
  <si>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</si>
  <si>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</si>
  <si>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</si>
  <si>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</si>
  <si>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</si>
  <si>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</si>
  <si>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</si>
  <si>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</si>
  <si>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</si>
  <si>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</si>
  <si>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</si>
  <si>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</si>
  <si>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</si>
  <si>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</si>
  <si>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</si>
  <si>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</si>
  <si>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</si>
  <si>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</si>
  <si>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</si>
  <si>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</si>
  <si>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</si>
  <si>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</si>
  <si>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</si>
  <si>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</si>
  <si>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</si>
  <si>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</si>
  <si>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</si>
  <si>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</si>
  <si>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</si>
  <si>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</si>
  <si>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</si>
  <si>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</si>
  <si>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</si>
  <si>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</si>
  <si>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</si>
  <si>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</si>
  <si>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</si>
  <si>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</si>
  <si>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</si>
  <si>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</si>
  <si>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</si>
  <si>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</si>
  <si>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</si>
  <si>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</si>
  <si>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</si>
  <si>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</si>
  <si>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</si>
  <si>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</si>
  <si>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</si>
  <si>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</si>
  <si>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</si>
  <si>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</si>
  <si>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</si>
  <si>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</si>
  <si>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</si>
  <si>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</si>
  <si>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</si>
  <si>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</si>
  <si>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</si>
  <si>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</si>
  <si>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</si>
  <si>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</si>
  <si>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</si>
  <si>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</si>
  <si>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</si>
  <si>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</si>
  <si>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</si>
  <si>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</si>
  <si>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</si>
  <si>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</si>
  <si>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</si>
  <si>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</si>
  <si>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</si>
  <si>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</si>
  <si>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</si>
  <si>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</si>
  <si>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</si>
  <si>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</si>
  <si>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</si>
  <si>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</si>
  <si>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</si>
  <si>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</si>
  <si>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</si>
  <si>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</si>
  <si>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</si>
  <si>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</si>
  <si>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</si>
  <si>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</si>
  <si>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</si>
  <si>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</si>
  <si>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</si>
  <si>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</si>
  <si>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</si>
  <si>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</si>
  <si>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</si>
  <si>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</si>
  <si>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</si>
  <si>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</si>
  <si>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</si>
  <si>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</si>
  <si>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</si>
  <si>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</si>
  <si>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</si>
  <si>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</si>
  <si>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</si>
  <si>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</si>
  <si>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</si>
  <si>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</si>
  <si>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</si>
  <si>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</si>
  <si>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</si>
  <si>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</si>
  <si>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</si>
  <si>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</si>
  <si>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</si>
  <si>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</si>
  <si>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</si>
  <si>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</si>
  <si>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</si>
  <si>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</si>
  <si>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</si>
  <si>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</si>
  <si>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</si>
  <si>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</si>
  <si>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</si>
  <si>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</si>
  <si>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</si>
  <si>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</si>
  <si>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</si>
  <si>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</si>
  <si>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</si>
  <si>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</si>
  <si>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</si>
  <si>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</si>
  <si>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</si>
  <si>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</si>
  <si>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</si>
  <si>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</si>
  <si>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</si>
  <si>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</si>
  <si>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</si>
  <si>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</si>
  <si>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</si>
  <si>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</si>
  <si>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</si>
  <si>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</si>
  <si>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</si>
  <si>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</si>
  <si>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</si>
  <si>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</si>
  <si>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</si>
  <si>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</si>
  <si>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</si>
  <si>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</si>
  <si>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</si>
  <si>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</si>
  <si>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</si>
  <si>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</si>
  <si>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</si>
  <si>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</si>
  <si>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</si>
  <si>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</si>
  <si>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</si>
  <si>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</si>
  <si>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</si>
  <si>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</si>
  <si>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</si>
  <si>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</si>
  <si>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</si>
  <si>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</si>
  <si>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</si>
  <si>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</si>
  <si>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</si>
  <si>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</si>
  <si>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</si>
  <si>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</si>
  <si>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</si>
  <si>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</si>
  <si>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</si>
  <si>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</si>
  <si>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</si>
  <si>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</si>
  <si>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</si>
  <si>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</si>
  <si>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</si>
  <si>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</si>
  <si>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</si>
  <si>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</si>
  <si>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</si>
  <si>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</si>
  <si>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</si>
  <si>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</si>
  <si>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</si>
  <si>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</si>
  <si>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</si>
  <si>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</si>
  <si>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</si>
  <si>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</si>
  <si>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</si>
  <si>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</si>
  <si>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</si>
  <si>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</si>
  <si>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</si>
  <si>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</si>
  <si>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</si>
  <si>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</si>
  <si>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</si>
  <si>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</si>
  <si>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</si>
  <si>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</si>
  <si>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</si>
  <si>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</si>
  <si>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</si>
  <si>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</si>
  <si>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</si>
  <si>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</si>
  <si>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</si>
  <si>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</si>
  <si>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</si>
  <si>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</si>
  <si>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</si>
  <si>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</si>
  <si>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</si>
  <si>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</si>
  <si>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</si>
  <si>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</si>
  <si>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</si>
  <si>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</si>
  <si>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</si>
  <si>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</si>
  <si>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</si>
  <si>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</si>
  <si>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</si>
  <si>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</si>
  <si>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</si>
  <si>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</si>
  <si>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</si>
  <si>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</si>
  <si>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</si>
  <si>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</si>
  <si>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</si>
  <si>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</si>
  <si>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</si>
  <si>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</si>
  <si>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</si>
  <si>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</si>
  <si>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</si>
  <si>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</si>
  <si>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</si>
  <si>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</si>
  <si>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</si>
  <si>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</si>
  <si>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</si>
  <si>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</si>
  <si>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</si>
  <si>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</si>
  <si>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</si>
  <si>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</si>
  <si>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</si>
  <si>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</si>
  <si>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</si>
  <si>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</si>
  <si>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</si>
  <si>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</si>
  <si>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</si>
  <si>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</si>
  <si>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</si>
  <si>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</si>
  <si>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</si>
  <si>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</si>
  <si>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</si>
  <si>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</si>
  <si>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</si>
  <si>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</si>
  <si>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</si>
  <si>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</si>
  <si>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</si>
  <si>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</si>
  <si>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</si>
  <si>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</si>
  <si>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</si>
  <si>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</si>
  <si>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</si>
  <si>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</si>
  <si>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</si>
  <si>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</si>
  <si>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</si>
  <si>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</si>
  <si>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</si>
  <si>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</si>
  <si>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</si>
  <si>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</si>
  <si>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</si>
  <si>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</si>
  <si>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</si>
  <si>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</si>
  <si>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</si>
  <si>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</si>
  <si>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</si>
  <si>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</si>
  <si>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</si>
  <si>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</si>
  <si>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</si>
  <si>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</si>
  <si>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</si>
  <si>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</si>
  <si>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</si>
  <si>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</si>
  <si>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</si>
  <si>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</si>
  <si>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</si>
  <si>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</si>
  <si>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</si>
  <si>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</si>
  <si>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</si>
  <si>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</si>
  <si>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</si>
  <si>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</si>
  <si>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</si>
  <si>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</si>
  <si>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</si>
  <si>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</si>
  <si>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</si>
  <si>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</si>
  <si>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</si>
  <si>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</si>
  <si>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</si>
  <si>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</si>
  <si>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</si>
  <si>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</si>
  <si>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</si>
  <si>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</si>
  <si>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</si>
  <si>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</si>
  <si>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</si>
  <si>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</si>
  <si>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</si>
  <si>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</si>
  <si>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</si>
  <si>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</si>
  <si>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</si>
  <si>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</si>
  <si>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</si>
  <si>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</si>
  <si>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</si>
  <si>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</si>
  <si>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</si>
  <si>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</si>
  <si>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</si>
  <si>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</si>
  <si>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</si>
  <si>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</si>
  <si>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</si>
  <si>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</si>
  <si>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</si>
  <si>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</si>
  <si>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</si>
  <si>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</si>
  <si>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</si>
  <si>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</si>
  <si>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</si>
  <si>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</si>
  <si>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</si>
  <si>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</si>
  <si>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</si>
  <si>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</si>
  <si>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</si>
  <si>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</si>
  <si>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</si>
  <si>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</si>
  <si>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</si>
  <si>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</si>
  <si>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</si>
  <si>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</si>
  <si>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</si>
  <si>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</si>
  <si>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</si>
  <si>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</si>
  <si>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</si>
  <si>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</si>
  <si>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</si>
  <si>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</si>
  <si>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</si>
  <si>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</si>
  <si>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</si>
  <si>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</si>
  <si>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</si>
  <si>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</si>
  <si>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</si>
  <si>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</si>
  <si>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</si>
  <si>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</si>
  <si>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</si>
  <si>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</si>
  <si>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</si>
  <si>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</si>
  <si>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</si>
  <si>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</si>
  <si>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</si>
  <si>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</si>
  <si>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</si>
  <si>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</si>
  <si>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</si>
  <si>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</si>
  <si>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</si>
  <si>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</si>
  <si>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</si>
  <si>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</si>
  <si>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</si>
  <si>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</si>
  <si>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</si>
  <si>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</si>
  <si>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</si>
  <si>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</si>
  <si>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</si>
  <si>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</si>
  <si>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</si>
  <si>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</si>
  <si>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</si>
  <si>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</si>
  <si>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</si>
  <si>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</si>
  <si>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</si>
  <si>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</si>
  <si>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</si>
  <si>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</si>
  <si>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</si>
  <si>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</si>
  <si>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</si>
  <si>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</si>
  <si>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</si>
  <si>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</si>
  <si>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</si>
  <si>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</si>
  <si>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</si>
  <si>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</si>
  <si>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</si>
  <si>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</si>
  <si>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</si>
  <si>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</si>
  <si>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</si>
  <si>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</si>
  <si>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</si>
  <si>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</si>
  <si>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</si>
  <si>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</si>
  <si>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</si>
  <si>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</si>
  <si>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</si>
  <si>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</si>
  <si>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</si>
  <si>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</si>
  <si>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</si>
  <si>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</si>
  <si>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</si>
  <si>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</si>
  <si>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</si>
  <si>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</si>
  <si>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</si>
  <si>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</si>
  <si>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</si>
  <si>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</si>
  <si>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</si>
  <si>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</si>
  <si>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</si>
  <si>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</si>
  <si>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</si>
  <si>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</si>
  <si>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</si>
  <si>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</si>
  <si>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</si>
  <si>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</si>
  <si>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</si>
  <si>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</si>
  <si>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</si>
  <si>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</si>
  <si>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</si>
  <si>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</si>
  <si>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</si>
  <si>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</si>
  <si>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</si>
  <si>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</si>
  <si>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</si>
  <si>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</si>
  <si>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</si>
  <si>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</si>
  <si>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</si>
  <si>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</si>
  <si>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</si>
  <si>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</si>
  <si>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</si>
  <si>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</si>
  <si>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</si>
  <si>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</si>
  <si>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</si>
  <si>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</si>
  <si>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</si>
  <si>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</si>
  <si>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</si>
  <si>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</si>
  <si>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</si>
  <si>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</si>
  <si>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</si>
  <si>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</si>
  <si>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</si>
  <si>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</si>
  <si>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</si>
  <si>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</si>
  <si>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</si>
  <si>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</si>
  <si>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</si>
  <si>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</si>
  <si>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</si>
  <si>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</si>
  <si>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</si>
  <si>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</si>
  <si>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</si>
  <si>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</si>
  <si>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</si>
  <si>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</si>
  <si>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</si>
  <si>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</si>
  <si>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</si>
  <si>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</si>
  <si>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</si>
  <si>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</si>
  <si>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</si>
  <si>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</si>
  <si>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</si>
  <si>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</si>
  <si>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</si>
  <si>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</si>
  <si>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</si>
  <si>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</si>
  <si>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</si>
  <si>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</si>
  <si>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</si>
  <si>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</si>
  <si>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</si>
  <si>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</si>
  <si>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</si>
  <si>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</si>
  <si>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</si>
  <si>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</si>
  <si>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</si>
  <si>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</si>
  <si>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</si>
  <si>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</si>
  <si>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</si>
  <si>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</si>
  <si>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</si>
  <si>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</si>
  <si>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</si>
  <si>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</si>
  <si>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</si>
  <si>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</si>
  <si>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</si>
  <si>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</si>
  <si>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</si>
  <si>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</si>
  <si>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</si>
  <si>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</si>
  <si>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</si>
  <si>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</si>
  <si>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</si>
  <si>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</si>
  <si>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</si>
  <si>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</si>
  <si>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</si>
  <si>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</si>
  <si>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</si>
  <si>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</si>
  <si>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</si>
  <si>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</si>
  <si>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</si>
  <si>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</si>
  <si>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</si>
  <si>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</si>
  <si>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</si>
  <si>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</si>
  <si>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</si>
  <si>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</si>
  <si>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</si>
  <si>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</si>
  <si>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</si>
  <si>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</si>
  <si>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</si>
  <si>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</si>
  <si>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</si>
  <si>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</si>
  <si>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</si>
  <si>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</si>
  <si>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</si>
  <si>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</si>
  <si>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</si>
  <si>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</si>
  <si>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</si>
  <si>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</si>
  <si>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</si>
  <si>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</si>
  <si>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</si>
  <si>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</si>
  <si>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</si>
  <si>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</si>
  <si>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</si>
  <si>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</si>
  <si>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</si>
  <si>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</si>
  <si>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</si>
  <si>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</si>
  <si>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</si>
  <si>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</si>
  <si>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</si>
  <si>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</si>
  <si>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</si>
  <si>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</si>
  <si>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</si>
  <si>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</si>
  <si>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</si>
  <si>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</si>
  <si>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</si>
  <si>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</si>
  <si>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</si>
  <si>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</si>
  <si>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</si>
  <si>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</si>
  <si>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</si>
  <si>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</si>
  <si>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</si>
  <si>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</si>
  <si>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</si>
  <si>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</si>
  <si>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</si>
  <si>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</si>
  <si>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</si>
  <si>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</si>
  <si>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</si>
  <si>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</si>
  <si>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</si>
  <si>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</si>
  <si>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</si>
  <si>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</si>
  <si>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</si>
  <si>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</si>
  <si>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</si>
  <si>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</si>
  <si>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</si>
  <si>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</si>
  <si>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</si>
  <si>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</si>
  <si>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</si>
  <si>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</si>
  <si>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</si>
  <si>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</si>
  <si>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</si>
  <si>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</si>
  <si>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</si>
  <si>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</si>
  <si>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</si>
  <si>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</si>
  <si>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</si>
  <si>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</si>
  <si>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</si>
  <si>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</si>
  <si>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</si>
  <si>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</si>
  <si>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</si>
  <si>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</si>
  <si>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</si>
  <si>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</si>
  <si>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</si>
  <si>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</si>
  <si>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</si>
  <si>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</si>
  <si>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</si>
  <si>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</si>
  <si>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</si>
  <si>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</si>
  <si>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</si>
  <si>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</si>
  <si>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</si>
  <si>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</si>
  <si>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</si>
  <si>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</si>
  <si>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</si>
  <si>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</si>
  <si>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</si>
  <si>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</si>
  <si>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</si>
  <si>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</si>
  <si>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</si>
  <si>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</si>
  <si>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</si>
  <si>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</si>
  <si>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</si>
  <si>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</si>
  <si>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</si>
  <si>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</si>
  <si>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</si>
  <si>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</si>
  <si>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</si>
  <si>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</si>
  <si>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</si>
  <si>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</si>
  <si>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</si>
  <si>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</si>
  <si>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</si>
  <si>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</si>
  <si>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</si>
  <si>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</si>
  <si>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</si>
  <si>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</si>
  <si>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</si>
  <si>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</si>
  <si>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</si>
  <si>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</si>
  <si>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</si>
  <si>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</si>
  <si>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</si>
  <si>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</si>
  <si>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</si>
  <si>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</si>
  <si>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</si>
  <si>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</si>
  <si>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</si>
  <si>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</si>
  <si>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</si>
  <si>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</si>
  <si>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</si>
  <si>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</si>
  <si>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</si>
  <si>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</si>
  <si>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</si>
  <si>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</si>
  <si>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</si>
  <si>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</si>
  <si>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</si>
  <si>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</si>
  <si>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</si>
  <si>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</si>
  <si>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</si>
  <si>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</si>
  <si>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</si>
  <si>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</si>
  <si>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</si>
  <si>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</si>
  <si>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</si>
  <si>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</si>
  <si>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</si>
  <si>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</si>
  <si>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</si>
  <si>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</si>
  <si>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</si>
  <si>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</si>
  <si>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</si>
  <si>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</si>
  <si>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</si>
  <si>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</si>
  <si>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</si>
  <si>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</si>
  <si>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</si>
  <si>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</si>
  <si>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</si>
  <si>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</si>
  <si>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</si>
  <si>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</si>
  <si>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</si>
  <si>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</si>
  <si>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</si>
  <si>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</si>
  <si>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</si>
  <si>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</si>
  <si>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</si>
  <si>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</si>
  <si>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</si>
  <si>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</si>
  <si>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</si>
  <si>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</si>
  <si>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</si>
  <si>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</si>
  <si>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</si>
  <si>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</si>
  <si>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</si>
  <si>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</si>
  <si>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</si>
  <si>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</si>
  <si>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</si>
  <si>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</si>
  <si>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</si>
  <si>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</si>
  <si>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</si>
  <si>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</si>
  <si>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</si>
  <si>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</si>
  <si>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</si>
  <si>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</si>
  <si>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</si>
  <si>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</si>
  <si>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</si>
  <si>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</si>
  <si>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</si>
  <si>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</si>
  <si>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</si>
  <si>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</si>
  <si>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</si>
  <si>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</si>
  <si>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</si>
  <si>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</si>
  <si>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</si>
  <si>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</si>
  <si>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</si>
  <si>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</si>
  <si>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</si>
  <si>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</si>
  <si>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</si>
  <si>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</si>
  <si>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</si>
  <si>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</si>
  <si>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</si>
  <si>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</si>
  <si>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</si>
  <si>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</si>
  <si>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</si>
  <si>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</si>
  <si>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</si>
  <si>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</si>
  <si>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</si>
  <si>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</si>
  <si>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</si>
  <si>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</si>
  <si>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</si>
  <si>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</si>
  <si>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</si>
  <si>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</si>
  <si>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</si>
  <si>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</si>
  <si>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</si>
  <si>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</si>
  <si>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</si>
  <si>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</si>
  <si>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</si>
  <si>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</si>
  <si>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</si>
  <si>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</si>
  <si>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</si>
  <si>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</si>
  <si>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</si>
  <si>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</si>
  <si>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</si>
  <si>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</si>
  <si>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</si>
  <si>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</si>
  <si>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</si>
  <si>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</si>
  <si>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</si>
  <si>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</si>
  <si>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</si>
  <si>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</si>
  <si>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</si>
  <si>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</si>
  <si>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</si>
  <si>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</si>
  <si>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</si>
  <si>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</si>
  <si>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</si>
  <si>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</si>
  <si>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</si>
  <si>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</si>
  <si>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</si>
  <si>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</si>
  <si>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</si>
  <si>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</si>
  <si>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</si>
  <si>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</si>
  <si>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</si>
  <si>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</si>
  <si>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</si>
  <si>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</si>
  <si>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</si>
  <si>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</si>
  <si>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</si>
  <si>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</si>
  <si>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</si>
  <si>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</si>
  <si>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</si>
  <si>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</si>
  <si>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</si>
  <si>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</si>
  <si>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</si>
  <si>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</si>
  <si>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</si>
  <si>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</si>
  <si>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</si>
  <si>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</si>
  <si>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</si>
  <si>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</si>
  <si>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</si>
  <si>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</si>
  <si>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</si>
  <si>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</si>
  <si>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</si>
  <si>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</si>
  <si>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</si>
  <si>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</si>
  <si>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</si>
  <si>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</si>
  <si>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</si>
  <si>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</si>
  <si>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</si>
  <si>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</si>
  <si>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</si>
  <si>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</si>
  <si>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</si>
  <si>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</si>
  <si>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</si>
  <si>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</si>
  <si>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</si>
  <si>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</si>
  <si>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</si>
  <si>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</si>
  <si>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</si>
  <si>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</si>
  <si>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</si>
  <si>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</si>
  <si>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</si>
  <si>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</si>
  <si>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</si>
  <si>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</si>
  <si>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</si>
  <si>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</si>
  <si>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</si>
  <si>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</si>
  <si>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</si>
  <si>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</si>
  <si>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</si>
  <si>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</si>
  <si>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</si>
  <si>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</si>
  <si>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</si>
  <si>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</si>
  <si>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</si>
  <si>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</si>
  <si>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</si>
  <si>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</si>
  <si>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</si>
  <si>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</si>
  <si>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</si>
  <si>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</si>
  <si>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</si>
  <si>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</si>
  <si>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</si>
  <si>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</si>
  <si>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</si>
  <si>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</si>
  <si>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</si>
  <si>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</si>
  <si>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</si>
  <si>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</si>
  <si>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</si>
  <si>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</si>
  <si>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</si>
  <si>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</si>
  <si>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</si>
  <si>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</si>
  <si>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</si>
  <si>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</si>
  <si>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</si>
  <si>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</si>
  <si>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</si>
  <si>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</si>
  <si>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</si>
  <si>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</si>
  <si>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</si>
  <si>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</si>
  <si>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</si>
  <si>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</si>
  <si>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</si>
  <si>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</si>
  <si>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</si>
  <si>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</si>
  <si>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</si>
  <si>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</si>
  <si>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</si>
  <si>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</si>
  <si>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</si>
  <si>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</si>
  <si>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</si>
  <si>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</si>
  <si>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</si>
  <si>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</si>
  <si>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</si>
  <si>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</si>
  <si>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</si>
  <si>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</si>
  <si>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</si>
  <si>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</si>
  <si>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</si>
  <si>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</si>
  <si>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</si>
  <si>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</si>
  <si>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</si>
  <si>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</si>
  <si>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</si>
  <si>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</si>
  <si>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</si>
  <si>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</si>
  <si>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</si>
  <si>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</si>
  <si>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</si>
  <si>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</si>
  <si>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</si>
  <si>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</si>
  <si>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</si>
  <si>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</si>
  <si>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</si>
  <si>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</si>
  <si>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</si>
  <si>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</si>
  <si>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</si>
  <si>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</si>
  <si>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</si>
  <si>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</si>
  <si>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</si>
  <si>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</si>
  <si>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</si>
  <si>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</si>
  <si>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</si>
  <si>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</si>
  <si>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</si>
  <si>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</si>
  <si>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</si>
  <si>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</si>
  <si>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</si>
  <si>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</si>
  <si>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</si>
  <si>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</si>
  <si>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</si>
  <si>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</si>
  <si>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</si>
  <si>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</si>
  <si>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</si>
  <si>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</si>
  <si>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</si>
  <si>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</si>
  <si>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</si>
  <si>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</si>
  <si>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</si>
  <si>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</si>
  <si>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</si>
  <si>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</si>
  <si>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</si>
  <si>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</si>
  <si>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</si>
  <si>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</si>
  <si>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</si>
  <si>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</si>
  <si>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</si>
  <si>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</si>
  <si>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</si>
  <si>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</si>
  <si>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</si>
  <si>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</si>
  <si>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</si>
  <si>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</si>
  <si>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</si>
  <si>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</si>
  <si>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</si>
  <si>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</si>
  <si>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</si>
  <si>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</si>
  <si>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</si>
  <si>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</si>
  <si>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</si>
  <si>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</si>
  <si>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</si>
  <si>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</si>
  <si>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</si>
  <si>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</si>
  <si>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</si>
  <si>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</si>
  <si>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</si>
  <si>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</si>
  <si>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</si>
  <si>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</si>
  <si>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</si>
  <si>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</si>
  <si>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</si>
  <si>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</si>
  <si>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</si>
  <si>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</si>
  <si>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</si>
  <si>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</si>
  <si>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</si>
  <si>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</si>
  <si>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</si>
  <si>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</si>
  <si>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</si>
  <si>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</si>
  <si>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</si>
  <si>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</si>
  <si>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</si>
  <si>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</si>
  <si>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</si>
  <si>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</si>
  <si>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</si>
  <si>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</si>
  <si>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</si>
  <si>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</si>
  <si>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</si>
  <si>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</si>
  <si>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</si>
  <si>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</si>
  <si>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</si>
  <si>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</si>
  <si>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</si>
  <si>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</si>
  <si>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</si>
  <si>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</si>
  <si>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</si>
  <si>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</si>
  <si>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</si>
  <si>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</si>
  <si>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</si>
  <si>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</si>
  <si>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</si>
  <si>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</si>
  <si>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</si>
  <si>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</si>
  <si>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</si>
  <si>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</si>
  <si>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</si>
  <si>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</si>
  <si>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</si>
  <si>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</si>
  <si>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</si>
  <si>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</si>
  <si>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</si>
  <si>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</si>
  <si>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</si>
  <si>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</si>
  <si>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</si>
  <si>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</si>
  <si>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</si>
  <si>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</si>
  <si>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</si>
  <si>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</si>
  <si>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</si>
  <si>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</si>
  <si>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</si>
  <si>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</si>
  <si>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</si>
  <si>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</si>
  <si>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</si>
  <si>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</si>
  <si>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</si>
  <si>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</si>
  <si>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</si>
  <si>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</si>
  <si>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</si>
  <si>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</si>
  <si>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</si>
  <si>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</si>
  <si>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</si>
  <si>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</si>
  <si>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</si>
  <si>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</si>
  <si>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</si>
  <si>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</si>
  <si>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</si>
  <si>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</si>
  <si>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</si>
  <si>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</si>
  <si>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</si>
  <si>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</si>
  <si>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</si>
  <si>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</si>
  <si>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</si>
  <si>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</si>
  <si>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</si>
  <si>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</si>
  <si>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</si>
  <si>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</si>
  <si>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</si>
  <si>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</si>
  <si>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</si>
  <si>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</si>
  <si>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</si>
  <si>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</si>
  <si>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</si>
  <si>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</si>
  <si>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</si>
  <si>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</si>
  <si>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</si>
  <si>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</si>
  <si>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</si>
  <si>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</si>
  <si>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</si>
  <si>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</si>
  <si>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</si>
  <si>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</si>
  <si>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</si>
  <si>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</si>
  <si>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</si>
  <si>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</si>
  <si>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</si>
  <si>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</si>
  <si>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</si>
  <si>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</si>
  <si>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</si>
  <si>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</si>
  <si>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</si>
  <si>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</si>
  <si>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</si>
  <si>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</si>
  <si>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</si>
  <si>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</si>
  <si>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</si>
  <si>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</si>
  <si>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</si>
  <si>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</si>
  <si>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</si>
  <si>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</si>
  <si>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</si>
  <si>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</si>
  <si>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</si>
  <si>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</si>
  <si>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</si>
  <si>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</si>
  <si>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</si>
  <si>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</si>
  <si>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</si>
  <si>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</si>
  <si>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</si>
  <si>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</si>
  <si>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</si>
  <si>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</si>
  <si>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</si>
  <si>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</si>
  <si>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</si>
  <si>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</si>
  <si>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</si>
  <si>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</si>
  <si>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</si>
  <si>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</si>
  <si>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</si>
  <si>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</si>
  <si>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</si>
  <si>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</si>
  <si>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</si>
  <si>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</si>
  <si>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</si>
  <si>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</si>
  <si>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</si>
  <si>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</si>
  <si>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</si>
  <si>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</si>
  <si>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</si>
  <si>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</si>
  <si>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</si>
  <si>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</si>
  <si>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</si>
  <si>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</si>
  <si>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</si>
  <si>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</si>
  <si>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</si>
  <si>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</si>
  <si>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</si>
  <si>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</si>
  <si>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</si>
  <si>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</si>
  <si>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</si>
  <si>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</si>
  <si>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</si>
  <si>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</si>
  <si>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</si>
  <si>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</si>
  <si>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</si>
  <si>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</si>
  <si>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</si>
  <si>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</si>
  <si>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</si>
  <si>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</si>
  <si>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</si>
  <si>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</si>
  <si>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</si>
  <si>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</si>
  <si>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</si>
  <si>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</si>
  <si>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</si>
  <si>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</si>
  <si>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</si>
  <si>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</si>
  <si>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</si>
  <si>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</si>
  <si>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</si>
  <si>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</si>
  <si>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</si>
  <si>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</si>
  <si>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</si>
  <si>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</si>
  <si>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</si>
  <si>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</si>
  <si>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</si>
  <si>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</si>
  <si>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</si>
  <si>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</si>
  <si>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</si>
  <si>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</si>
  <si>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</si>
  <si>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</si>
  <si>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</si>
  <si>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</si>
  <si>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</si>
  <si>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</si>
  <si>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</si>
  <si>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</si>
  <si>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</si>
  <si>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</si>
  <si>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</si>
  <si>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</si>
  <si>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</si>
  <si>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</si>
  <si>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</si>
  <si>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</si>
  <si>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</si>
  <si>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</si>
  <si>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</si>
  <si>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</si>
  <si>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</si>
  <si>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</si>
  <si>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</si>
  <si>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</si>
  <si>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</si>
  <si>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</si>
  <si>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</si>
  <si>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</si>
  <si>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</si>
  <si>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</si>
  <si>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</si>
  <si>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</si>
  <si>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</si>
  <si>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</si>
  <si>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</si>
  <si>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</si>
  <si>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</si>
  <si>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</si>
  <si>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</si>
  <si>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</si>
  <si>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</si>
  <si>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</si>
  <si>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</si>
  <si>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</si>
  <si>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</si>
  <si>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</si>
  <si>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</si>
  <si>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</si>
  <si>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</si>
  <si>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</si>
  <si>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</si>
  <si>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</si>
  <si>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</si>
  <si>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</si>
  <si>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</si>
  <si>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</si>
  <si>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</si>
  <si>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</si>
  <si>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</si>
  <si>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</si>
  <si>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</si>
  <si>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</si>
  <si>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</si>
  <si>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</si>
  <si>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</si>
  <si>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</si>
  <si>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</si>
  <si>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</si>
  <si>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</si>
  <si>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</si>
  <si>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</si>
  <si>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</si>
  <si>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</si>
  <si>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</si>
  <si>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</si>
  <si>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</si>
  <si>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</si>
  <si>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</si>
  <si>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</si>
  <si>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</si>
  <si>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</si>
  <si>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</si>
  <si>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</si>
  <si>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</si>
  <si>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</si>
  <si>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</si>
  <si>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</si>
  <si>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</si>
  <si>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</si>
  <si>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</si>
  <si>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</si>
  <si>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</si>
  <si>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</si>
  <si>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</si>
  <si>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</si>
  <si>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</si>
  <si>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</si>
  <si>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</si>
  <si>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</si>
  <si>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</si>
  <si>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</si>
  <si>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</si>
  <si>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</si>
  <si>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</si>
  <si>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</si>
  <si>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</si>
  <si>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</si>
  <si>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</si>
  <si>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</si>
  <si>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</si>
  <si>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</si>
  <si>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</si>
  <si>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</si>
  <si>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</si>
  <si>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</si>
  <si>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</si>
  <si>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</si>
  <si>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</si>
  <si>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</si>
  <si>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</si>
  <si>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</si>
  <si>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</si>
  <si>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</si>
  <si>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</si>
  <si>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</si>
  <si>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</si>
  <si>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</si>
  <si>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</si>
  <si>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</si>
  <si>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</si>
  <si>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</si>
  <si>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</si>
  <si>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</si>
  <si>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</si>
  <si>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</si>
  <si>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</si>
  <si>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</si>
  <si>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</si>
  <si>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</si>
  <si>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</si>
  <si>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</si>
  <si>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</si>
  <si>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</si>
  <si>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</si>
  <si>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</si>
  <si>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</si>
  <si>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</si>
  <si>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</si>
  <si>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</si>
  <si>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</si>
  <si>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</si>
  <si>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</si>
  <si>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</si>
  <si>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</si>
  <si>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</si>
  <si>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</si>
  <si>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</si>
  <si>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</si>
  <si>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</si>
  <si>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</si>
  <si>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</si>
  <si>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</si>
  <si>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</si>
  <si>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</si>
  <si>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</si>
  <si>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</si>
  <si>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</si>
  <si>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</si>
  <si>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</si>
  <si>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</si>
  <si>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</si>
  <si>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</si>
  <si>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</si>
  <si>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</si>
  <si>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</si>
  <si>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</si>
  <si>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</si>
  <si>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</si>
  <si>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</si>
  <si>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</si>
  <si>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</si>
  <si>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</si>
  <si>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</si>
  <si>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</si>
  <si>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</si>
  <si>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</si>
  <si>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</si>
  <si>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</si>
  <si>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</si>
  <si>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</si>
  <si>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</si>
  <si>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</si>
  <si>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</si>
  <si>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</si>
  <si>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</si>
  <si>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</si>
  <si>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</si>
  <si>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</si>
  <si>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</si>
  <si>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</si>
  <si>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</si>
  <si>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</si>
  <si>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</si>
  <si>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</si>
  <si>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</si>
  <si>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</si>
  <si>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</si>
  <si>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</si>
  <si>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</si>
  <si>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</si>
  <si>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</si>
  <si>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</si>
  <si>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</si>
  <si>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</si>
  <si>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</si>
  <si>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</si>
  <si>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</si>
  <si>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</si>
  <si>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</si>
  <si>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</si>
  <si>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</si>
  <si>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</si>
  <si>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</si>
  <si>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</si>
  <si>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</si>
  <si>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</si>
  <si>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</si>
  <si>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</si>
  <si>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</si>
  <si>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</si>
  <si>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</si>
  <si>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</si>
  <si>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</si>
  <si>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</si>
  <si>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</si>
  <si>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</si>
  <si>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</si>
  <si>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</si>
  <si>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</si>
  <si>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</si>
  <si>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</si>
  <si>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</si>
  <si>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</si>
  <si>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</si>
  <si>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</si>
  <si>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</si>
  <si>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</si>
  <si>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</si>
  <si>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</si>
  <si>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</si>
  <si>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</si>
  <si>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</si>
  <si>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</si>
  <si>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</si>
  <si>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</si>
  <si>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</si>
  <si>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</si>
  <si>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</si>
  <si>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</si>
  <si>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</si>
  <si>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</si>
  <si>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</si>
  <si>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</si>
  <si>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</si>
  <si>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</si>
  <si>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</si>
  <si>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</si>
  <si>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</si>
  <si>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</si>
  <si>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</si>
  <si>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</si>
  <si>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</si>
  <si>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</si>
  <si>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</si>
  <si>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</si>
  <si>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</si>
  <si>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</si>
  <si>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</si>
  <si>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</si>
  <si>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</si>
  <si>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</si>
  <si>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</si>
  <si>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</si>
  <si>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</si>
  <si>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</si>
  <si>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</si>
  <si>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</si>
  <si>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</si>
  <si>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</si>
  <si>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</si>
  <si>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</si>
  <si>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</si>
  <si>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</si>
  <si>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</si>
  <si>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</si>
  <si>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</si>
  <si>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</si>
  <si>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</si>
  <si>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</si>
  <si>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</si>
  <si>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</si>
  <si>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</si>
  <si>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</si>
  <si>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</si>
  <si>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</si>
  <si>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</si>
  <si>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</si>
  <si>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</si>
  <si>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</si>
  <si>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</si>
  <si>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</si>
  <si>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</si>
  <si>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</si>
  <si>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</si>
  <si>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</si>
  <si>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</si>
  <si>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</si>
  <si>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</si>
  <si>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</si>
  <si>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</si>
  <si>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</si>
  <si>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</si>
  <si>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</si>
  <si>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</si>
  <si>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</si>
  <si>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</si>
  <si>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</si>
  <si>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</si>
  <si>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</si>
  <si>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</si>
  <si>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</si>
  <si>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</si>
  <si>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</si>
  <si>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</si>
  <si>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</si>
  <si>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</si>
  <si>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</si>
  <si>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</si>
  <si>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</si>
  <si>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</si>
  <si>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</si>
  <si>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</si>
  <si>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</si>
  <si>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</si>
  <si>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</si>
  <si>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</si>
  <si>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</si>
  <si>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</si>
  <si>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</si>
  <si>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</si>
  <si>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</si>
  <si>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</si>
  <si>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</si>
  <si>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</si>
  <si>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</si>
  <si>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</si>
  <si>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</si>
  <si>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</si>
  <si>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</si>
  <si>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</si>
  <si>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</si>
  <si>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</si>
  <si>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</si>
  <si>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</si>
  <si>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</si>
  <si>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</si>
  <si>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</si>
  <si>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</si>
  <si>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</si>
  <si>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</si>
  <si>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</si>
  <si>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</si>
  <si>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</si>
  <si>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</si>
  <si>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</si>
  <si>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</si>
  <si>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</si>
  <si>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</si>
  <si>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</si>
  <si>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</si>
  <si>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</si>
  <si>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</si>
  <si>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</si>
  <si>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</si>
  <si>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</si>
  <si>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</si>
  <si>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</si>
  <si>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</si>
  <si>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</si>
  <si>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</si>
  <si>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</si>
  <si>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</si>
  <si>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</si>
  <si>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</si>
  <si>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</si>
  <si>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</si>
  <si>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</si>
  <si>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</si>
  <si>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</si>
  <si>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</si>
  <si>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</si>
  <si>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</si>
  <si>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</si>
  <si>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</si>
  <si>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</si>
  <si>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</si>
  <si>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</si>
  <si>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</si>
  <si>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</si>
  <si>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</si>
  <si>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</si>
  <si>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</si>
  <si>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</si>
  <si>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</si>
  <si>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</si>
  <si>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</si>
  <si>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</si>
  <si>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</si>
  <si>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</si>
  <si>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</si>
  <si>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</si>
  <si>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</si>
  <si>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</si>
  <si>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</si>
  <si>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</si>
  <si>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</si>
  <si>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</si>
  <si>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</si>
  <si>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</si>
  <si>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</si>
  <si>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</si>
  <si>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</si>
  <si>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</si>
  <si>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</si>
  <si>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</si>
  <si>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</si>
  <si>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</si>
  <si>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</si>
  <si>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</si>
  <si>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</si>
  <si>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</si>
  <si>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</si>
  <si>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</si>
  <si>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</si>
  <si>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</si>
  <si>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</si>
  <si>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</si>
  <si>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</si>
  <si>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</si>
  <si>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</si>
  <si>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</si>
  <si>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</si>
  <si>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</si>
  <si>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</si>
  <si>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</si>
  <si>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</si>
  <si>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</si>
  <si>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</si>
  <si>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</si>
  <si>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</si>
  <si>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</si>
  <si>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</si>
  <si>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</si>
  <si>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</si>
  <si>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</si>
  <si>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</si>
  <si>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</si>
  <si>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</si>
  <si>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</si>
  <si>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</si>
  <si>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</si>
  <si>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</si>
  <si>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</si>
  <si>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</si>
  <si>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</si>
  <si>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</si>
  <si>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</si>
  <si>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</si>
  <si>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</si>
  <si>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</si>
  <si>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</si>
  <si>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</si>
  <si>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</si>
  <si>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</si>
  <si>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</si>
  <si>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</si>
  <si>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</si>
  <si>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</si>
  <si>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</si>
  <si>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</si>
  <si>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</si>
  <si>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</si>
  <si>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</si>
  <si>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</si>
  <si>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</si>
  <si>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</si>
  <si>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</si>
  <si>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</si>
  <si>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</si>
  <si>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</si>
  <si>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</si>
  <si>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</si>
  <si>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</si>
  <si>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</si>
  <si>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</si>
  <si>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</si>
  <si>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</si>
  <si>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</si>
  <si>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</si>
  <si>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</si>
  <si>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</si>
  <si>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</si>
  <si>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</si>
  <si>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</si>
  <si>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</si>
  <si>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</si>
  <si>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</si>
  <si>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</si>
  <si>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</si>
  <si>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</si>
  <si>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</si>
  <si>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</si>
  <si>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</si>
  <si>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</si>
  <si>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</si>
  <si>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</si>
  <si>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</si>
  <si>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</si>
  <si>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</si>
  <si>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</si>
  <si>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</si>
  <si>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</si>
  <si>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</si>
  <si>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</si>
  <si>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</si>
  <si>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</si>
  <si>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</si>
  <si>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</si>
  <si>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</si>
  <si>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</si>
  <si>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</si>
  <si>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</si>
  <si>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</si>
  <si>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</si>
  <si>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</si>
  <si>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</si>
  <si>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</si>
  <si>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</si>
  <si>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</si>
  <si>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</si>
  <si>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</si>
  <si>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</si>
  <si>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</si>
  <si>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</si>
  <si>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</si>
  <si>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</si>
  <si>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</si>
  <si>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</si>
  <si>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</si>
  <si>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</si>
  <si>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</si>
  <si>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</si>
  <si>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</si>
  <si>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</si>
  <si>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</si>
  <si>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</si>
  <si>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</si>
  <si>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</si>
  <si>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</si>
  <si>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</si>
  <si>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</si>
  <si>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</si>
  <si>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</si>
  <si>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</si>
  <si>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</si>
  <si>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</si>
  <si>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</si>
  <si>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</si>
  <si>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</si>
  <si>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</si>
  <si>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</si>
  <si>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</si>
  <si>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</si>
  <si>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</si>
  <si>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</si>
  <si>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</si>
  <si>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</si>
  <si>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</si>
  <si>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</si>
  <si>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</si>
  <si>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</si>
  <si>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</si>
  <si>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</si>
  <si>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</si>
  <si>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</si>
  <si>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</si>
  <si>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</si>
  <si>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</si>
  <si>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</si>
  <si>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</si>
  <si>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</si>
  <si>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</si>
  <si>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</si>
  <si>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</si>
  <si>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</si>
  <si>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</si>
  <si>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</si>
  <si>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</si>
  <si>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</si>
  <si>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</si>
  <si>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</si>
  <si>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</si>
  <si>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</si>
  <si>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</si>
  <si>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</si>
  <si>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</si>
  <si>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</si>
  <si>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</si>
  <si>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</si>
  <si>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</si>
  <si>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</si>
  <si>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</si>
  <si>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</si>
  <si>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</si>
  <si>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</si>
  <si>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</si>
  <si>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</si>
  <si>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</si>
  <si>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</si>
  <si>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</si>
  <si>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</si>
  <si>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</si>
  <si>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</si>
  <si>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</si>
  <si>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</si>
  <si>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</si>
  <si>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</si>
  <si>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</si>
  <si>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</si>
  <si>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</si>
  <si>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</si>
  <si>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</si>
  <si>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</si>
  <si>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</si>
  <si>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</si>
  <si>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</si>
  <si>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</si>
  <si>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</si>
  <si>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</si>
  <si>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</si>
  <si>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</si>
  <si>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</si>
  <si>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</si>
  <si>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</si>
  <si>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</si>
  <si>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</si>
  <si>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</si>
  <si>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</si>
  <si>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</si>
  <si>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</si>
  <si>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</si>
  <si>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</si>
  <si>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</si>
  <si>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</si>
  <si>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</si>
  <si>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</si>
  <si>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</si>
  <si>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</si>
  <si>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</si>
  <si>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</si>
  <si>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</si>
  <si>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</si>
  <si>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</si>
  <si>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</si>
  <si>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</si>
  <si>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</si>
  <si>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</si>
  <si>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</si>
  <si>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</si>
  <si>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</si>
  <si>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</si>
  <si>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</si>
  <si>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</si>
  <si>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</si>
  <si>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</si>
  <si>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</si>
  <si>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</si>
  <si>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</si>
  <si>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</si>
  <si>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</si>
  <si>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</si>
  <si>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</si>
  <si>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</si>
  <si>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</si>
  <si>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</si>
  <si>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</si>
  <si>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</si>
  <si>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</si>
  <si>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</si>
  <si>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</si>
  <si>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</si>
  <si>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</si>
  <si>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</si>
  <si>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</si>
  <si>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</si>
  <si>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</si>
  <si>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</si>
  <si>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</si>
  <si>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</si>
  <si>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</si>
  <si>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</si>
  <si>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</si>
  <si>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</si>
  <si>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</si>
  <si>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</si>
  <si>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</si>
  <si>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</si>
  <si>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</si>
  <si>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</si>
  <si>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</si>
  <si>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</si>
  <si>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</si>
  <si>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</si>
  <si>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</si>
  <si>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</si>
  <si>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</si>
  <si>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</si>
  <si>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</si>
  <si>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</si>
  <si>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</si>
  <si>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</si>
  <si>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</si>
  <si>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</si>
  <si>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</si>
  <si>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</si>
  <si>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</si>
  <si>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</si>
  <si>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</si>
  <si>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</si>
  <si>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</si>
  <si>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</si>
  <si>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</si>
  <si>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</si>
  <si>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</si>
  <si>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</si>
  <si>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</si>
  <si>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</si>
  <si>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</si>
  <si>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</si>
  <si>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</si>
  <si>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</si>
  <si>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</si>
  <si>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</si>
  <si>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</si>
  <si>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</si>
  <si>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</si>
  <si>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</si>
  <si>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</si>
  <si>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</si>
  <si>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</si>
  <si>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</si>
  <si>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</si>
  <si>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</si>
  <si>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</si>
  <si>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</si>
  <si>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</si>
  <si>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</si>
  <si>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</si>
  <si>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</si>
  <si>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</si>
  <si>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</si>
  <si>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</si>
  <si>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</si>
  <si>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</si>
  <si>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</si>
  <si>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</si>
  <si>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</si>
  <si>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</si>
  <si>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</si>
  <si>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</si>
  <si>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</si>
  <si>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</si>
  <si>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</si>
  <si>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</si>
  <si>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</si>
  <si>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</si>
  <si>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</si>
  <si>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</si>
  <si>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</si>
  <si>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</si>
  <si>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</si>
  <si>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</si>
  <si>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</si>
  <si>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</si>
  <si>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</si>
  <si>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</si>
  <si>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</si>
  <si>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</si>
  <si>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</si>
  <si>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</si>
  <si>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</si>
  <si>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</si>
  <si>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</si>
  <si>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</si>
  <si>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</si>
  <si>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</si>
  <si>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</si>
  <si>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</si>
  <si>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</si>
  <si>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</si>
  <si>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</si>
  <si>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</si>
  <si>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</si>
  <si>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</si>
  <si>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</si>
  <si>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</si>
  <si>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</si>
  <si>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</si>
  <si>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</si>
  <si>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</si>
  <si>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</si>
  <si>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</si>
  <si>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</si>
  <si>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</si>
  <si>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</si>
  <si>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</si>
  <si>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</si>
  <si>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</si>
  <si>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</si>
  <si>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</si>
  <si>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</si>
  <si>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</si>
  <si>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</si>
  <si>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</si>
  <si>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</si>
  <si>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</si>
  <si>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</si>
  <si>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</si>
  <si>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</si>
  <si>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</si>
  <si>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</si>
  <si>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</si>
  <si>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</si>
  <si>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</si>
  <si>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</si>
  <si>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</si>
  <si>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</si>
  <si>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</si>
  <si>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</si>
  <si>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</si>
  <si>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</si>
  <si>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</si>
  <si>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</si>
  <si>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</si>
  <si>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</si>
  <si>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</si>
  <si>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</si>
  <si>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</si>
  <si>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</si>
  <si>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</si>
  <si>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</si>
  <si>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</si>
  <si>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</si>
  <si>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</si>
  <si>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</si>
  <si>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</si>
  <si>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</si>
  <si>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</si>
  <si>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</si>
  <si>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</si>
  <si>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</si>
  <si>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</si>
  <si>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</si>
  <si>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</si>
  <si>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</si>
  <si>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</si>
  <si>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</si>
  <si>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</si>
  <si>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</si>
  <si>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</si>
  <si>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</si>
  <si>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</si>
  <si>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</si>
  <si>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</si>
  <si>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</si>
  <si>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</si>
  <si>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</si>
  <si>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</si>
  <si>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</si>
  <si>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</si>
  <si>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</si>
  <si>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</si>
  <si>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</si>
  <si>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</si>
  <si>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</si>
  <si>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</si>
  <si>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</si>
  <si>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</si>
  <si>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</si>
  <si>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</si>
  <si>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</si>
  <si>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</si>
  <si>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</si>
  <si>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</si>
  <si>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</si>
  <si>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</si>
  <si>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</si>
  <si>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</si>
  <si>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</si>
  <si>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</si>
  <si>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</si>
  <si>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</si>
  <si>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</si>
  <si>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</si>
  <si>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</si>
  <si>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</si>
  <si>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</si>
  <si>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</si>
  <si>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</si>
  <si>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</si>
  <si>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</si>
  <si>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</si>
  <si>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</si>
  <si>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</si>
  <si>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</si>
  <si>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</si>
  <si>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</si>
  <si>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</si>
  <si>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</si>
  <si>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</si>
  <si>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</si>
  <si>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</si>
  <si>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</si>
  <si>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</si>
  <si>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</si>
  <si>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</si>
  <si>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</si>
  <si>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</si>
  <si>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</si>
  <si>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</si>
  <si>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</si>
  <si>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</si>
  <si>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</si>
  <si>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</si>
  <si>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</si>
  <si>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</si>
  <si>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</si>
  <si>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</si>
  <si>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</si>
  <si>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</si>
  <si>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</si>
  <si>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</si>
  <si>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</si>
  <si>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</si>
  <si>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</si>
  <si>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</si>
  <si>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</si>
  <si>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</si>
  <si>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</si>
  <si>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</si>
  <si>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</si>
  <si>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</si>
  <si>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</si>
  <si>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</si>
  <si>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</si>
  <si>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</si>
  <si>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</si>
  <si>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</si>
  <si>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</si>
  <si>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</si>
  <si>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</si>
  <si>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</si>
  <si>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</si>
  <si>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</si>
  <si>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</si>
  <si>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</si>
  <si>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</si>
  <si>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</si>
  <si>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</si>
  <si>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</si>
  <si>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</si>
  <si>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</si>
  <si>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</si>
  <si>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</si>
  <si>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</si>
  <si>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</si>
  <si>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</si>
  <si>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</si>
  <si>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</si>
  <si>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</si>
  <si>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</si>
  <si>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</si>
  <si>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</si>
  <si>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</si>
  <si>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</si>
  <si>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</si>
  <si>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</si>
  <si>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</si>
  <si>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</si>
  <si>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</si>
  <si>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</si>
  <si>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</si>
  <si>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</si>
  <si>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</si>
  <si>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</si>
  <si>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</si>
  <si>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</si>
  <si>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</si>
  <si>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</si>
  <si>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</si>
  <si>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</si>
  <si>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</si>
  <si>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</si>
  <si>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</si>
  <si>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</si>
  <si>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</si>
  <si>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</si>
  <si>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</si>
  <si>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</si>
  <si>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</si>
  <si>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</si>
  <si>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</si>
  <si>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</si>
  <si>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</si>
  <si>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</si>
  <si>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</si>
  <si>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</si>
  <si>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</si>
  <si>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</si>
  <si>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</si>
  <si>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</si>
  <si>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</si>
  <si>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</si>
  <si>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</si>
  <si>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</si>
  <si>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</si>
  <si>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</si>
  <si>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</si>
  <si>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</si>
  <si>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</si>
  <si>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</si>
  <si>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</si>
  <si>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</si>
  <si>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</si>
  <si>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</si>
  <si>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</si>
  <si>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</si>
  <si>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</si>
  <si>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</si>
  <si>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</si>
  <si>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</si>
  <si>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</si>
  <si>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</si>
  <si>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</si>
  <si>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</si>
  <si>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</si>
  <si>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</si>
  <si>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</si>
  <si>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</si>
  <si>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</si>
  <si>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</si>
  <si>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</si>
  <si>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</si>
  <si>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</si>
  <si>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</si>
  <si>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</si>
  <si>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</si>
  <si>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</si>
  <si>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</si>
  <si>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</si>
  <si>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</si>
  <si>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</si>
  <si>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</si>
  <si>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</si>
  <si>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</si>
  <si>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</si>
  <si>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</si>
  <si>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</si>
  <si>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</si>
  <si>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</si>
  <si>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</si>
  <si>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</si>
  <si>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</si>
  <si>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</si>
  <si>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</si>
  <si>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</si>
  <si>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</si>
  <si>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</si>
  <si>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</si>
  <si>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</si>
  <si>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</si>
  <si>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</si>
  <si>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</si>
  <si>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</si>
  <si>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</si>
  <si>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</si>
  <si>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</si>
  <si>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</si>
  <si>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</si>
  <si>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</si>
  <si>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</si>
  <si>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</si>
  <si>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</si>
  <si>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</si>
  <si>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</si>
  <si>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</si>
  <si>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</si>
  <si>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</si>
  <si>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</si>
  <si>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</si>
  <si>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</si>
  <si>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</si>
  <si>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</si>
  <si>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</si>
  <si>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</si>
  <si>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</si>
  <si>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</si>
  <si>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</si>
  <si>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</si>
  <si>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</si>
  <si>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</si>
  <si>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</si>
  <si>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</si>
  <si>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</si>
  <si>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</si>
  <si>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</si>
  <si>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</si>
  <si>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</si>
  <si>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</si>
  <si>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</si>
  <si>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</si>
  <si>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</si>
  <si>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</si>
  <si>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</si>
  <si>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</si>
  <si>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</si>
  <si>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</si>
  <si>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</si>
  <si>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</si>
  <si>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</si>
  <si>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</si>
  <si>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</si>
  <si>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</si>
  <si>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</si>
  <si>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</si>
  <si>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</si>
  <si>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</si>
  <si>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</si>
  <si>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</si>
  <si>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</si>
  <si>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</si>
  <si>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</si>
  <si>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</si>
  <si>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</si>
  <si>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</si>
  <si>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</si>
  <si>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</si>
  <si>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</si>
  <si>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</si>
  <si>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</si>
  <si>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</si>
  <si>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</si>
  <si>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</si>
  <si>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</si>
  <si>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</si>
  <si>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</si>
  <si>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</si>
  <si>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</si>
  <si>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</si>
  <si>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</si>
  <si>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</si>
  <si>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</si>
  <si>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</si>
  <si>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</si>
  <si>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</si>
  <si>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</si>
  <si>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</si>
  <si>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</si>
  <si>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</si>
  <si>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</si>
  <si>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</si>
  <si>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</si>
  <si>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</si>
  <si>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</si>
  <si>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</si>
  <si>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</si>
  <si>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</si>
  <si>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</si>
  <si>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</si>
  <si>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</si>
  <si>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</si>
  <si>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</si>
  <si>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</si>
  <si>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</si>
  <si>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</si>
  <si>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</si>
  <si>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</si>
  <si>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</si>
  <si>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</si>
  <si>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</si>
  <si>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</si>
  <si>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</si>
  <si>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</si>
  <si>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</si>
  <si>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</si>
  <si>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</si>
  <si>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</si>
  <si>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</si>
  <si>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</si>
  <si>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</si>
  <si>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</si>
  <si>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</si>
  <si>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</si>
  <si>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</si>
  <si>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</si>
  <si>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</si>
  <si>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</si>
  <si>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</si>
  <si>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</si>
  <si>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</si>
  <si>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</si>
  <si>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</si>
  <si>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</si>
  <si>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</si>
  <si>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</si>
  <si>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</si>
  <si>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</si>
  <si>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</si>
  <si>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</si>
  <si>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</si>
  <si>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</si>
  <si>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</si>
  <si>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</si>
  <si>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</si>
  <si>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</si>
  <si>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</si>
  <si>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</si>
  <si>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</si>
  <si>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</si>
  <si>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</si>
  <si>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</si>
  <si>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</si>
  <si>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</si>
  <si>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</si>
  <si>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</si>
  <si>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</si>
  <si>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</si>
  <si>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</si>
  <si>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</si>
  <si>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</si>
  <si>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</si>
  <si>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</si>
  <si>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</si>
  <si>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</si>
  <si>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</si>
  <si>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</si>
  <si>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</si>
  <si>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</si>
  <si>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</si>
  <si>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</si>
  <si>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</si>
  <si>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</si>
  <si>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</si>
  <si>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</si>
  <si>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</si>
  <si>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</si>
  <si>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</si>
  <si>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</si>
  <si>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</si>
  <si>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</si>
  <si>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</si>
  <si>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</si>
  <si>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</si>
  <si>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</si>
  <si>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</si>
  <si>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</si>
  <si>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</si>
  <si>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</si>
  <si>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</si>
  <si>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</si>
  <si>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</si>
  <si>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</si>
  <si>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</si>
  <si>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</si>
  <si>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</si>
  <si>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</si>
  <si>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</si>
  <si>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</si>
  <si>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</si>
  <si>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</si>
  <si>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</si>
  <si>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</si>
  <si>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</si>
  <si>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</si>
  <si>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</si>
  <si>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</si>
  <si>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</si>
  <si>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</si>
  <si>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</si>
  <si>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</si>
  <si>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</si>
  <si>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</si>
  <si>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</si>
  <si>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</si>
  <si>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</si>
  <si>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</si>
  <si>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</si>
  <si>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</si>
  <si>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</si>
  <si>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</si>
  <si>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</si>
  <si>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</si>
  <si>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</si>
  <si>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</si>
  <si>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</si>
  <si>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</si>
  <si>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</si>
  <si>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</si>
  <si>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</si>
  <si>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</si>
  <si>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</si>
  <si>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</si>
  <si>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</si>
  <si>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</si>
  <si>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</si>
  <si>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</si>
  <si>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</si>
  <si>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</si>
  <si>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</si>
  <si>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</si>
  <si>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</si>
  <si>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</si>
  <si>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</si>
  <si>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</si>
  <si>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</si>
  <si>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</si>
  <si>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</si>
  <si>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</si>
  <si>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</si>
  <si>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</si>
  <si>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</si>
  <si>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</si>
  <si>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</si>
  <si>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</si>
  <si>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</si>
  <si>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</si>
  <si>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</si>
  <si>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</si>
  <si>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</si>
  <si>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</si>
  <si>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</si>
  <si>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</si>
  <si>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</si>
  <si>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</si>
  <si>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</si>
  <si>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</si>
  <si>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</si>
  <si>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</si>
  <si>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</si>
  <si>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</si>
  <si>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</si>
  <si>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</si>
  <si>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</si>
  <si>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</si>
  <si>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</si>
  <si>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</si>
  <si>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</si>
  <si>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</si>
  <si>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</si>
  <si>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</si>
  <si>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</si>
  <si>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</si>
  <si>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</si>
  <si>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</si>
  <si>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</si>
  <si>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</si>
  <si>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</si>
  <si>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</si>
  <si>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</si>
  <si>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</si>
  <si>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</si>
  <si>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</si>
  <si>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</si>
  <si>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</si>
  <si>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</si>
  <si>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</si>
  <si>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</si>
  <si>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</si>
  <si>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</si>
  <si>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</si>
  <si>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</si>
  <si>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</si>
  <si>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</si>
  <si>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</si>
  <si>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</si>
  <si>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</si>
  <si>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</si>
  <si>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</si>
  <si>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</si>
  <si>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</si>
  <si>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</si>
  <si>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</si>
  <si>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</si>
  <si>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</si>
  <si>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</si>
  <si>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</si>
  <si>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</si>
  <si>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</si>
  <si>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</si>
  <si>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</si>
  <si>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</si>
  <si>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</si>
  <si>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</si>
  <si>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</si>
  <si>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</si>
  <si>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</si>
  <si>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</si>
  <si>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</si>
  <si>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</si>
  <si>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</si>
  <si>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</si>
  <si>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</si>
  <si>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</si>
  <si>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</si>
  <si>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</si>
  <si>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</si>
  <si>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</si>
  <si>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</si>
  <si>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</si>
  <si>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</si>
  <si>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</si>
  <si>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</si>
  <si>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</si>
  <si>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</si>
  <si>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</si>
  <si>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</si>
  <si>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</si>
  <si>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</si>
  <si>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</si>
  <si>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</si>
  <si>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</si>
  <si>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</si>
  <si>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</si>
  <si>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</si>
  <si>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</si>
  <si>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</si>
  <si>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</si>
  <si>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</si>
  <si>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</si>
  <si>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</si>
  <si>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</si>
  <si>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</si>
  <si>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</si>
  <si>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</si>
  <si>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</si>
  <si>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</si>
  <si>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</si>
  <si>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</si>
  <si>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</si>
  <si>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</si>
  <si>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</si>
  <si>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</si>
  <si>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</si>
  <si>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</si>
  <si>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</si>
  <si>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</si>
  <si>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</si>
  <si>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</si>
  <si>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</si>
  <si>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</si>
  <si>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</si>
  <si>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</si>
  <si>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</si>
  <si>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</si>
  <si>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</si>
  <si>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</si>
  <si>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</si>
  <si>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</si>
  <si>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</si>
  <si>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</si>
  <si>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</si>
  <si>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</si>
  <si>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</si>
  <si>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</si>
  <si>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</si>
  <si>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</si>
  <si>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</si>
  <si>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</si>
  <si>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</si>
  <si>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</si>
  <si>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</si>
  <si>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</si>
  <si>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</si>
  <si>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</si>
  <si>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</si>
  <si>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</si>
  <si>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</si>
  <si>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</si>
  <si>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</si>
  <si>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</si>
  <si>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</si>
  <si>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</si>
  <si>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</si>
  <si>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</si>
  <si>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</si>
  <si>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</si>
  <si>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</si>
  <si>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</si>
  <si>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</si>
  <si>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</si>
  <si>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</si>
  <si>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</si>
  <si>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</si>
  <si>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</si>
  <si>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</si>
  <si>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</si>
  <si>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</si>
  <si>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</si>
  <si>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</si>
  <si>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</si>
  <si>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</si>
  <si>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</si>
  <si>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</si>
  <si>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</si>
  <si>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</si>
  <si>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</si>
  <si>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</si>
  <si>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</si>
  <si>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</si>
  <si>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</si>
  <si>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</si>
  <si>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</si>
  <si>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</si>
  <si>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</si>
  <si>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</si>
  <si>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</si>
  <si>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</si>
  <si>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</si>
  <si>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</si>
  <si>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</si>
  <si>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</si>
  <si>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</si>
  <si>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</si>
  <si>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</si>
  <si>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</si>
  <si>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</si>
  <si>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</si>
  <si>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</si>
  <si>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</si>
  <si>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</si>
  <si>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</si>
  <si>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</si>
  <si>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</si>
  <si>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</si>
  <si>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</si>
  <si>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</si>
  <si>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</si>
  <si>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</si>
  <si>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</si>
  <si>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</si>
  <si>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</si>
  <si>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</si>
  <si>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</si>
  <si>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</si>
  <si>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</si>
  <si>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</si>
  <si>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</si>
  <si>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</si>
  <si>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</si>
  <si>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</si>
  <si>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</si>
  <si>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</si>
  <si>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</si>
  <si>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</si>
  <si>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</si>
  <si>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</si>
  <si>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</si>
  <si>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</si>
  <si>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</si>
  <si>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</si>
  <si>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</si>
  <si>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</si>
  <si>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</si>
  <si>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</si>
  <si>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</si>
  <si>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</si>
  <si>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</si>
  <si>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</si>
  <si>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</si>
  <si>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</si>
  <si>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</si>
  <si>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</si>
  <si>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</si>
  <si>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</si>
  <si>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</si>
  <si>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</si>
  <si>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</si>
  <si>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</si>
  <si>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</si>
  <si>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</si>
  <si>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</si>
  <si>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</si>
  <si>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</si>
  <si>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</si>
  <si>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</si>
  <si>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</si>
  <si>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</si>
  <si>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</si>
  <si>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</si>
  <si>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</si>
  <si>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</si>
  <si>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</si>
  <si>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</si>
  <si>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</si>
  <si>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</si>
  <si>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</si>
  <si>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</si>
  <si>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</si>
  <si>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</si>
  <si>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</si>
  <si>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</si>
  <si>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</si>
  <si>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</si>
  <si>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</si>
  <si>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</si>
  <si>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</si>
  <si>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</si>
  <si>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</si>
  <si>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</si>
  <si>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</si>
  <si>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</si>
  <si>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</si>
  <si>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</si>
  <si>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</si>
  <si>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</si>
  <si>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</si>
  <si>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</si>
  <si>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</si>
  <si>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</si>
  <si>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</si>
  <si>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</si>
  <si>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</si>
  <si>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</si>
  <si>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</si>
  <si>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</si>
  <si>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</si>
  <si>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</si>
  <si>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</si>
  <si>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</si>
  <si>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</si>
  <si>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</si>
  <si>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</si>
  <si>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</si>
  <si>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</si>
  <si>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</si>
  <si>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</si>
  <si>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</si>
  <si>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</si>
  <si>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</si>
  <si>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</si>
  <si>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</si>
  <si>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</si>
  <si>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</si>
  <si>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</si>
  <si>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</si>
  <si>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</si>
  <si>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</si>
  <si>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</si>
  <si>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</si>
  <si>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</si>
  <si>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</si>
  <si>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</si>
  <si>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</si>
  <si>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</si>
  <si>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</si>
  <si>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</si>
  <si>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</si>
  <si>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</si>
  <si>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</si>
  <si>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</si>
  <si>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</si>
  <si>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</si>
  <si>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</si>
  <si>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</si>
  <si>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</si>
  <si>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</si>
  <si>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</si>
  <si>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</si>
  <si>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</si>
  <si>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</si>
  <si>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</si>
  <si>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</si>
  <si>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</si>
  <si>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</si>
  <si>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</si>
  <si>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</si>
  <si>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</si>
  <si>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</si>
  <si>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</si>
  <si>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</si>
  <si>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</si>
  <si>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</si>
  <si>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</si>
  <si>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</si>
  <si>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</si>
  <si>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</si>
  <si>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</si>
  <si>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</si>
  <si>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</si>
  <si>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</si>
  <si>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</si>
  <si>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</si>
  <si>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</si>
  <si>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</si>
  <si>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</si>
  <si>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</si>
  <si>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</si>
  <si>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</si>
  <si>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</si>
  <si>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</si>
  <si>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</si>
  <si>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</si>
  <si>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</si>
  <si>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</si>
  <si>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</si>
  <si>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</si>
  <si>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</si>
  <si>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</si>
  <si>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</si>
  <si>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</si>
  <si>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</si>
  <si>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</si>
  <si>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</si>
  <si>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</si>
  <si>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</si>
  <si>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</si>
  <si>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</si>
  <si>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</si>
  <si>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</si>
  <si>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</si>
  <si>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</si>
  <si>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</si>
  <si>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</si>
  <si>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</si>
  <si>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</si>
  <si>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</si>
  <si>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</si>
  <si>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</si>
  <si>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</si>
  <si>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</si>
  <si>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</si>
  <si>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</si>
  <si>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</si>
  <si>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</si>
  <si>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</si>
  <si>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</si>
  <si>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</si>
  <si>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</si>
  <si>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</si>
  <si>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</si>
  <si>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</si>
  <si>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</si>
  <si>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</si>
  <si>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</si>
  <si>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</si>
  <si>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</si>
  <si>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</si>
  <si>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</si>
  <si>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</si>
  <si>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</si>
  <si>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</si>
  <si>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</si>
  <si>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</si>
  <si>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</si>
  <si>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</si>
  <si>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</si>
  <si>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</si>
  <si>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</si>
  <si>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</si>
  <si>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</si>
  <si>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</si>
  <si>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</si>
  <si>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</si>
  <si>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</si>
  <si>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</si>
  <si>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</si>
  <si>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</si>
  <si>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</si>
  <si>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</si>
  <si>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</si>
  <si>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</si>
  <si>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</si>
  <si>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</si>
  <si>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</si>
  <si>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</si>
  <si>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</si>
  <si>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</si>
  <si>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</si>
  <si>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</si>
  <si>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</si>
  <si>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</si>
  <si>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</si>
  <si>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</si>
  <si>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</si>
  <si>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</si>
  <si>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</si>
  <si>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</si>
  <si>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</si>
  <si>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</si>
  <si>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</si>
  <si>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</si>
  <si>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</si>
  <si>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</si>
  <si>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</si>
  <si>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</si>
  <si>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</si>
  <si>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</si>
  <si>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</si>
  <si>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</si>
  <si>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</si>
  <si>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</si>
  <si>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</si>
  <si>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</si>
  <si>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</si>
  <si>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</si>
  <si>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</si>
  <si>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</si>
  <si>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</si>
  <si>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</si>
  <si>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</si>
  <si>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</si>
  <si>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</si>
  <si>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</si>
  <si>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</si>
  <si>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</si>
  <si>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</si>
  <si>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</si>
  <si>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</si>
  <si>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</si>
  <si>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</si>
  <si>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</si>
  <si>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</si>
  <si>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</si>
  <si>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</si>
  <si>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</si>
  <si>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</si>
  <si>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</si>
  <si>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</si>
  <si>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</si>
  <si>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</si>
  <si>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</si>
  <si>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</si>
  <si>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</si>
  <si>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</si>
  <si>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</si>
  <si>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</si>
  <si>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</si>
  <si>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</si>
  <si>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</si>
  <si>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</si>
  <si>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</si>
  <si>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</si>
  <si>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</si>
  <si>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</si>
  <si>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</si>
  <si>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</si>
  <si>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</si>
  <si>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</si>
  <si>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办公项目</t>
  </si>
  <si>
    <t>现房</t>
  </si>
  <si>
    <t>是</t>
  </si>
  <si>
    <t>否</t>
  </si>
  <si>
    <t>地上</t>
  </si>
  <si>
    <t>成新度</t>
  </si>
  <si>
    <t>收益法 (元)</t>
  </si>
  <si>
    <t>押一</t>
  </si>
  <si>
    <t>钢混</t>
  </si>
  <si>
    <t>非生产用房</t>
  </si>
  <si>
    <t>单套模式</t>
  </si>
  <si>
    <t>售价</t>
  </si>
  <si>
    <t>正常</t>
  </si>
  <si>
    <t>报价</t>
  </si>
  <si>
    <t>报价</t>
    <phoneticPr fontId="31" type="noConversion"/>
  </si>
  <si>
    <t>较好</t>
  </si>
  <si>
    <t>七通</t>
  </si>
  <si>
    <t>比较法-办公</t>
  </si>
  <si>
    <t>高区</t>
  </si>
  <si>
    <t>高区</t>
    <phoneticPr fontId="31" type="noConversion"/>
  </si>
  <si>
    <t>中区</t>
    <phoneticPr fontId="31" type="noConversion"/>
  </si>
  <si>
    <t>低区</t>
    <phoneticPr fontId="31" type="noConversion"/>
  </si>
  <si>
    <t>楼面单价</t>
  </si>
  <si>
    <t>自定义</t>
  </si>
  <si>
    <t>情况4</t>
  </si>
  <si>
    <t>转让取得</t>
  </si>
  <si>
    <t>非个人房产</t>
  </si>
  <si>
    <t>房号</t>
    <phoneticPr fontId="134" type="noConversion"/>
  </si>
  <si>
    <t>原值</t>
    <phoneticPr fontId="134" type="noConversion"/>
  </si>
  <si>
    <t>总价</t>
    <phoneticPr fontId="134" type="noConversion"/>
  </si>
  <si>
    <t>建面</t>
    <phoneticPr fontId="134" type="noConversion"/>
  </si>
  <si>
    <t>净值</t>
    <phoneticPr fontId="134" type="noConversion"/>
  </si>
  <si>
    <t>买卖合同</t>
  </si>
  <si>
    <t>2016年5月1日后购买</t>
  </si>
  <si>
    <t>税费</t>
    <phoneticPr fontId="134" type="noConversion"/>
  </si>
  <si>
    <t>净值单价</t>
    <phoneticPr fontId="134" type="noConversion"/>
  </si>
  <si>
    <r>
      <t>2024</t>
    </r>
    <r>
      <rPr>
        <sz val="10"/>
        <color indexed="8"/>
        <rFont val="宋体"/>
        <family val="3"/>
        <charset val="134"/>
      </rPr>
      <t>年</t>
    </r>
    <phoneticPr fontId="8" type="noConversion"/>
  </si>
  <si>
    <r>
      <t>2023</t>
    </r>
    <r>
      <rPr>
        <sz val="10"/>
        <color indexed="8"/>
        <rFont val="宋体"/>
        <family val="3"/>
        <charset val="134"/>
      </rPr>
      <t>年</t>
    </r>
    <phoneticPr fontId="8" type="noConversion"/>
  </si>
  <si>
    <t>净值</t>
    <phoneticPr fontId="8" type="noConversion"/>
  </si>
  <si>
    <t>评估值</t>
    <phoneticPr fontId="8" type="noConversion"/>
  </si>
  <si>
    <t>今年</t>
    <phoneticPr fontId="8" type="noConversion"/>
  </si>
  <si>
    <t>办公</t>
    <phoneticPr fontId="31" type="noConversion"/>
  </si>
  <si>
    <t>科研办公</t>
    <phoneticPr fontId="31" type="noConversion"/>
  </si>
  <si>
    <t>M4科研用地</t>
  </si>
  <si>
    <t>自定义容积率</t>
  </si>
  <si>
    <t>Ⅶ-石龙开发区</t>
  </si>
  <si>
    <t>与级别开发程度不一致</t>
  </si>
  <si>
    <t>通路</t>
  </si>
  <si>
    <t>通电</t>
  </si>
  <si>
    <t>通讯</t>
  </si>
  <si>
    <t>通上水</t>
  </si>
  <si>
    <t>通下水</t>
  </si>
  <si>
    <t>平整</t>
  </si>
  <si>
    <t>工业</t>
    <phoneticPr fontId="7" type="noConversion"/>
  </si>
  <si>
    <t>一般</t>
  </si>
  <si>
    <t>好</t>
  </si>
  <si>
    <t>未包含在土地购买价格中</t>
  </si>
  <si>
    <t>已包含在土地取得成本中</t>
  </si>
  <si>
    <t>写字楼</t>
    <phoneticPr fontId="31" type="noConversion"/>
  </si>
  <si>
    <t>钢混</t>
    <phoneticPr fontId="31" type="noConversion"/>
  </si>
  <si>
    <t>精装</t>
    <phoneticPr fontId="31" type="noConversion"/>
  </si>
  <si>
    <t>简装</t>
  </si>
  <si>
    <t>简装</t>
    <phoneticPr fontId="31" type="noConversion"/>
  </si>
  <si>
    <t>毛坯</t>
    <phoneticPr fontId="31" type="noConversion"/>
  </si>
  <si>
    <t>远洋新天地</t>
    <phoneticPr fontId="31" type="noConversion"/>
  </si>
  <si>
    <t>中区</t>
  </si>
  <si>
    <t>西长安壹号</t>
    <phoneticPr fontId="31" type="noConversion"/>
  </si>
  <si>
    <t>长安天街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</si>
</sst>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2" fontId="53" fillId="0" borderId="1" xfId="0" applyNumberFormat="1" applyFont="1" applyFill="1" applyBorder="1" applyAlignment="1" applyProtection="1">
      <alignment horizontal="left" vertical="center" wrapText="1"/>
      <protection locked="0"/>
    </xf>
    <xf numFmtId="0" fontId="0" fillId="22" borderId="0" xfId="0" applyFill="1">
      <alignment vertical="center"/>
    </xf>
    <xf numFmtId="0" fontId="95" fillId="22" borderId="0" xfId="0" applyFont="1" applyFill="1">
      <alignment vertical="center"/>
    </xf>
    <xf numFmtId="2" fontId="0" fillId="22" borderId="0" xfId="0" applyNumberFormat="1" applyFill="1">
      <alignment vertical="center"/>
    </xf>
    <xf numFmtId="196" fontId="0" fillId="22" borderId="0" xfId="0" applyNumberFormat="1" applyFill="1">
      <alignment vertical="center"/>
    </xf>
    <xf numFmtId="0" fontId="77" fillId="7" borderId="0" xfId="0" applyFont="1" applyFill="1" applyProtection="1">
      <alignment vertical="center"/>
      <protection locked="0"/>
    </xf>
    <xf numFmtId="10" fontId="44" fillId="23"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256714</xdr:colOff>
      <xdr:row>19</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85714" cy="3333333"/>
        </a:xfrm>
        <a:prstGeom prst="rect">
          <a:avLst/>
        </a:prstGeom>
      </xdr:spPr>
    </xdr:pic>
    <xdr:clientData/>
  </xdr:twoCellAnchor>
  <xdr:twoCellAnchor editAs="oneCell">
    <xdr:from>
      <xdr:col>0</xdr:col>
      <xdr:colOff>142875</xdr:colOff>
      <xdr:row>30</xdr:row>
      <xdr:rowOff>19050</xdr:rowOff>
    </xdr:from>
    <xdr:to>
      <xdr:col>13</xdr:col>
      <xdr:colOff>132198</xdr:colOff>
      <xdr:row>42</xdr:row>
      <xdr:rowOff>85460</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5162550"/>
          <a:ext cx="9219048" cy="2123810"/>
        </a:xfrm>
        <a:prstGeom prst="rect">
          <a:avLst/>
        </a:prstGeom>
      </xdr:spPr>
    </xdr:pic>
    <xdr:clientData/>
  </xdr:twoCellAnchor>
  <xdr:twoCellAnchor editAs="oneCell">
    <xdr:from>
      <xdr:col>0</xdr:col>
      <xdr:colOff>9525</xdr:colOff>
      <xdr:row>41</xdr:row>
      <xdr:rowOff>76200</xdr:rowOff>
    </xdr:from>
    <xdr:to>
      <xdr:col>12</xdr:col>
      <xdr:colOff>598933</xdr:colOff>
      <xdr:row>53</xdr:row>
      <xdr:rowOff>18800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7105650"/>
          <a:ext cx="9133333" cy="2000000"/>
        </a:xfrm>
        <a:prstGeom prst="rect">
          <a:avLst/>
        </a:prstGeom>
      </xdr:spPr>
    </xdr:pic>
    <xdr:clientData/>
  </xdr:twoCellAnchor>
  <xdr:twoCellAnchor editAs="oneCell">
    <xdr:from>
      <xdr:col>4</xdr:col>
      <xdr:colOff>161925</xdr:colOff>
      <xdr:row>0</xdr:row>
      <xdr:rowOff>47625</xdr:rowOff>
    </xdr:from>
    <xdr:to>
      <xdr:col>10</xdr:col>
      <xdr:colOff>585341</xdr:colOff>
      <xdr:row>8</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05125" y="47625"/>
          <a:ext cx="4738241"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37667</xdr:colOff>
      <xdr:row>19</xdr:row>
      <xdr:rowOff>123402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66667" cy="3380952"/>
        </a:xfrm>
        <a:prstGeom prst="rect">
          <a:avLst/>
        </a:prstGeom>
      </xdr:spPr>
    </xdr:pic>
    <xdr:clientData/>
  </xdr:twoCellAnchor>
  <xdr:twoCellAnchor editAs="oneCell">
    <xdr:from>
      <xdr:col>0</xdr:col>
      <xdr:colOff>0</xdr:colOff>
      <xdr:row>20</xdr:row>
      <xdr:rowOff>85724</xdr:rowOff>
    </xdr:from>
    <xdr:to>
      <xdr:col>9</xdr:col>
      <xdr:colOff>411696</xdr:colOff>
      <xdr:row>28</xdr:row>
      <xdr:rowOff>85485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14724"/>
          <a:ext cx="6583896" cy="1371361"/>
        </a:xfrm>
        <a:prstGeom prst="rect">
          <a:avLst/>
        </a:prstGeom>
      </xdr:spPr>
    </xdr:pic>
    <xdr:clientData/>
  </xdr:twoCellAnchor>
  <xdr:twoCellAnchor editAs="oneCell">
    <xdr:from>
      <xdr:col>5</xdr:col>
      <xdr:colOff>0</xdr:colOff>
      <xdr:row>1</xdr:row>
      <xdr:rowOff>0</xdr:rowOff>
    </xdr:from>
    <xdr:to>
      <xdr:col>18</xdr:col>
      <xdr:colOff>627457</xdr:colOff>
      <xdr:row>10</xdr:row>
      <xdr:rowOff>47426</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71450"/>
          <a:ext cx="9542857" cy="1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估价对象为北京市房地产，为所有。根据《国有土地使用证》[]，估价对象（分摊）出让国有建设用地使用权面积为0平方米，建筑面积为817.51平方米。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估价对象为北京市房地产,属开发建设的办公项目，该项目尚在开发建设中。根据《国有土地使用证》[]，估价对象（分摊）出让国有建设用地使用权面积为0平方米，规划建筑面积为817.51平方米。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2025年3月10日（评估专业人员实地查勘之日）</v>
      </c>
    </row>
    <row r="13" spans="1:2" s="1200" customFormat="1">
      <c r="A13" s="1198" t="s">
        <v>529</v>
      </c>
      <c r="B13" s="1199" t="str">
        <f>'预评函-1'!A18</f>
        <v>本次估价的“房地产价值”是指在正常市场情况下，在价值时点2025年3月10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1397</v>
      </c>
    </row>
    <row r="21" spans="1:2" s="1200" customFormat="1">
      <c r="A21" s="1198" t="s">
        <v>537</v>
      </c>
      <c r="B21" s="1199">
        <f ca="1">'预评函-2'!D7</f>
        <v>17086</v>
      </c>
    </row>
    <row r="22" spans="1:2" s="1200" customFormat="1">
      <c r="A22" s="1198" t="s">
        <v>538</v>
      </c>
      <c r="B22" s="1199" t="str">
        <f ca="1">'预评函-2'!D6</f>
        <v>壹仟叁佰玖拾柒万元整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1397</v>
      </c>
    </row>
    <row r="31" spans="1:2" s="1200" customFormat="1">
      <c r="A31" s="1198" t="s">
        <v>576</v>
      </c>
      <c r="B31" s="1199">
        <f ca="1">'预评函-2'!D15</f>
        <v>17086</v>
      </c>
    </row>
    <row r="32" spans="1:2" s="1200" customFormat="1">
      <c r="A32" s="1198" t="s">
        <v>543</v>
      </c>
      <c r="B32" s="1199" t="str">
        <f ca="1">'预评函-2'!D14</f>
        <v>壹仟叁佰玖拾柒万元整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1076.3</v>
      </c>
    </row>
    <row r="39" spans="1:2" s="1200" customFormat="1">
      <c r="A39" s="1198" t="s">
        <v>545</v>
      </c>
      <c r="B39" s="1199">
        <f ca="1">'预评函-2'!D21</f>
        <v>13166</v>
      </c>
    </row>
    <row r="40" spans="1:2" s="1200" customFormat="1">
      <c r="A40" s="1198" t="s">
        <v>546</v>
      </c>
      <c r="B40" s="1199" t="str">
        <f ca="1">'预评函-2'!D20</f>
        <v>壹仟零柒拾陆万叁仟元整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817.51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2576</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2577</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2292</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4"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1" t="s">
        <v>385</v>
      </c>
      <c r="C54" s="1548" t="s">
        <v>583</v>
      </c>
    </row>
    <row r="55" spans="1:4">
      <c r="A55" s="3504"/>
      <c r="B55" s="1551" t="s">
        <v>386</v>
      </c>
      <c r="C55" s="1548" t="s">
        <v>584</v>
      </c>
    </row>
    <row r="56" spans="1:4">
      <c r="A56" s="3504"/>
      <c r="B56" s="1551" t="s">
        <v>387</v>
      </c>
      <c r="C56" s="1548" t="s">
        <v>588</v>
      </c>
    </row>
    <row r="57" spans="1:4">
      <c r="A57" s="3504"/>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05" t="s">
        <v>2579</v>
      </c>
      <c r="J2" s="3505"/>
      <c r="K2" s="3505"/>
      <c r="L2" s="3505"/>
      <c r="M2" s="3505"/>
      <c r="N2" s="3505"/>
      <c r="O2" s="3505"/>
      <c r="P2" s="3505"/>
      <c r="Q2" s="3505"/>
      <c r="R2" s="3505"/>
    </row>
    <row r="3" spans="1:18">
      <c r="A3" s="3016" t="s">
        <v>2500</v>
      </c>
      <c r="B3" s="3017">
        <f>项目基本情况!D3</f>
        <v>45726</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1.77</v>
      </c>
      <c r="D5" s="3021">
        <f>IF(ISERROR(ROUND(POWER(1+E5,A5-C5)*(POWER(1+E5,C5)-1)/(POWER(1+E5,A5)-1),3)),0,ROUND(POWER(1+E5,A5-C5)*(POWER(1+E5,C5)-1)/(POWER(1+E5,A5)-1),4))</f>
        <v>8.4699999999999998E-2</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11.78</v>
      </c>
      <c r="D6" s="3021">
        <f>IF(ISERROR(ROUND(POWER(1+E6,A6-C6)*(POWER(1+E6,C6)-1)/(POWER(1+E6,A6)-1),3)),0,ROUND(POWER(1+E6,A6-C6)*(POWER(1+E6,C6)-1)/(POWER(1+E6,A6)-1),4))</f>
        <v>0.43059999999999998</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31.8</v>
      </c>
      <c r="D7" s="3021">
        <f>IF(ISERROR(ROUND(POWER(1+E7,A7-C7)*(POWER(1+E7,C7)-1)/(POWER(1+E7,A7)-1),3)),0,ROUND(POWER(1+E7,A7-C7)*(POWER(1+E7,C7)-1)/(POWER(1+E7,A7)-1),4))</f>
        <v>0.76160000000000005</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4">
      <c r="A17" s="3016" t="s">
        <v>2516</v>
      </c>
      <c r="B17" s="3025">
        <v>4810</v>
      </c>
      <c r="C17" s="3018"/>
      <c r="D17" s="3014"/>
      <c r="E17" s="3014"/>
      <c r="F17" s="3015"/>
    </row>
    <row r="18" spans="1:14" ht="14.25" thickBot="1">
      <c r="A18" s="3027" t="s">
        <v>2515</v>
      </c>
      <c r="B18" s="3028">
        <f>ROUND(B17*F11/F12,2)</f>
        <v>5541.87</v>
      </c>
      <c r="C18" s="3028">
        <f>ROUND(F11/F12,4)</f>
        <v>1.1521999999999999</v>
      </c>
      <c r="D18" s="3029"/>
      <c r="E18" s="3029"/>
      <c r="F18" s="3030"/>
    </row>
    <row r="19" spans="1:14" ht="14.25" thickBot="1"/>
    <row r="20" spans="1:14" s="3065" customFormat="1" ht="14.25" thickTop="1">
      <c r="A20" s="3062" t="s">
        <v>2518</v>
      </c>
      <c r="B20" s="3063"/>
      <c r="C20" s="3063"/>
      <c r="D20" s="3063"/>
      <c r="E20" s="3063"/>
      <c r="F20" s="3063"/>
      <c r="G20" s="3064"/>
      <c r="I20" s="3066" t="s">
        <v>2563</v>
      </c>
      <c r="J20" s="3066" t="s">
        <v>2568</v>
      </c>
      <c r="K20" s="3066"/>
      <c r="L20" s="3066"/>
      <c r="M20" s="3066"/>
    </row>
    <row r="21" spans="1:14">
      <c r="A21" s="3031"/>
      <c r="B21" s="3032" t="s">
        <v>2519</v>
      </c>
      <c r="C21" s="3032" t="s">
        <v>2520</v>
      </c>
      <c r="D21" s="3032" t="s">
        <v>2521</v>
      </c>
      <c r="E21" s="3032" t="s">
        <v>2522</v>
      </c>
      <c r="F21" s="3032" t="s">
        <v>2523</v>
      </c>
      <c r="G21" s="3033" t="s">
        <v>2524</v>
      </c>
      <c r="I21" s="3054">
        <v>5</v>
      </c>
      <c r="J21" s="3054">
        <v>54.2</v>
      </c>
    </row>
    <row r="22" spans="1:14">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N23" s="3453" t="s">
        <v>2567</v>
      </c>
    </row>
    <row r="24" spans="1:14">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N24" s="3453">
        <v>10</v>
      </c>
    </row>
    <row r="25" spans="1:14">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N25" s="3453">
        <v>8</v>
      </c>
    </row>
    <row r="26" spans="1:14">
      <c r="A26" s="3036"/>
      <c r="B26" s="3037"/>
      <c r="C26" s="3037"/>
      <c r="D26" s="3037"/>
      <c r="E26" s="3037"/>
      <c r="F26" s="3037"/>
      <c r="G26" s="3038"/>
      <c r="I26" s="3054">
        <v>30</v>
      </c>
      <c r="J26" s="3054">
        <v>90.5</v>
      </c>
      <c r="K26" s="3054">
        <f t="shared" si="2"/>
        <v>4.2000000000000028</v>
      </c>
      <c r="L26" s="3054" t="s">
        <v>2570</v>
      </c>
      <c r="N26" s="3453">
        <v>5</v>
      </c>
    </row>
    <row r="27" spans="1:14">
      <c r="A27" s="3036" t="s">
        <v>2529</v>
      </c>
      <c r="B27" s="3037"/>
      <c r="C27" s="3037"/>
      <c r="D27" s="3037"/>
      <c r="E27" s="3037"/>
      <c r="F27" s="3037"/>
      <c r="G27" s="3038"/>
      <c r="I27" s="3054">
        <v>35</v>
      </c>
      <c r="J27" s="3054">
        <v>93.8</v>
      </c>
      <c r="K27" s="3054">
        <f t="shared" si="2"/>
        <v>3.2999999999999972</v>
      </c>
      <c r="L27" s="3054" t="s">
        <v>2571</v>
      </c>
      <c r="N27" s="3453">
        <v>3</v>
      </c>
    </row>
    <row r="28" spans="1:14">
      <c r="A28" s="3036" t="s">
        <v>2530</v>
      </c>
      <c r="B28" s="3037"/>
      <c r="C28" s="3037"/>
      <c r="D28" s="3037"/>
      <c r="E28" s="3037"/>
      <c r="F28" s="3037"/>
      <c r="G28" s="3038"/>
      <c r="I28" s="3054">
        <v>40</v>
      </c>
      <c r="J28" s="3054">
        <v>96.4</v>
      </c>
      <c r="K28" s="3054">
        <f t="shared" si="2"/>
        <v>2.6000000000000085</v>
      </c>
      <c r="L28" s="3054" t="s">
        <v>2572</v>
      </c>
      <c r="N28" s="3453">
        <v>2</v>
      </c>
    </row>
    <row r="29" spans="1:14">
      <c r="A29" s="3036" t="s">
        <v>2531</v>
      </c>
      <c r="B29" s="3037"/>
      <c r="C29" s="3037"/>
      <c r="D29" s="3037"/>
      <c r="E29" s="3037"/>
      <c r="F29" s="3037"/>
      <c r="G29" s="3038"/>
      <c r="I29" s="3054">
        <v>45</v>
      </c>
      <c r="J29" s="3054">
        <v>98.4</v>
      </c>
      <c r="K29" s="3054">
        <f t="shared" si="2"/>
        <v>2</v>
      </c>
    </row>
    <row r="30" spans="1:14">
      <c r="A30" s="3036" t="s">
        <v>2532</v>
      </c>
      <c r="B30" s="3037"/>
      <c r="C30" s="3037"/>
      <c r="D30" s="3037"/>
      <c r="E30" s="3037"/>
      <c r="F30" s="3037"/>
      <c r="G30" s="3038"/>
      <c r="I30" s="3054">
        <v>50</v>
      </c>
      <c r="J30" s="3054">
        <v>100</v>
      </c>
      <c r="K30" s="3054">
        <f t="shared" si="2"/>
        <v>1.5999999999999943</v>
      </c>
    </row>
    <row r="31" spans="1:14">
      <c r="A31" s="3036" t="s">
        <v>2533</v>
      </c>
      <c r="B31" s="3037"/>
      <c r="C31" s="3037"/>
      <c r="D31" s="3037"/>
      <c r="E31" s="3037"/>
      <c r="F31" s="3037"/>
      <c r="G31" s="3038"/>
      <c r="I31" s="3054" t="s">
        <v>2564</v>
      </c>
    </row>
    <row r="32" spans="1:14">
      <c r="A32" s="3036" t="s">
        <v>2534</v>
      </c>
      <c r="B32" s="3037"/>
      <c r="C32" s="3037"/>
      <c r="D32" s="3037"/>
      <c r="E32" s="3037"/>
      <c r="F32" s="3037"/>
      <c r="G32" s="3038"/>
    </row>
    <row r="33" spans="1:14">
      <c r="A33" s="3036" t="s">
        <v>2535</v>
      </c>
      <c r="B33" s="3037"/>
      <c r="C33" s="3037"/>
      <c r="D33" s="3037"/>
      <c r="E33" s="3037"/>
      <c r="F33" s="3037"/>
      <c r="G33" s="3038"/>
      <c r="I33" s="3054" t="s">
        <v>2563</v>
      </c>
      <c r="J33" s="3054" t="s">
        <v>2573</v>
      </c>
    </row>
    <row r="34" spans="1:14">
      <c r="A34" s="3036" t="s">
        <v>2536</v>
      </c>
      <c r="B34" s="3037"/>
      <c r="C34" s="3037"/>
      <c r="D34" s="3037"/>
      <c r="E34" s="3037"/>
      <c r="F34" s="3037"/>
      <c r="G34" s="3038"/>
      <c r="I34" s="3054">
        <v>5</v>
      </c>
      <c r="J34" s="3054">
        <v>55.1</v>
      </c>
    </row>
    <row r="35" spans="1:14">
      <c r="A35" s="3036" t="s">
        <v>2537</v>
      </c>
      <c r="B35" s="3037"/>
      <c r="C35" s="3037"/>
      <c r="D35" s="3037"/>
      <c r="E35" s="3037"/>
      <c r="F35" s="3037"/>
      <c r="G35" s="3038"/>
      <c r="I35" s="3054">
        <v>10</v>
      </c>
      <c r="J35" s="3054">
        <v>67</v>
      </c>
      <c r="K35" s="3054">
        <f>J35-J34</f>
        <v>11.899999999999999</v>
      </c>
    </row>
    <row r="36" spans="1:14">
      <c r="A36" s="3036" t="s">
        <v>2538</v>
      </c>
      <c r="B36" s="3037"/>
      <c r="C36" s="3037"/>
      <c r="D36" s="3037"/>
      <c r="E36" s="3037"/>
      <c r="F36" s="3037"/>
      <c r="G36" s="3038"/>
      <c r="I36" s="3054">
        <v>15</v>
      </c>
      <c r="J36" s="3054">
        <v>76.3</v>
      </c>
      <c r="K36" s="3054">
        <f t="shared" ref="K36:K41" si="3">J36-J35</f>
        <v>9.2999999999999972</v>
      </c>
      <c r="L36" s="3054" t="s">
        <v>2566</v>
      </c>
      <c r="N36" s="3453" t="s">
        <v>2567</v>
      </c>
    </row>
    <row r="37" spans="1:14">
      <c r="A37" s="3036" t="s">
        <v>2539</v>
      </c>
      <c r="B37" s="3037"/>
      <c r="C37" s="3037"/>
      <c r="D37" s="3037"/>
      <c r="E37" s="3037"/>
      <c r="F37" s="3037"/>
      <c r="G37" s="3038"/>
      <c r="I37" s="3054">
        <v>20</v>
      </c>
      <c r="J37" s="3054">
        <v>83.6</v>
      </c>
      <c r="K37" s="3054">
        <f t="shared" si="3"/>
        <v>7.2999999999999972</v>
      </c>
      <c r="L37" s="3054" t="s">
        <v>2565</v>
      </c>
      <c r="N37" s="3453">
        <v>10</v>
      </c>
    </row>
    <row r="38" spans="1:14">
      <c r="A38" s="3036" t="s">
        <v>2540</v>
      </c>
      <c r="B38" s="3037"/>
      <c r="C38" s="3037"/>
      <c r="D38" s="3037"/>
      <c r="E38" s="3037"/>
      <c r="F38" s="3037"/>
      <c r="G38" s="3038"/>
      <c r="I38" s="3054">
        <v>25</v>
      </c>
      <c r="J38" s="3054">
        <v>89.3</v>
      </c>
      <c r="K38" s="3054">
        <f t="shared" si="3"/>
        <v>5.7000000000000028</v>
      </c>
      <c r="L38" s="3054" t="s">
        <v>2569</v>
      </c>
      <c r="N38" s="3453">
        <v>8</v>
      </c>
    </row>
    <row r="39" spans="1:14">
      <c r="A39" s="3036"/>
      <c r="B39" s="3037"/>
      <c r="C39" s="3037"/>
      <c r="D39" s="3037"/>
      <c r="E39" s="3037"/>
      <c r="F39" s="3037"/>
      <c r="G39" s="3038"/>
      <c r="I39" s="3054">
        <v>30</v>
      </c>
      <c r="J39" s="3054">
        <v>93.8</v>
      </c>
      <c r="K39" s="3054">
        <f t="shared" si="3"/>
        <v>4.5</v>
      </c>
      <c r="L39" s="3054" t="s">
        <v>2570</v>
      </c>
      <c r="N39" s="3453">
        <v>6</v>
      </c>
    </row>
    <row r="40" spans="1:14">
      <c r="A40" s="3039" t="s">
        <v>2541</v>
      </c>
      <c r="B40" s="3040"/>
      <c r="C40" s="3040"/>
      <c r="D40" s="3040"/>
      <c r="E40" s="3040"/>
      <c r="F40" s="3040"/>
      <c r="G40" s="3041"/>
      <c r="I40" s="3054">
        <v>35</v>
      </c>
      <c r="J40" s="3054">
        <v>97.2</v>
      </c>
      <c r="K40" s="3054">
        <f t="shared" si="3"/>
        <v>3.4000000000000057</v>
      </c>
      <c r="L40" s="3054" t="s">
        <v>2571</v>
      </c>
      <c r="N40" s="3453">
        <v>3</v>
      </c>
    </row>
    <row r="41" spans="1:14">
      <c r="A41" s="3042" t="s">
        <v>2542</v>
      </c>
      <c r="B41" s="3043" t="s">
        <v>2543</v>
      </c>
      <c r="C41" s="3044" t="s">
        <v>2544</v>
      </c>
      <c r="D41" s="3044" t="s">
        <v>2545</v>
      </c>
      <c r="E41" s="3045"/>
      <c r="F41" s="3046"/>
      <c r="G41" s="3047"/>
      <c r="I41" s="3054">
        <v>40</v>
      </c>
      <c r="J41" s="3054">
        <v>100</v>
      </c>
      <c r="K41" s="3054">
        <f t="shared" si="3"/>
        <v>2.7999999999999972</v>
      </c>
    </row>
    <row r="42" spans="1:14">
      <c r="A42" s="3042" t="s">
        <v>2546</v>
      </c>
      <c r="B42" s="3043" t="s">
        <v>2547</v>
      </c>
      <c r="C42" s="3044" t="s">
        <v>2548</v>
      </c>
      <c r="D42" s="3048" t="s">
        <v>2549</v>
      </c>
      <c r="E42" s="3040" t="s">
        <v>2550</v>
      </c>
      <c r="F42" s="3040"/>
      <c r="G42" s="3041"/>
    </row>
    <row r="43" spans="1:14">
      <c r="A43" s="3042" t="s">
        <v>2551</v>
      </c>
      <c r="B43" s="3043" t="s">
        <v>2552</v>
      </c>
      <c r="C43" s="3044" t="s">
        <v>2553</v>
      </c>
      <c r="D43" s="3044" t="s">
        <v>2554</v>
      </c>
      <c r="E43" s="3045" t="s">
        <v>2555</v>
      </c>
      <c r="F43" s="3046"/>
      <c r="G43" s="3047"/>
      <c r="I43" s="3054" t="s">
        <v>2563</v>
      </c>
      <c r="J43" s="3054" t="s">
        <v>2574</v>
      </c>
    </row>
    <row r="44" spans="1:14">
      <c r="A44" s="3042" t="s">
        <v>2556</v>
      </c>
      <c r="B44" s="3043" t="s">
        <v>2557</v>
      </c>
      <c r="C44" s="3044" t="s">
        <v>2558</v>
      </c>
      <c r="D44" s="3048">
        <v>0.5</v>
      </c>
      <c r="E44" s="3045" t="s">
        <v>2559</v>
      </c>
      <c r="F44" s="3046"/>
      <c r="G44" s="3047"/>
      <c r="I44" s="3054">
        <v>30</v>
      </c>
      <c r="J44" s="3054">
        <v>81.7</v>
      </c>
    </row>
    <row r="45" spans="1:14" ht="14.25" thickBot="1">
      <c r="A45" s="3049" t="s">
        <v>2560</v>
      </c>
      <c r="B45" s="3050" t="s">
        <v>2547</v>
      </c>
      <c r="C45" s="3051" t="s">
        <v>2547</v>
      </c>
      <c r="D45" s="3051" t="s">
        <v>2561</v>
      </c>
      <c r="E45" s="3052" t="s">
        <v>2562</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3389</v>
      </c>
    </row>
    <row r="50" spans="1:4">
      <c r="A50" s="3445" t="s">
        <v>3390</v>
      </c>
      <c r="B50" s="3445" t="s">
        <v>3391</v>
      </c>
      <c r="C50" s="3445" t="s">
        <v>3392</v>
      </c>
      <c r="D50" s="3445" t="s">
        <v>3393</v>
      </c>
    </row>
    <row r="51" spans="1:4">
      <c r="A51" s="3445" t="s">
        <v>3394</v>
      </c>
      <c r="B51" s="3018">
        <f>B52+B53</f>
        <v>15000</v>
      </c>
      <c r="C51" s="3446">
        <f>D51/B51</f>
        <v>2666.6666666666665</v>
      </c>
      <c r="D51" s="3018">
        <f>D52+D53</f>
        <v>40000000</v>
      </c>
    </row>
    <row r="52" spans="1:4">
      <c r="A52" s="3447" t="s">
        <v>3395</v>
      </c>
      <c r="B52" s="3448">
        <v>10000</v>
      </c>
      <c r="C52" s="3448">
        <v>1500</v>
      </c>
      <c r="D52" s="3449">
        <f>C52*B52</f>
        <v>15000000</v>
      </c>
    </row>
    <row r="53" spans="1:4">
      <c r="A53" s="3447" t="s">
        <v>3396</v>
      </c>
      <c r="B53" s="3448">
        <v>5000</v>
      </c>
      <c r="C53" s="3448">
        <v>5000</v>
      </c>
      <c r="D53" s="3449">
        <f>C53*B53</f>
        <v>25000000</v>
      </c>
    </row>
    <row r="54" spans="1:4">
      <c r="A54" s="3445" t="s">
        <v>3397</v>
      </c>
      <c r="B54" s="3018">
        <f>B51</f>
        <v>15000</v>
      </c>
      <c r="C54" s="3025">
        <v>700</v>
      </c>
      <c r="D54" s="3018">
        <f t="shared" ref="D54:D55" si="5">C54*B54</f>
        <v>10500000</v>
      </c>
    </row>
    <row r="55" spans="1:4">
      <c r="A55" s="3445" t="s">
        <v>3398</v>
      </c>
      <c r="B55" s="3018">
        <f>B51</f>
        <v>15000</v>
      </c>
      <c r="C55" s="3025">
        <v>1500</v>
      </c>
      <c r="D55" s="3018">
        <f t="shared" si="5"/>
        <v>22500000</v>
      </c>
    </row>
    <row r="56" spans="1:4">
      <c r="A56" s="3445" t="s">
        <v>3399</v>
      </c>
      <c r="B56" s="3018">
        <f>B51</f>
        <v>15000</v>
      </c>
      <c r="C56" s="3450">
        <f>C51+C54+C55</f>
        <v>4866.6666666666661</v>
      </c>
      <c r="D56" s="3018">
        <f>D51+D54+D55</f>
        <v>73000000</v>
      </c>
    </row>
    <row r="58" spans="1:4">
      <c r="A58" s="3445" t="s">
        <v>3400</v>
      </c>
      <c r="B58" s="3451">
        <v>0.05</v>
      </c>
      <c r="C58" s="3018">
        <f>C56*(1+B58)</f>
        <v>5110</v>
      </c>
      <c r="D58" s="3018">
        <f>D56*B58</f>
        <v>3650000</v>
      </c>
    </row>
    <row r="60" spans="1:4">
      <c r="A60" s="3445" t="s">
        <v>3401</v>
      </c>
      <c r="B60" s="3025">
        <v>3500</v>
      </c>
      <c r="C60" s="3025">
        <f>C53</f>
        <v>5000</v>
      </c>
      <c r="D60" s="3018">
        <f>C60*B60</f>
        <v>17500000</v>
      </c>
    </row>
    <row r="62" spans="1:4">
      <c r="A62" s="3445" t="s">
        <v>3402</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4" sqref="E4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45726</v>
      </c>
      <c r="C3" s="2371" t="s">
        <v>2170</v>
      </c>
      <c r="D3" s="2370">
        <f>B3</f>
        <v>45726</v>
      </c>
      <c r="E3" s="2659"/>
      <c r="F3" s="2659"/>
      <c r="G3" s="2659"/>
      <c r="H3" s="2659"/>
      <c r="I3" s="2659"/>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0"/>
      <c r="F5" s="2660"/>
      <c r="G5" s="2660"/>
      <c r="H5" s="2660"/>
      <c r="I5" s="2660"/>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3404</v>
      </c>
      <c r="C8" s="2387"/>
      <c r="D8" s="3517" t="s">
        <v>2176</v>
      </c>
      <c r="E8" s="2388" t="s">
        <v>3405</v>
      </c>
      <c r="F8" s="2389"/>
      <c r="G8" s="2659"/>
      <c r="H8" s="2659"/>
      <c r="I8" s="2659"/>
      <c r="J8" s="2436"/>
      <c r="K8" s="2610"/>
      <c r="L8" s="2609"/>
      <c r="M8" s="2609"/>
      <c r="N8" s="2436"/>
      <c r="O8" s="2447"/>
      <c r="P8" s="2436"/>
      <c r="Q8" s="2436"/>
      <c r="R8" s="2436"/>
    </row>
    <row r="9" spans="1:30" ht="13.5" thickBot="1">
      <c r="A9" s="2390" t="s">
        <v>2177</v>
      </c>
      <c r="B9" s="2391" t="s">
        <v>3405</v>
      </c>
      <c r="C9" s="2392"/>
      <c r="D9" s="3518"/>
      <c r="E9" s="2391" t="s">
        <v>587</v>
      </c>
      <c r="F9" s="2393"/>
      <c r="G9" s="2661"/>
      <c r="H9" s="2661"/>
      <c r="I9" s="2661"/>
      <c r="J9" s="2436"/>
      <c r="K9" s="2612"/>
      <c r="L9" s="2609"/>
      <c r="M9" s="2609"/>
      <c r="N9" s="2436"/>
      <c r="O9" s="2447"/>
      <c r="P9" s="2436"/>
      <c r="Q9" s="2436"/>
      <c r="R9" s="2436"/>
    </row>
    <row r="10" spans="1:30" ht="13.5" thickTop="1">
      <c r="A10" s="2394" t="s">
        <v>2178</v>
      </c>
      <c r="B10" s="2395" t="s">
        <v>3406</v>
      </c>
      <c r="C10" s="2396"/>
      <c r="D10" s="2379"/>
      <c r="E10" s="2397" t="s">
        <v>2179</v>
      </c>
      <c r="F10" s="2662"/>
      <c r="G10" s="2663"/>
      <c r="H10" s="2664"/>
      <c r="I10" s="2665"/>
      <c r="J10" s="2436"/>
      <c r="K10" s="2612"/>
      <c r="L10" s="2609"/>
      <c r="M10" s="2609"/>
      <c r="N10" s="2436"/>
      <c r="O10" s="2447"/>
      <c r="P10" s="2436"/>
      <c r="Q10" s="2436"/>
      <c r="R10" s="2436"/>
    </row>
    <row r="11" spans="1:30">
      <c r="A11" s="2398" t="s">
        <v>2180</v>
      </c>
      <c r="B11" s="2399" t="s">
        <v>3407</v>
      </c>
      <c r="C11" s="2400"/>
      <c r="D11" s="2401"/>
      <c r="E11" s="2367"/>
      <c r="F11" s="2367"/>
      <c r="G11" s="2367"/>
      <c r="H11" s="2367"/>
      <c r="I11" s="2367"/>
      <c r="J11" s="3057"/>
      <c r="K11" s="3056"/>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5" t="s">
        <v>2575</v>
      </c>
      <c r="J12" s="3058"/>
      <c r="K12" s="2609"/>
      <c r="L12" s="2609"/>
      <c r="M12" s="2436"/>
      <c r="N12" s="2447"/>
      <c r="O12" s="2436"/>
      <c r="P12" s="2436"/>
      <c r="Q12" s="2436"/>
      <c r="AD12" s="1742"/>
    </row>
    <row r="13" spans="1:30">
      <c r="A13" s="3419" t="s">
        <v>3331</v>
      </c>
      <c r="B13" s="2404" t="s">
        <v>2189</v>
      </c>
      <c r="C13" s="853"/>
      <c r="D13" s="853"/>
      <c r="E13" s="853"/>
      <c r="F13" s="853"/>
      <c r="G13" s="853"/>
      <c r="H13" s="853">
        <v>58866</v>
      </c>
      <c r="I13" s="853"/>
      <c r="J13" s="3058"/>
      <c r="K13" s="2609"/>
      <c r="L13" s="2609"/>
      <c r="M13" s="2436"/>
      <c r="N13" s="2447"/>
      <c r="O13" s="2436"/>
      <c r="P13" s="2436"/>
      <c r="Q13" s="2436"/>
      <c r="AD13" s="1742"/>
    </row>
    <row r="14" spans="1:30">
      <c r="A14" s="1078"/>
      <c r="B14" s="2404" t="s">
        <v>2190</v>
      </c>
      <c r="C14" s="2405"/>
      <c r="D14" s="2405"/>
      <c r="E14" s="2405"/>
      <c r="F14" s="2405"/>
      <c r="G14" s="2405"/>
      <c r="H14" s="2405">
        <v>50</v>
      </c>
      <c r="I14" s="2405"/>
      <c r="J14" s="3059"/>
      <c r="K14" s="2609"/>
      <c r="L14" s="2609"/>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36</v>
      </c>
      <c r="I15" s="2407" t="str">
        <f>IF(A13="出让",IF(I13="","",ROUNDDOWN(MIN((I13-$D$3)/365,I14),2)),I14)</f>
        <v/>
      </c>
      <c r="J15" s="3060"/>
      <c r="K15" s="2448"/>
      <c r="L15" s="2448"/>
      <c r="M15" s="2506"/>
      <c r="N15" s="2448"/>
      <c r="O15" s="2506"/>
      <c r="P15" s="2436"/>
      <c r="Q15" s="2436"/>
      <c r="AD15" s="1742"/>
    </row>
    <row r="16" spans="1:30">
      <c r="A16" s="2397" t="s">
        <v>2192</v>
      </c>
      <c r="B16" s="3524"/>
      <c r="C16" s="3525"/>
      <c r="D16" s="3526"/>
      <c r="E16" s="2410" t="s">
        <v>2193</v>
      </c>
      <c r="F16" s="3527"/>
      <c r="G16" s="3528"/>
      <c r="H16" s="3528"/>
      <c r="I16" s="3529"/>
      <c r="J16" s="2436"/>
      <c r="K16" s="2613"/>
      <c r="L16" s="2448"/>
      <c r="M16" s="2448"/>
      <c r="N16" s="2506"/>
      <c r="O16" s="2448"/>
      <c r="P16" s="2506"/>
      <c r="Q16" s="2436"/>
      <c r="R16" s="2436"/>
    </row>
    <row r="17" spans="1:28">
      <c r="A17" s="312" t="s">
        <v>2194</v>
      </c>
      <c r="B17" s="301" t="s">
        <v>2195</v>
      </c>
      <c r="C17" s="8">
        <f>'数据-汇总表'!E3</f>
        <v>817.51</v>
      </c>
      <c r="D17" s="2319" t="s">
        <v>2196</v>
      </c>
      <c r="E17" s="3530" t="s">
        <v>2197</v>
      </c>
      <c r="F17" s="3531"/>
      <c r="G17" s="3531"/>
      <c r="H17" s="3531"/>
      <c r="I17" s="3532"/>
      <c r="J17" s="2436"/>
      <c r="K17" s="2614"/>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33" t="s">
        <v>2201</v>
      </c>
      <c r="F18" s="3534"/>
      <c r="G18" s="3534"/>
      <c r="H18" s="3534"/>
      <c r="I18" s="3535"/>
      <c r="J18" s="2436"/>
      <c r="K18" s="2614"/>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0"/>
      <c r="I19" s="2660"/>
      <c r="J19" s="2436"/>
      <c r="K19" s="2612"/>
      <c r="L19" s="2609"/>
      <c r="M19" s="2609"/>
      <c r="N19" s="2506"/>
      <c r="O19" s="2448"/>
      <c r="P19" s="2506"/>
      <c r="Q19" s="2436"/>
      <c r="R19" s="2436"/>
      <c r="S19" s="2436"/>
      <c r="T19" s="2436"/>
      <c r="U19" s="2436"/>
      <c r="V19" s="2436"/>
    </row>
    <row r="20" spans="1:28">
      <c r="A20" s="2628" t="s">
        <v>2204</v>
      </c>
      <c r="B20" s="3520" t="s">
        <v>2205</v>
      </c>
      <c r="C20" s="3521"/>
      <c r="D20" s="3522" t="s">
        <v>2206</v>
      </c>
      <c r="E20" s="3523"/>
      <c r="F20" s="2643" t="s">
        <v>1056</v>
      </c>
      <c r="G20" s="2660"/>
      <c r="H20" s="2660"/>
      <c r="I20" s="2660"/>
      <c r="J20" s="2436"/>
      <c r="K20" s="3519"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6"/>
      <c r="K21" s="351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8"/>
      <c r="B22" s="2632" t="s">
        <v>2210</v>
      </c>
      <c r="C22" s="2630" t="s">
        <v>1058</v>
      </c>
      <c r="D22" s="2659"/>
      <c r="E22" s="2659"/>
      <c r="F22" s="2659"/>
      <c r="G22" s="2660">
        <v>2017</v>
      </c>
      <c r="H22" s="2660"/>
      <c r="I22" s="2660"/>
      <c r="J22" s="2436"/>
      <c r="K22" s="351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07" t="s">
        <v>2213</v>
      </c>
      <c r="B27" s="319" t="s">
        <v>2214</v>
      </c>
      <c r="C27" s="2413" t="s">
        <v>3408</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07"/>
      <c r="B28" s="301" t="s">
        <v>2215</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07"/>
      <c r="B29" s="301" t="s">
        <v>2216</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08"/>
      <c r="B30" s="301" t="s">
        <v>2217</v>
      </c>
      <c r="C30" s="3509"/>
      <c r="D30" s="3510"/>
      <c r="E30" s="2660"/>
      <c r="F30" s="2660"/>
      <c r="G30" s="2660"/>
      <c r="H30" s="2660"/>
      <c r="I30" s="2660"/>
      <c r="J30" s="2436"/>
      <c r="K30" s="2612"/>
      <c r="L30" s="2609"/>
      <c r="M30" s="2609"/>
      <c r="N30" s="2436"/>
      <c r="O30" s="2447"/>
      <c r="P30" s="2436"/>
      <c r="Q30" s="2436"/>
      <c r="R30" s="2436"/>
      <c r="S30" s="2436"/>
      <c r="T30" s="2436"/>
      <c r="U30" s="2436"/>
      <c r="V30" s="2436"/>
    </row>
    <row r="31" spans="1:28">
      <c r="A31" s="3511" t="s">
        <v>2218</v>
      </c>
      <c r="B31" s="2419" t="s">
        <v>3409</v>
      </c>
      <c r="C31" s="2320" t="str">
        <f>IF(B31="现房","成新及维护状况正常否",IF(B31="在建","工程状态是否正常",IF(B31="土地","是否闲置","-")))</f>
        <v>成新及维护状况正常否</v>
      </c>
      <c r="D31" s="1370"/>
      <c r="E31" s="2420"/>
      <c r="F31" s="2660"/>
      <c r="G31" s="2660"/>
      <c r="H31" s="2660"/>
      <c r="I31" s="2660"/>
      <c r="J31" s="2436"/>
      <c r="K31" s="2611"/>
      <c r="L31" s="2609"/>
      <c r="M31" s="2609"/>
      <c r="N31" s="2436"/>
      <c r="O31" s="2447"/>
      <c r="P31" s="2436"/>
      <c r="Q31" s="2436"/>
      <c r="R31" s="2436"/>
      <c r="S31" s="2436"/>
      <c r="T31" s="2436"/>
      <c r="U31" s="2436"/>
      <c r="V31" s="2436"/>
    </row>
    <row r="32" spans="1:28">
      <c r="A32" s="3512"/>
      <c r="B32" s="2419"/>
      <c r="C32" s="2320" t="str">
        <f>IF(B32="现房","成新及维护状况是否正常",IF(B32="在建","工程状态是否正常",IF(B32="土地","是否闲置","-")))</f>
        <v>-</v>
      </c>
      <c r="D32" s="1370"/>
      <c r="E32" s="2420"/>
      <c r="F32" s="2660"/>
      <c r="G32" s="2660"/>
      <c r="H32" s="2660"/>
      <c r="I32" s="2660"/>
      <c r="J32" s="2436"/>
      <c r="K32" s="2612"/>
      <c r="L32" s="2609"/>
      <c r="M32" s="2609"/>
      <c r="N32" s="2436"/>
      <c r="O32" s="2447"/>
      <c r="P32" s="2436"/>
      <c r="Q32" s="2436"/>
      <c r="R32" s="2436"/>
      <c r="S32" s="2436"/>
      <c r="T32" s="2436"/>
      <c r="U32" s="2436"/>
      <c r="V32" s="2436"/>
    </row>
    <row r="33" spans="1:30">
      <c r="A33" s="3512"/>
      <c r="B33" s="2422"/>
      <c r="C33" s="1587" t="str">
        <f>IF(B33="现房","成新及维护状况是否正常",IF(B33="在建","工程状态是否正常",IF(B33="土地","是否闲置","-")))</f>
        <v>-</v>
      </c>
      <c r="D33" s="1362"/>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3"/>
      <c r="C34" s="2023"/>
      <c r="D34" s="2023"/>
      <c r="E34" s="2023"/>
      <c r="F34" s="2023"/>
      <c r="G34" s="2023"/>
      <c r="H34" s="2023"/>
      <c r="I34" s="2660"/>
      <c r="J34" s="2436"/>
      <c r="K34" s="2424">
        <f>COUNTIF(B34:H34,"——")</f>
        <v>0</v>
      </c>
      <c r="L34" s="322" t="s">
        <v>2220</v>
      </c>
      <c r="M34" s="322" t="s">
        <v>2221</v>
      </c>
      <c r="N34" s="322" t="s">
        <v>2222</v>
      </c>
      <c r="O34" s="322" t="s">
        <v>2223</v>
      </c>
      <c r="P34" s="322" t="s">
        <v>2224</v>
      </c>
      <c r="Q34" s="322" t="s">
        <v>2225</v>
      </c>
      <c r="R34" s="322" t="s">
        <v>2226</v>
      </c>
      <c r="S34" s="3506" t="s">
        <v>2227</v>
      </c>
      <c r="T34" s="2425" t="str">
        <f>NUMBERSTRING(7-K34,1)&amp;"通"</f>
        <v>七通</v>
      </c>
      <c r="U34" s="2436"/>
      <c r="V34" s="2436"/>
    </row>
    <row r="35" spans="1:30">
      <c r="A35" s="2426"/>
      <c r="B35" s="3513" t="s">
        <v>2228</v>
      </c>
      <c r="C35" s="3513"/>
      <c r="D35" s="3513"/>
      <c r="E35" s="3513"/>
      <c r="F35" s="661">
        <f>C10</f>
        <v>0</v>
      </c>
      <c r="G35" s="2660"/>
      <c r="H35" s="2660"/>
      <c r="I35" s="2660"/>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6"/>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1" t="s">
        <v>2578</v>
      </c>
      <c r="G36" s="2660"/>
      <c r="H36" s="2660"/>
      <c r="I36" s="2660"/>
      <c r="J36" s="2436"/>
      <c r="K36" s="2612"/>
      <c r="L36" s="2609"/>
      <c r="M36" s="2609"/>
      <c r="N36" s="2436"/>
      <c r="O36" s="2447"/>
      <c r="P36" s="2436"/>
      <c r="Q36" s="2436"/>
      <c r="R36" s="2436"/>
      <c r="S36" s="2436"/>
      <c r="T36" s="2436"/>
      <c r="U36" s="2436"/>
      <c r="V36" s="2436"/>
    </row>
    <row r="37" spans="1:30">
      <c r="A37" s="2626" t="s">
        <v>2229</v>
      </c>
      <c r="B37" s="2428"/>
      <c r="C37" s="2428"/>
      <c r="D37" s="2428"/>
      <c r="E37" s="2428" t="s">
        <v>304</v>
      </c>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c r="C38" s="2429"/>
      <c r="D38" s="2429"/>
      <c r="E38" s="2429" t="s">
        <v>3453</v>
      </c>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6"/>
      <c r="K40" s="2611"/>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817.51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817.51</v>
      </c>
      <c r="H5" s="13">
        <f t="shared" ref="H5:AT5" si="0">SUM(H13:H656)</f>
        <v>817.51</v>
      </c>
      <c r="I5" s="13">
        <f t="shared" si="0"/>
        <v>817.51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817.51</v>
      </c>
      <c r="BA5" s="15">
        <f t="shared" si="1"/>
        <v>817.51</v>
      </c>
      <c r="BB5" s="15">
        <f t="shared" si="1"/>
        <v>817.51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3412</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1803</v>
      </c>
      <c r="D13" s="1622" t="s">
        <v>3410</v>
      </c>
      <c r="E13" s="13">
        <f>IF($C$3="是",ROUND($A$3*G13/$B$3,2),ROUND($A$3*(G13-AT13)/$B$3,2))</f>
        <v>0</v>
      </c>
      <c r="F13" s="29"/>
      <c r="G13" s="30">
        <f>H13+AC13+AT13</f>
        <v>817.51</v>
      </c>
      <c r="H13" s="17">
        <f>SUMIF(I$12:AB$12,"总值",I13:AB13)</f>
        <v>817.51</v>
      </c>
      <c r="I13" s="1623">
        <v>817.51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1803</v>
      </c>
      <c r="AY13" s="1346">
        <f>ROUND($AY$6*AZ13/$AZ$5,2)</f>
        <v>0</v>
      </c>
      <c r="AZ13" s="13">
        <f>BA13+BL13</f>
        <v>817.51</v>
      </c>
      <c r="BA13" s="13">
        <f>SUM(BB13:BK13)</f>
        <v>817.51</v>
      </c>
      <c r="BB13" s="13">
        <f>IF($D13="是",I13-J13,0)</f>
        <v>817.51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24" sqref="E24"/>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5" t="s">
        <v>1131</v>
      </c>
      <c r="B2" s="3545"/>
      <c r="C2" s="3545"/>
      <c r="D2" s="793" t="s">
        <v>1107</v>
      </c>
      <c r="E2" s="1636" t="s">
        <v>1108</v>
      </c>
      <c r="F2" s="2655"/>
      <c r="G2" s="2646"/>
      <c r="H2" s="2647"/>
      <c r="I2" s="2322" t="s">
        <v>1132</v>
      </c>
      <c r="J2" s="2655"/>
      <c r="K2" s="2655"/>
      <c r="L2" s="2655"/>
      <c r="M2" s="2655"/>
      <c r="N2" s="2657"/>
      <c r="O2" s="2655"/>
      <c r="P2" s="2655"/>
    </row>
    <row r="3" spans="1:16" ht="15.75" thickBot="1">
      <c r="A3" s="3546" t="s">
        <v>1105</v>
      </c>
      <c r="B3" s="3546"/>
      <c r="C3" s="3546"/>
      <c r="D3" s="43">
        <f>'数据-基础表'!AY6</f>
        <v>0</v>
      </c>
      <c r="E3" s="43">
        <f>'数据-基础表'!AZ5</f>
        <v>817.51</v>
      </c>
      <c r="F3" s="2655"/>
      <c r="G3" s="1142"/>
      <c r="H3" s="1023" t="s">
        <v>1106</v>
      </c>
      <c r="I3" s="852" t="e">
        <f>ROUND('数据-基础表'!B3/'数据-基础表'!A3,2)</f>
        <v>#DIV/0!</v>
      </c>
      <c r="J3" s="2655"/>
      <c r="K3" s="2655"/>
      <c r="L3" s="2655"/>
      <c r="M3" s="2655"/>
      <c r="N3" s="2657"/>
      <c r="O3" s="2655"/>
      <c r="P3" s="2655"/>
    </row>
    <row r="4" spans="1:16" ht="15">
      <c r="A4" s="3547"/>
      <c r="B4" s="3548"/>
      <c r="C4" s="3549"/>
      <c r="D4" s="1638" t="s">
        <v>1107</v>
      </c>
      <c r="E4" s="1639" t="s">
        <v>1108</v>
      </c>
      <c r="F4" s="2655"/>
      <c r="G4" s="2648" t="s">
        <v>1133</v>
      </c>
      <c r="H4" s="1023" t="s">
        <v>1113</v>
      </c>
      <c r="I4" s="852" t="e">
        <f>ROUND(SUMIF('数据-基础表'!I9:AS9,"地上",'数据-基础表'!I5:AS5)/'数据-基础表'!A3,2)</f>
        <v>#DIV/0!</v>
      </c>
      <c r="J4" s="2655"/>
      <c r="K4" s="2655"/>
      <c r="L4" s="2655"/>
      <c r="M4" s="2655"/>
      <c r="N4" s="2657"/>
      <c r="O4" s="2655"/>
      <c r="P4" s="2655"/>
    </row>
    <row r="5" spans="1:16">
      <c r="A5" s="44" t="s">
        <v>1109</v>
      </c>
      <c r="B5" s="3550" t="s">
        <v>1110</v>
      </c>
      <c r="C5" s="3550"/>
      <c r="D5" s="45">
        <f>ROUND($D$3*E5/$E$3,2)</f>
        <v>0</v>
      </c>
      <c r="E5" s="46">
        <f>SUMIF('数据-基础表'!$11:$11,"住宅",'数据-基础表'!$5:$5)</f>
        <v>0</v>
      </c>
      <c r="F5" s="2655"/>
      <c r="G5" s="1142"/>
      <c r="H5" s="1023" t="s">
        <v>1106</v>
      </c>
      <c r="I5" s="852" t="e">
        <f>ROUND(E31/D31,2)</f>
        <v>#DIV/0!</v>
      </c>
      <c r="J5" s="2655"/>
      <c r="K5" s="2655"/>
      <c r="L5" s="2655"/>
      <c r="M5" s="2655"/>
      <c r="N5" s="2655"/>
      <c r="O5" s="2655"/>
      <c r="P5" s="2655"/>
    </row>
    <row r="6" spans="1:16" ht="15" thickBot="1">
      <c r="A6" s="1641"/>
      <c r="B6" s="3550" t="s">
        <v>1111</v>
      </c>
      <c r="C6" s="3550"/>
      <c r="D6" s="45">
        <f>ROUND($D$3*E6/$E$3,2)</f>
        <v>0</v>
      </c>
      <c r="E6" s="46">
        <f>E3-E5</f>
        <v>817.51</v>
      </c>
      <c r="F6" s="2655"/>
      <c r="G6" s="2649" t="s">
        <v>1112</v>
      </c>
      <c r="H6" s="1143" t="s">
        <v>1113</v>
      </c>
      <c r="I6" s="2650" t="e">
        <f>ROUND(F31/D31,2)</f>
        <v>#DIV/0!</v>
      </c>
      <c r="J6" s="2655"/>
      <c r="K6" s="2655"/>
      <c r="L6" s="2655"/>
      <c r="M6" s="2655"/>
      <c r="N6" s="2655"/>
      <c r="O6" s="2655"/>
      <c r="P6" s="2655"/>
    </row>
    <row r="7" spans="1:16" ht="15.75" thickBot="1">
      <c r="A7" s="3542"/>
      <c r="B7" s="3543"/>
      <c r="C7" s="3544"/>
      <c r="D7" s="1638" t="s">
        <v>1107</v>
      </c>
      <c r="E7" s="1642"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817.51</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817.51</v>
      </c>
      <c r="F16" s="2655"/>
      <c r="G16" s="2656"/>
      <c r="H16" s="1645" t="s">
        <v>1135</v>
      </c>
      <c r="I16" s="1646"/>
      <c r="J16" s="1136"/>
      <c r="K16" s="3539" t="s">
        <v>1135</v>
      </c>
      <c r="L16" s="3540"/>
      <c r="M16" s="3540"/>
      <c r="N16" s="3540"/>
      <c r="O16" s="3540"/>
      <c r="P16" s="3541"/>
    </row>
    <row r="17" spans="1:19" ht="15">
      <c r="A17" s="1647" t="s">
        <v>1136</v>
      </c>
      <c r="B17" s="1648" t="s">
        <v>1137</v>
      </c>
      <c r="C17" s="1649" t="s">
        <v>1138</v>
      </c>
      <c r="D17" s="1650" t="s">
        <v>1126</v>
      </c>
      <c r="E17" s="1651" t="s">
        <v>1127</v>
      </c>
      <c r="F17" s="1652"/>
      <c r="G17" s="1653"/>
      <c r="H17" s="1654" t="s">
        <v>1139</v>
      </c>
      <c r="I17" s="1655" t="s">
        <v>1124</v>
      </c>
      <c r="J17" s="1136"/>
      <c r="K17" s="3536" t="s">
        <v>1140</v>
      </c>
      <c r="L17" s="3537"/>
      <c r="M17" s="3538"/>
      <c r="N17" s="3536" t="s">
        <v>1141</v>
      </c>
      <c r="O17" s="3537"/>
      <c r="P17" s="3538"/>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t="s">
        <v>3461</v>
      </c>
      <c r="D19" s="45">
        <f>ROUND($D$3*E19/$E$3,2)</f>
        <v>0</v>
      </c>
      <c r="E19" s="53">
        <f t="shared" ref="E19:E26" si="1">SUM(F19:G19)</f>
        <v>817.51</v>
      </c>
      <c r="F19" s="2791">
        <f>'数据-基础表'!I13</f>
        <v>817.51</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817.51</v>
      </c>
    </row>
    <row r="20" spans="1:19">
      <c r="A20" s="1667"/>
      <c r="B20" s="47" t="s">
        <v>1153</v>
      </c>
      <c r="C20" s="3413"/>
      <c r="D20" s="45">
        <f t="shared" ref="D20:D26" si="6">ROUND($D$3*E20/$E$3,2)</f>
        <v>0</v>
      </c>
      <c r="E20" s="53">
        <f t="shared" si="1"/>
        <v>0</v>
      </c>
      <c r="F20" s="2791"/>
      <c r="G20" s="2792"/>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817.51</v>
      </c>
      <c r="F27" s="1137">
        <f>IF(SUM(F19:F26)=E8,SUM(F19:F26),"地上面积有误")</f>
        <v>817.51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817.51</v>
      </c>
    </row>
    <row r="28" spans="1:19">
      <c r="A28" s="1667"/>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3"/>
      <c r="B31" s="1674"/>
      <c r="C31" s="832" t="s">
        <v>1158</v>
      </c>
      <c r="D31" s="673">
        <f>D27+D30</f>
        <v>0</v>
      </c>
      <c r="E31" s="673">
        <f>E27+E30</f>
        <v>817.51</v>
      </c>
      <c r="F31" s="674">
        <f>F27+F30</f>
        <v>817.51</v>
      </c>
      <c r="G31" s="675">
        <f>G27+G30</f>
        <v>0</v>
      </c>
      <c r="H31" s="2655"/>
      <c r="I31" s="2655"/>
      <c r="J31" s="2655"/>
      <c r="K31" s="2655"/>
      <c r="L31" s="2655"/>
      <c r="M31" s="2655"/>
      <c r="N31" s="2655"/>
      <c r="O31" s="2655"/>
      <c r="P31" s="2655"/>
    </row>
    <row r="32" spans="1:19">
      <c r="A32" s="1640"/>
      <c r="B32" s="1640" t="s">
        <v>1159</v>
      </c>
      <c r="C32" s="1640"/>
      <c r="D32" s="1640"/>
      <c r="E32" s="1050">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45726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3413</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58866</v>
      </c>
      <c r="F6" s="64">
        <f>SUMIF(项目基本情况!C$12:I$12,C6,项目基本情况!C$15:I$15)</f>
        <v>36</v>
      </c>
      <c r="G6" s="65">
        <f>IF(ISERROR(ROUND(POWER(1+H6,D6-F6)*(POWER(1+H6,F6)-1)/(POWER(1+H6,D6)-1),3)),0,ROUND(POWER(1+H6,D6-F6)*(POWER(1+H6,F6)-1)/(POWER(1+H6,D6)-1),3))</f>
        <v>0.90600000000000003</v>
      </c>
      <c r="H6" s="729">
        <v>0.05</v>
      </c>
      <c r="I6" s="729">
        <v>5.5E-2</v>
      </c>
      <c r="J6" s="66">
        <v>7.0000000000000007E-2</v>
      </c>
      <c r="K6" s="1027">
        <f>SUMIF('数据-汇总表'!C$19:C$33,A6,'数据-汇总表'!E$19:E$33)</f>
        <v>817.51</v>
      </c>
      <c r="L6" s="730">
        <v>4500</v>
      </c>
      <c r="M6" s="67">
        <f t="shared" ref="M6:M14" si="0">ROUND(K6*L6/10000,0)</f>
        <v>368</v>
      </c>
      <c r="N6" s="728">
        <f>ROUND(1-(2025-2011)/60,2)</f>
        <v>0.77</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2</v>
      </c>
      <c r="V6" s="70">
        <v>0.02</v>
      </c>
      <c r="W6" s="70">
        <v>0.15</v>
      </c>
      <c r="X6" s="1037"/>
      <c r="Y6" s="71">
        <f>N6</f>
        <v>0.77</v>
      </c>
      <c r="Z6" s="72"/>
      <c r="AA6" s="66"/>
      <c r="AB6" s="66"/>
      <c r="AC6" s="1037"/>
      <c r="AD6" s="73"/>
      <c r="AE6" s="1038">
        <f ca="1">IF(AN6="",0,SUMIF(INDIRECT("'"&amp;AN6&amp;"'"&amp;"!E:E"),$AE$5,INDIRECT("'"&amp;AN6&amp;"'"&amp;"!F:F")))</f>
        <v>36</v>
      </c>
      <c r="AF6" s="1345"/>
      <c r="AG6" s="137">
        <f>IF(AF6="",0,AE6-AF6)</f>
        <v>0</v>
      </c>
      <c r="AH6" s="74"/>
      <c r="AI6" s="76">
        <v>365</v>
      </c>
      <c r="AJ6" s="77"/>
      <c r="AK6" s="78">
        <v>5.0000000000000001E-3</v>
      </c>
      <c r="AL6" s="79">
        <v>1.5E-3</v>
      </c>
      <c r="AM6" s="80">
        <v>0.01</v>
      </c>
      <c r="AN6" s="1712" t="s">
        <v>3414</v>
      </c>
      <c r="AO6" s="52">
        <f ca="1">SUMIF(INDIRECT("'"&amp;AN6&amp;"'"&amp;"!A:A"),"总价",INDIRECT("'"&amp;AN6&amp;"'"&amp;"!B:B"))</f>
        <v>789.56849999999997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0.90600000000000003</v>
      </c>
      <c r="H16" s="90">
        <f>ROUND(SUMPRODUCT(H6:H13,K6:K13)/SUMPRODUCT((H6:H13&gt;0)*(K6:K13)),3)</f>
        <v>0.05</v>
      </c>
      <c r="I16" s="91"/>
      <c r="J16" s="91"/>
      <c r="K16" s="92">
        <f>SUM(K6:K15)</f>
        <v>817.51</v>
      </c>
      <c r="L16" s="93">
        <f>ROUND(M16*10000/SUM(K6:K14),0)</f>
        <v>4501</v>
      </c>
      <c r="M16" s="93">
        <f>SUM(M6:M14)</f>
        <v>368</v>
      </c>
      <c r="N16" s="94">
        <f>ROUND(SUMPRODUCT(M6:M14,N6:N14)/M16,3)</f>
        <v>0.77</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9" t="s">
        <v>3385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2294</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799" t="s">
        <v>3403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0.03</v>
      </c>
      <c r="C37" s="2799" t="s">
        <v>3386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3387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3463">
        <v>0.05</v>
      </c>
      <c r="C44" s="2799" t="s">
        <v>3388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0">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1" t="s">
        <v>2285</v>
      </c>
      <c r="B1" s="3552"/>
      <c r="C1" s="3552"/>
      <c r="D1" s="3552"/>
      <c r="E1" s="3552"/>
      <c r="F1" s="3552"/>
      <c r="G1" s="355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6" sqref="I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817.51</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45726</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1397</v>
      </c>
      <c r="C5" s="2509">
        <f ca="1">IF(B5=D14,结果表!H102,ROUND(B5*10000/$B$1,0))</f>
        <v>17086</v>
      </c>
      <c r="D5" s="2509" t="e">
        <f ca="1">ROUND(B5*10000/$B$2,0)</f>
        <v>#DIV/0!</v>
      </c>
      <c r="E5" s="2682"/>
      <c r="F5" s="2683"/>
      <c r="G5" s="2683"/>
      <c r="H5" s="2684"/>
      <c r="I5" s="2684"/>
      <c r="J5" s="2684"/>
      <c r="K5" s="2684"/>
    </row>
    <row r="6" spans="1:11" ht="16.5">
      <c r="A6" s="2509" t="s">
        <v>656</v>
      </c>
      <c r="B6" s="2509">
        <f ca="1">SUM(G14:G23)</f>
        <v>1397</v>
      </c>
      <c r="C6" s="2509">
        <f ca="1">IF(B6=G14,结果表!H108,ROUND(B6*10000/$B$1,0))</f>
        <v>17086</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f ca="1">IF(B8=I14,结果表!H112,ROUND(B8*10000/$B$1,0))</f>
        <v>13166</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3355</v>
      </c>
      <c r="D10" s="2509" t="s">
        <v>3356</v>
      </c>
      <c r="E10" s="3437"/>
      <c r="F10" s="3441" t="s">
        <v>3357</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817.51</v>
      </c>
      <c r="C14" s="2515"/>
      <c r="D14" s="2515">
        <f ca="1">结果表!H118</f>
        <v>1397</v>
      </c>
      <c r="E14" s="2515">
        <f ca="1">ROUND(D14*10000/B14,0)</f>
        <v>17088</v>
      </c>
      <c r="F14" s="2515" t="e">
        <f ca="1">ROUND(D14*10000/C14,0)</f>
        <v>#DIV/0!</v>
      </c>
      <c r="G14" s="2515">
        <f ca="1">D14</f>
        <v>1397</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8"/>
      <c r="H15" s="1328"/>
      <c r="I15" s="2516"/>
      <c r="J15" s="2683"/>
      <c r="K15" s="2684"/>
    </row>
    <row r="16" spans="1:11" ht="16.5">
      <c r="A16" s="2514" t="s">
        <v>648</v>
      </c>
      <c r="B16" s="2516"/>
      <c r="C16" s="2516"/>
      <c r="D16" s="2516"/>
      <c r="E16" s="2515" t="e">
        <f t="shared" si="0"/>
        <v>#DIV/0!</v>
      </c>
      <c r="F16" s="2515" t="e">
        <f t="shared" si="1"/>
        <v>#DIV/0!</v>
      </c>
      <c r="G16" s="1328"/>
      <c r="H16" s="1328"/>
      <c r="I16" s="2516"/>
      <c r="J16" s="2684"/>
      <c r="K16" s="2684"/>
    </row>
    <row r="17" spans="1:11" ht="16.5">
      <c r="A17" s="2514" t="s">
        <v>647</v>
      </c>
      <c r="B17" s="2516"/>
      <c r="C17" s="2516"/>
      <c r="D17" s="2516"/>
      <c r="E17" s="2515" t="e">
        <f t="shared" si="0"/>
        <v>#DIV/0!</v>
      </c>
      <c r="F17" s="2515" t="e">
        <f t="shared" si="1"/>
        <v>#DIV/0!</v>
      </c>
      <c r="G17" s="1328"/>
      <c r="H17" s="1328"/>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1" t="s">
        <v>1265</v>
      </c>
      <c r="B4" s="1752" t="s">
        <v>1266</v>
      </c>
      <c r="C4" s="1753" t="s">
        <v>3425</v>
      </c>
      <c r="D4" s="1753" t="s">
        <v>3414</v>
      </c>
      <c r="E4" s="3593" t="s">
        <v>1267</v>
      </c>
      <c r="F4" s="3594"/>
      <c r="G4" s="3594"/>
      <c r="H4" s="3594"/>
      <c r="I4" s="3595"/>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0" t="s">
        <v>1269</v>
      </c>
      <c r="F5" s="1754"/>
      <c r="G5" s="1754"/>
      <c r="H5" s="1754"/>
      <c r="I5" s="1370"/>
    </row>
    <row r="6" spans="1:12" ht="12.75">
      <c r="A6" s="3567"/>
      <c r="B6" s="3554"/>
      <c r="C6" s="3571"/>
      <c r="D6" s="3590"/>
      <c r="E6" s="130" t="s">
        <v>1270</v>
      </c>
      <c r="F6" s="1754"/>
      <c r="G6" s="1754"/>
      <c r="H6" s="1754"/>
      <c r="I6" s="1370"/>
    </row>
    <row r="7" spans="1:12" ht="12.75">
      <c r="A7" s="3567"/>
      <c r="B7" s="3554"/>
      <c r="C7" s="3572"/>
      <c r="D7" s="3590"/>
      <c r="E7" s="130" t="s">
        <v>1271</v>
      </c>
      <c r="F7" s="1754"/>
      <c r="G7" s="1754"/>
      <c r="H7" s="1754"/>
      <c r="I7" s="1370"/>
    </row>
    <row r="8" spans="1:12" ht="12.75">
      <c r="A8" s="3567" t="s">
        <v>1272</v>
      </c>
      <c r="B8" s="3554">
        <v>15</v>
      </c>
      <c r="C8" s="3570"/>
      <c r="D8" s="3590"/>
      <c r="E8" s="130" t="s">
        <v>1273</v>
      </c>
      <c r="F8" s="1754"/>
      <c r="G8" s="1754"/>
      <c r="H8" s="1754"/>
      <c r="I8" s="1370"/>
    </row>
    <row r="9" spans="1:12" ht="12.75">
      <c r="A9" s="3567"/>
      <c r="B9" s="3554"/>
      <c r="C9" s="3572"/>
      <c r="D9" s="3590"/>
      <c r="E9" s="130" t="s">
        <v>1274</v>
      </c>
      <c r="F9" s="1754"/>
      <c r="G9" s="1754"/>
      <c r="H9" s="1754"/>
      <c r="I9" s="1370"/>
    </row>
    <row r="10" spans="1:12" ht="12.75">
      <c r="A10" s="3567" t="s">
        <v>1275</v>
      </c>
      <c r="B10" s="3554">
        <v>15</v>
      </c>
      <c r="C10" s="3570"/>
      <c r="D10" s="3590"/>
      <c r="E10" s="130" t="s">
        <v>1276</v>
      </c>
      <c r="F10" s="1754"/>
      <c r="G10" s="1754"/>
      <c r="H10" s="1754"/>
      <c r="I10" s="1370"/>
    </row>
    <row r="11" spans="1:12" ht="12.75">
      <c r="A11" s="3567"/>
      <c r="B11" s="3554"/>
      <c r="C11" s="3572"/>
      <c r="D11" s="3590"/>
      <c r="E11" s="130" t="s">
        <v>1277</v>
      </c>
      <c r="F11" s="1754"/>
      <c r="G11" s="1754"/>
      <c r="H11" s="1754"/>
      <c r="I11" s="1370"/>
    </row>
    <row r="12" spans="1:12" ht="12.75">
      <c r="A12" s="3567" t="s">
        <v>1278</v>
      </c>
      <c r="B12" s="3554">
        <v>15</v>
      </c>
      <c r="C12" s="3570"/>
      <c r="D12" s="3590"/>
      <c r="E12" s="130" t="s">
        <v>1279</v>
      </c>
      <c r="F12" s="1754"/>
      <c r="G12" s="1754"/>
      <c r="H12" s="1754"/>
      <c r="I12" s="1370"/>
    </row>
    <row r="13" spans="1:12" ht="12.75">
      <c r="A13" s="3567"/>
      <c r="B13" s="3554"/>
      <c r="C13" s="3572"/>
      <c r="D13" s="3590"/>
      <c r="E13" s="130" t="s">
        <v>1280</v>
      </c>
      <c r="F13" s="1754"/>
      <c r="G13" s="1754"/>
      <c r="H13" s="1754"/>
      <c r="I13" s="1370"/>
    </row>
    <row r="14" spans="1:12" ht="12.75">
      <c r="A14" s="3567" t="s">
        <v>1281</v>
      </c>
      <c r="B14" s="3554">
        <v>30</v>
      </c>
      <c r="C14" s="3570">
        <v>7</v>
      </c>
      <c r="D14" s="3590">
        <v>3</v>
      </c>
      <c r="E14" s="130" t="s">
        <v>1282</v>
      </c>
      <c r="F14" s="1754"/>
      <c r="G14" s="1754"/>
      <c r="H14" s="1754"/>
      <c r="I14" s="1370"/>
    </row>
    <row r="15" spans="1:12" ht="12.75">
      <c r="A15" s="3567"/>
      <c r="B15" s="3554"/>
      <c r="C15" s="3571"/>
      <c r="D15" s="3590"/>
      <c r="E15" s="130" t="s">
        <v>1283</v>
      </c>
      <c r="F15" s="1754"/>
      <c r="G15" s="1754"/>
      <c r="H15" s="1754"/>
      <c r="I15" s="1370"/>
    </row>
    <row r="16" spans="1:12" ht="12.75">
      <c r="A16" s="3567"/>
      <c r="B16" s="3554"/>
      <c r="C16" s="3572"/>
      <c r="D16" s="3590"/>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577" t="s">
        <v>2130</v>
      </c>
      <c r="F18" s="3578"/>
      <c r="G18" s="3578"/>
      <c r="H18" s="3578"/>
      <c r="I18" s="3578"/>
      <c r="K18" s="301" t="s">
        <v>1289</v>
      </c>
      <c r="L18" s="301">
        <f>IF(C1="",'数据-汇总表'!E3,SUMIF(项目类型,C1,'数据-汇总表'!E17:E26)+SUMIF(项目类型,C1,'数据-汇总表'!I17:I26))</f>
        <v>817.51</v>
      </c>
      <c r="M18" s="301">
        <f>IF(C1="",'数据-汇总表'!E3,SUMIF(项目类型,C1,'数据-汇总表'!E17:E26))</f>
        <v>817.51</v>
      </c>
    </row>
    <row r="19" spans="1:36" ht="15">
      <c r="A19" s="1758" t="s">
        <v>1290</v>
      </c>
      <c r="B19" s="1759" t="s">
        <v>1291</v>
      </c>
      <c r="C19" s="133">
        <f ca="1">SUMIF(INDIRECT("'"&amp;C4&amp;"'"&amp;"!A:A"),结果表!B19,INDIRECT("'"&amp;C4&amp;"'"&amp;"!B:B"))</f>
        <v>1657.0927999999999</v>
      </c>
      <c r="D19" s="134">
        <f ca="1">SUMIF(INDIRECT("'"&amp;D4&amp;"'"&amp;"!A:A"),结果表!B19,INDIRECT("'"&amp;D4&amp;"'"&amp;"!B:B"))</f>
        <v>789.56849999999997</v>
      </c>
      <c r="E19" s="1758" t="s">
        <v>1292</v>
      </c>
      <c r="F19" s="1759" t="s">
        <v>1291</v>
      </c>
      <c r="G19" s="135">
        <f ca="1">ROUND(C19*$C$18+D19*$D$18,0)</f>
        <v>1397</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SUMIF(INDIRECT("'"&amp;C4&amp;"'"&amp;"!A:A"),结果表!B20,INDIRECT("'"&amp;C4&amp;"'"&amp;"!B:B"))</f>
        <v>20270</v>
      </c>
      <c r="D20" s="137">
        <f ca="1">SUMIF(INDIRECT("'"&amp;D4&amp;"'"&amp;"!A:A"),结果表!B20,INDIRECT("'"&amp;D4&amp;"'"&amp;"!B:B"))</f>
        <v>9658</v>
      </c>
      <c r="E20" s="1761"/>
      <c r="F20" s="1023" t="s">
        <v>1295</v>
      </c>
      <c r="G20" s="138">
        <f ca="1">ROUND(C20*$C$18+D20*$D$18,0)</f>
        <v>17086</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c r="K21" s="3462" t="s">
        <v>3447</v>
      </c>
      <c r="L21" s="3462" t="s">
        <v>3446</v>
      </c>
    </row>
    <row r="22" spans="1:36" ht="15" thickBot="1">
      <c r="A22" s="1685" t="s">
        <v>1298</v>
      </c>
      <c r="B22" s="1764"/>
      <c r="C22" s="1765"/>
      <c r="D22" s="718">
        <f ca="1">IF(C19&lt;D19,D19/C19-1,C19/D19-1)</f>
        <v>1.0987321556014455</v>
      </c>
      <c r="E22" s="128"/>
      <c r="F22" s="128"/>
      <c r="G22" s="128"/>
      <c r="H22" s="128"/>
      <c r="I22" s="128"/>
      <c r="J22" s="722" t="s">
        <v>3444</v>
      </c>
      <c r="K22" s="722">
        <v>1841</v>
      </c>
      <c r="L22" s="722">
        <v>1840.07</v>
      </c>
    </row>
    <row r="23" spans="1:36" ht="13.5" thickBot="1">
      <c r="A23" s="1744"/>
      <c r="B23" s="1744"/>
      <c r="C23" s="1744"/>
      <c r="D23" s="1744"/>
      <c r="E23" s="128"/>
      <c r="F23" s="128"/>
      <c r="G23" s="128"/>
      <c r="H23" s="128"/>
      <c r="I23" s="128"/>
      <c r="J23" s="722" t="s">
        <v>3445</v>
      </c>
      <c r="K23" s="722">
        <v>2067</v>
      </c>
      <c r="L23" s="722">
        <v>1858</v>
      </c>
    </row>
    <row r="24" spans="1:36" ht="14.25">
      <c r="A24" s="3561" t="s">
        <v>1299</v>
      </c>
      <c r="B24" s="1759" t="s">
        <v>1291</v>
      </c>
      <c r="C24" s="135">
        <f>IF(B30=0,0,D30)</f>
        <v>0</v>
      </c>
      <c r="D24" s="1766"/>
      <c r="E24" s="128"/>
      <c r="F24" s="128"/>
      <c r="G24" s="128"/>
      <c r="H24" s="128"/>
      <c r="I24" s="128"/>
    </row>
    <row r="25" spans="1:36" ht="14.25">
      <c r="A25" s="3562"/>
      <c r="B25" s="1023" t="s">
        <v>1295</v>
      </c>
      <c r="C25" s="140">
        <f>IF(B30=0,0,C30)</f>
        <v>0</v>
      </c>
      <c r="D25" s="1767"/>
      <c r="E25" s="128"/>
      <c r="F25" s="128"/>
      <c r="G25" s="128"/>
      <c r="H25" s="128"/>
      <c r="I25" s="128"/>
      <c r="J25" s="3462" t="s">
        <v>3448</v>
      </c>
      <c r="K25" s="722">
        <f ca="1">结果汇总表及案例情况!K16</f>
        <v>1174.8847000000001</v>
      </c>
      <c r="L25" s="722">
        <f ca="1">结果汇总表及案例情况!N16</f>
        <v>1174.2973</v>
      </c>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17086</v>
      </c>
      <c r="D32" s="1772" t="s">
        <v>3430</v>
      </c>
      <c r="E32" s="128"/>
      <c r="F32" s="128"/>
      <c r="G32" s="128"/>
      <c r="H32" s="128"/>
      <c r="I32" s="128"/>
    </row>
    <row r="33" spans="1:15" ht="15">
      <c r="A33" s="783" t="s">
        <v>1306</v>
      </c>
      <c r="B33" s="1773"/>
      <c r="C33" s="1774" t="s">
        <v>3431</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581" t="s">
        <v>1312</v>
      </c>
      <c r="B36" s="1784" t="s">
        <v>1313</v>
      </c>
      <c r="C36" s="144"/>
      <c r="D36" s="1785"/>
      <c r="E36" s="1786"/>
      <c r="F36" s="1787"/>
      <c r="G36" s="128"/>
      <c r="H36" s="128"/>
      <c r="I36" s="128"/>
    </row>
    <row r="37" spans="1:15" ht="15.75" thickBot="1">
      <c r="A37" s="3582"/>
      <c r="B37" s="1671" t="s">
        <v>1314</v>
      </c>
      <c r="C37" s="146"/>
      <c r="D37" s="1136"/>
      <c r="E37" s="1136"/>
      <c r="F37" s="1787"/>
      <c r="G37" s="128"/>
      <c r="H37" s="128"/>
      <c r="I37" s="128"/>
    </row>
    <row r="38" spans="1:15" ht="15.75" thickBot="1">
      <c r="A38" s="3583"/>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8" t="s">
        <v>1326</v>
      </c>
      <c r="B45" s="3559"/>
      <c r="C45" s="3560"/>
      <c r="D45" s="154">
        <f ca="1">ROUND(H101*F45,0)</f>
        <v>1397</v>
      </c>
      <c r="E45" s="155" t="s">
        <v>1327</v>
      </c>
      <c r="F45" s="156">
        <v>1</v>
      </c>
      <c r="G45" s="157" t="s">
        <v>1328</v>
      </c>
      <c r="H45" s="128"/>
      <c r="I45" s="128"/>
      <c r="J45" s="3636" t="s">
        <v>1329</v>
      </c>
      <c r="K45" s="3636"/>
      <c r="L45" s="3636"/>
      <c r="M45" s="3636"/>
      <c r="N45" s="3636"/>
      <c r="O45" s="3636"/>
    </row>
    <row r="46" spans="1:15" ht="14.25" customHeight="1">
      <c r="A46" s="3555" t="s">
        <v>1330</v>
      </c>
      <c r="B46" s="3556"/>
      <c r="C46" s="3556"/>
      <c r="D46" s="3556"/>
      <c r="E46" s="3556"/>
      <c r="F46" s="3556"/>
      <c r="G46" s="3557"/>
      <c r="H46" s="1803"/>
      <c r="I46" s="158"/>
      <c r="J46" s="2520">
        <v>1</v>
      </c>
      <c r="K46" s="3617" t="s">
        <v>1331</v>
      </c>
      <c r="L46" s="3617"/>
      <c r="M46" s="3637"/>
      <c r="N46" s="3637"/>
      <c r="O46" s="3637"/>
    </row>
    <row r="47" spans="1:15" ht="12" customHeight="1">
      <c r="A47" s="159" t="s">
        <v>1332</v>
      </c>
      <c r="B47" s="160"/>
      <c r="C47" s="161"/>
      <c r="D47" s="1084" t="s">
        <v>1333</v>
      </c>
      <c r="E47" s="301" t="s">
        <v>1334</v>
      </c>
      <c r="F47" s="162" t="s">
        <v>1335</v>
      </c>
      <c r="G47" s="2543" t="s">
        <v>1336</v>
      </c>
      <c r="H47" s="2544"/>
      <c r="I47" s="158"/>
      <c r="J47" s="2520">
        <v>2</v>
      </c>
      <c r="K47" s="3617" t="s">
        <v>1337</v>
      </c>
      <c r="L47" s="3617"/>
      <c r="M47" s="3638">
        <f>'数据-取费表'!B2</f>
        <v>45726</v>
      </c>
      <c r="N47" s="3638"/>
      <c r="O47" s="3638"/>
    </row>
    <row r="48" spans="1:15" ht="25.5">
      <c r="A48" s="3586" t="s">
        <v>1338</v>
      </c>
      <c r="B48" s="3569"/>
      <c r="C48" s="3569"/>
      <c r="D48" s="2321">
        <f ca="1">IF(H48="情况1",0,IF(H48="情况2",D52,IF(H48="情况3",D53,IF(H48="情况4",D54))))</f>
        <v>42</v>
      </c>
      <c r="E48" s="2331" t="str">
        <f>IF(H48="情况4","(销售额-原购置价)×税（费）率","销售额×税（费）率")</f>
        <v>(销售额-原购置价)×税（费）率</v>
      </c>
      <c r="F48" s="2545">
        <f>IF(H48="情况1","免征",'数据-取费表'!B41)</f>
        <v>5.5000000000000007E-2</v>
      </c>
      <c r="G48" s="2546" t="s">
        <v>1339</v>
      </c>
      <c r="H48" s="2547" t="s">
        <v>3432</v>
      </c>
      <c r="I48" s="1803"/>
      <c r="J48" s="2520">
        <v>3</v>
      </c>
      <c r="K48" s="3617" t="s">
        <v>1340</v>
      </c>
      <c r="L48" s="3617"/>
      <c r="M48" s="3639">
        <f ca="1">H101</f>
        <v>1397</v>
      </c>
      <c r="N48" s="3639"/>
      <c r="O48" s="3639"/>
    </row>
    <row r="49" spans="1:35" ht="25.5" customHeight="1">
      <c r="A49" s="2330" t="s">
        <v>1341</v>
      </c>
      <c r="B49" s="3553" t="s">
        <v>1342</v>
      </c>
      <c r="C49" s="3553"/>
      <c r="D49" s="1587">
        <v>0</v>
      </c>
      <c r="E49" s="323" t="s">
        <v>1343</v>
      </c>
      <c r="F49" s="2421" t="s">
        <v>28</v>
      </c>
      <c r="G49" s="3623"/>
      <c r="H49" s="2307" t="s">
        <v>2133</v>
      </c>
      <c r="I49" s="2308"/>
      <c r="J49" s="2520">
        <v>4</v>
      </c>
      <c r="K49" s="3617" t="str">
        <f>IF(项目基本情况!E8="房地产抵押价值","房地产抵押价值","抵押担保权已注销时的房地产抵押价值")</f>
        <v>房地产抵押价值</v>
      </c>
      <c r="L49" s="3617"/>
      <c r="M49" s="3639">
        <f ca="1">IF(项目基本情况!E8="房地产抵押价值",H107,H109)</f>
        <v>1397</v>
      </c>
      <c r="N49" s="3639"/>
      <c r="O49" s="3639"/>
    </row>
    <row r="50" spans="1:35" ht="25.5" customHeight="1">
      <c r="A50" s="2548"/>
      <c r="B50" s="3553" t="s">
        <v>1344</v>
      </c>
      <c r="C50" s="3553"/>
      <c r="D50" s="2549"/>
      <c r="E50" s="331"/>
      <c r="F50" s="2421"/>
      <c r="G50" s="3624"/>
      <c r="H50" s="2309" t="s">
        <v>2134</v>
      </c>
      <c r="I50" s="2308"/>
      <c r="J50" s="3636" t="s">
        <v>1345</v>
      </c>
      <c r="K50" s="3636"/>
      <c r="L50" s="3636"/>
      <c r="M50" s="3636"/>
      <c r="N50" s="3636"/>
      <c r="O50" s="3636"/>
    </row>
    <row r="51" spans="1:35" ht="20.45" customHeight="1">
      <c r="A51" s="2550"/>
      <c r="B51" s="3553" t="s">
        <v>1346</v>
      </c>
      <c r="C51" s="3553"/>
      <c r="D51" s="1084"/>
      <c r="E51" s="326"/>
      <c r="F51" s="2421"/>
      <c r="G51" s="3625"/>
      <c r="H51" s="2309" t="s">
        <v>2135</v>
      </c>
      <c r="I51" s="2308"/>
      <c r="J51" s="2521" t="s">
        <v>1347</v>
      </c>
      <c r="K51" s="3617" t="s">
        <v>1348</v>
      </c>
      <c r="L51" s="3617"/>
      <c r="M51" s="2521" t="s">
        <v>1349</v>
      </c>
      <c r="N51" s="2521" t="s">
        <v>1350</v>
      </c>
      <c r="O51" s="2521" t="s">
        <v>1351</v>
      </c>
    </row>
    <row r="52" spans="1:35" ht="24" customHeight="1">
      <c r="A52" s="2332" t="s">
        <v>1352</v>
      </c>
      <c r="B52" s="3553" t="s">
        <v>1353</v>
      </c>
      <c r="C52" s="3553"/>
      <c r="D52" s="1084">
        <f ca="1">ROUND(D45*'数据-取费表'!B41/(1+'数据-取费表'!C42),0)</f>
        <v>73</v>
      </c>
      <c r="E52" s="2331" t="s">
        <v>1354</v>
      </c>
      <c r="F52" s="2551">
        <f>'数据-取费表'!B41</f>
        <v>5.5000000000000007E-2</v>
      </c>
      <c r="G52" s="2552"/>
      <c r="H52" s="2541"/>
      <c r="I52" s="1804"/>
      <c r="J52" s="2520">
        <v>1</v>
      </c>
      <c r="K52" s="3618" t="s">
        <v>1355</v>
      </c>
      <c r="L52" s="3618"/>
      <c r="M52" s="2522">
        <f ca="1">D48</f>
        <v>42</v>
      </c>
      <c r="N52" s="2520" t="str">
        <f>E48</f>
        <v>(销售额-原购置价)×税（费）率</v>
      </c>
      <c r="O52" s="2523">
        <f>F48</f>
        <v>5.5000000000000007E-2</v>
      </c>
    </row>
    <row r="53" spans="1:35" ht="12" customHeight="1">
      <c r="A53" s="2332" t="s">
        <v>1356</v>
      </c>
      <c r="B53" s="3579" t="s">
        <v>2290</v>
      </c>
      <c r="C53" s="3580"/>
      <c r="D53" s="1084">
        <f ca="1">ROUND(D45*'数据-取费表'!B41/(1+'数据-取费表'!C42),0)</f>
        <v>73</v>
      </c>
      <c r="E53" s="2331" t="s">
        <v>1354</v>
      </c>
      <c r="F53" s="2551">
        <f>'数据-取费表'!B41</f>
        <v>5.5000000000000007E-2</v>
      </c>
      <c r="G53" s="2552"/>
      <c r="H53" s="2541"/>
      <c r="I53" s="1804"/>
      <c r="J53" s="2520">
        <v>2</v>
      </c>
      <c r="K53" s="3618" t="s">
        <v>1357</v>
      </c>
      <c r="L53" s="3618"/>
      <c r="M53" s="2522">
        <f t="shared" ref="M53:O54" ca="1" si="0">D55</f>
        <v>0.7</v>
      </c>
      <c r="N53" s="2520" t="str">
        <f t="shared" si="0"/>
        <v>销售额×税（费）率</v>
      </c>
      <c r="O53" s="2523">
        <f t="shared" si="0"/>
        <v>5.0000000000000001E-4</v>
      </c>
    </row>
    <row r="54" spans="1:35" ht="12" customHeight="1">
      <c r="A54" s="2332" t="s">
        <v>1358</v>
      </c>
      <c r="B54" s="3579" t="s">
        <v>2291</v>
      </c>
      <c r="C54" s="3580"/>
      <c r="D54" s="1084">
        <f ca="1">C68</f>
        <v>42</v>
      </c>
      <c r="E54" s="326" t="s">
        <v>1359</v>
      </c>
      <c r="F54" s="2551">
        <f>'数据-取费表'!B41</f>
        <v>5.5000000000000007E-2</v>
      </c>
      <c r="G54" s="2552"/>
      <c r="H54" s="2553"/>
      <c r="I54" s="1804"/>
      <c r="J54" s="2520">
        <v>3</v>
      </c>
      <c r="K54" s="3618" t="s">
        <v>1360</v>
      </c>
      <c r="L54" s="3618"/>
      <c r="M54" s="2522">
        <f t="shared" ca="1" si="0"/>
        <v>278</v>
      </c>
      <c r="N54" s="2520" t="str">
        <f t="shared" si="0"/>
        <v>增值额×税（费）率</v>
      </c>
      <c r="O54" s="2524" t="str">
        <f t="shared" si="0"/>
        <v>——</v>
      </c>
    </row>
    <row r="55" spans="1:35" ht="24" customHeight="1">
      <c r="A55" s="3568" t="s">
        <v>1361</v>
      </c>
      <c r="B55" s="3569"/>
      <c r="C55" s="3569"/>
      <c r="D55" s="2321">
        <f ca="1">IF(H55="个人住宅",0,ROUND(D45*I55,2))</f>
        <v>0.7</v>
      </c>
      <c r="E55" s="2331" t="s">
        <v>1362</v>
      </c>
      <c r="F55" s="2551">
        <f>IF(H55="正常",I55,"免征")</f>
        <v>5.0000000000000001E-4</v>
      </c>
      <c r="G55" s="2552"/>
      <c r="H55" s="2547" t="s">
        <v>3420</v>
      </c>
      <c r="I55" s="164">
        <f>'数据-取费表'!B49</f>
        <v>5.0000000000000001E-4</v>
      </c>
      <c r="J55" s="2520" t="str">
        <f>IF(H59="非个人房产","",4)</f>
        <v/>
      </c>
      <c r="K55" s="3618" t="str">
        <f>IF(H59="非个人房产","——","个人所得税")</f>
        <v>——</v>
      </c>
      <c r="L55" s="3618"/>
      <c r="M55" s="2525" t="str">
        <f>D59</f>
        <v>——</v>
      </c>
      <c r="N55" s="2037" t="str">
        <f>E59</f>
        <v>——</v>
      </c>
      <c r="O55" s="2526" t="str">
        <f>F59</f>
        <v>——</v>
      </c>
    </row>
    <row r="56" spans="1:35" ht="24.75">
      <c r="A56" s="3568" t="s">
        <v>1363</v>
      </c>
      <c r="B56" s="3569"/>
      <c r="C56" s="3569"/>
      <c r="D56" s="2321">
        <f ca="1">IF(H56="个人住宅",D57,D58)</f>
        <v>278</v>
      </c>
      <c r="E56" s="2331" t="s">
        <v>1364</v>
      </c>
      <c r="F56" s="2551" t="str">
        <f>IF(H56="正常",F58,"免征")</f>
        <v>——</v>
      </c>
      <c r="G56" s="2554" t="s">
        <v>1365</v>
      </c>
      <c r="H56" s="2555" t="s">
        <v>3420</v>
      </c>
      <c r="I56" s="1805"/>
      <c r="J56" s="2520" t="str">
        <f>IF(项目基本情况!K6="上海银行",IF(J55="",4,J55+1),"")</f>
        <v/>
      </c>
      <c r="K56" s="3641" t="str">
        <f>IF(项目基本情况!K6="上海银行","其他处置费用","")</f>
        <v/>
      </c>
      <c r="L56" s="3642"/>
      <c r="M56" s="2522" t="str">
        <f>IF(项目基本情况!K6="上海银行",M69,"")</f>
        <v/>
      </c>
      <c r="N56" s="3641" t="str">
        <f>IF(项目基本情况!K6="上海银行","包含处置中涉及的律师、诉讼、拍卖、评估等费用","")</f>
        <v/>
      </c>
      <c r="O56" s="3644"/>
    </row>
    <row r="57" spans="1:35" ht="12.75">
      <c r="A57" s="2332" t="s">
        <v>1341</v>
      </c>
      <c r="B57" s="3579" t="s">
        <v>1366</v>
      </c>
      <c r="C57" s="3580"/>
      <c r="D57" s="1587">
        <v>0</v>
      </c>
      <c r="E57" s="323" t="s">
        <v>1343</v>
      </c>
      <c r="F57" s="301"/>
      <c r="G57" s="2552"/>
      <c r="H57" s="2556"/>
      <c r="I57" s="1805"/>
      <c r="J57" s="3618">
        <f>IF(AND(J55="",J56=""),4,IF(项目基本情况!K6="上海银行",结果表!J56+1,结果表!J55+1))</f>
        <v>4</v>
      </c>
      <c r="K57" s="3618" t="s">
        <v>1367</v>
      </c>
      <c r="L57" s="2527" t="s">
        <v>1368</v>
      </c>
      <c r="M57" s="2528"/>
      <c r="N57" s="2529">
        <f ca="1">SUMIF(M52:M56,"&lt;9e307")</f>
        <v>320.7</v>
      </c>
      <c r="O57" s="2530"/>
      <c r="P57" s="2686">
        <f ca="1">N57/M49</f>
        <v>0.22956335003579098</v>
      </c>
    </row>
    <row r="58" spans="1:35" ht="24.75">
      <c r="A58" s="2332" t="s">
        <v>1352</v>
      </c>
      <c r="B58" s="3579" t="s">
        <v>1369</v>
      </c>
      <c r="C58" s="3553"/>
      <c r="D58" s="2321">
        <f ca="1">IF(H58="转让取得",C81,C97)</f>
        <v>278</v>
      </c>
      <c r="E58" s="2331" t="s">
        <v>1364</v>
      </c>
      <c r="F58" s="301" t="s">
        <v>28</v>
      </c>
      <c r="G58" s="2552"/>
      <c r="H58" s="2555" t="s">
        <v>3433</v>
      </c>
      <c r="I58" s="1805"/>
      <c r="J58" s="3618"/>
      <c r="K58" s="3618"/>
      <c r="L58" s="2527" t="s">
        <v>1370</v>
      </c>
      <c r="M58" s="2531"/>
      <c r="N58" s="2532" t="str">
        <f ca="1">NUMBERSTRING(INT(N57*10000),2)&amp;"元整"</f>
        <v>叁佰贰拾万柒仟元整</v>
      </c>
      <c r="O58" s="2533"/>
    </row>
    <row r="59" spans="1:35" ht="24.75" thickBot="1">
      <c r="A59" s="3621" t="s">
        <v>1371</v>
      </c>
      <c r="B59" s="3622"/>
      <c r="C59" s="3622"/>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3434</v>
      </c>
      <c r="I59" s="2310" t="s">
        <v>2136</v>
      </c>
      <c r="J59" s="3619">
        <f>J57+1</f>
        <v>5</v>
      </c>
      <c r="K59" s="3618" t="s">
        <v>1372</v>
      </c>
      <c r="L59" s="2520" t="s">
        <v>1368</v>
      </c>
      <c r="M59" s="2534"/>
      <c r="N59" s="2535">
        <f ca="1">M49-N57</f>
        <v>1076.3</v>
      </c>
      <c r="O59" s="2536"/>
    </row>
    <row r="60" spans="1:35" ht="12" customHeight="1">
      <c r="A60" s="1806"/>
      <c r="B60" s="1744"/>
      <c r="C60" s="1744"/>
      <c r="D60" s="1744"/>
      <c r="E60" s="1575"/>
      <c r="F60" s="1805"/>
      <c r="G60" s="1805"/>
      <c r="H60" s="1807"/>
      <c r="I60" s="128"/>
      <c r="J60" s="3620"/>
      <c r="K60" s="3618"/>
      <c r="L60" s="2527" t="s">
        <v>1370</v>
      </c>
      <c r="M60" s="2531"/>
      <c r="N60" s="2532" t="str">
        <f ca="1">NUMBERSTRING(INT(N59*10000),2)&amp;"元整"</f>
        <v>壹仟零柒拾陆万叁仟元整</v>
      </c>
      <c r="O60" s="2533"/>
    </row>
    <row r="61" spans="1:35" ht="13.5" thickBot="1">
      <c r="A61" s="3566" t="s">
        <v>1373</v>
      </c>
      <c r="B61" s="3566"/>
      <c r="C61" s="3566"/>
      <c r="D61" s="3566"/>
      <c r="E61" s="3566"/>
      <c r="F61" s="1805"/>
      <c r="G61" s="1805"/>
      <c r="H61" s="1807"/>
      <c r="I61" s="128"/>
      <c r="J61" s="2520">
        <f>J59+1</f>
        <v>6</v>
      </c>
      <c r="K61" s="3618" t="s">
        <v>1374</v>
      </c>
      <c r="L61" s="3618"/>
      <c r="M61" s="2537"/>
      <c r="N61" s="2538">
        <f ca="1">ROUND(N59*10000/'数据-汇总表'!E3,0)</f>
        <v>13166</v>
      </c>
      <c r="O61" s="2539"/>
    </row>
    <row r="62" spans="1:35" ht="12.75">
      <c r="A62" s="3584" t="s">
        <v>1375</v>
      </c>
      <c r="B62" s="3585"/>
      <c r="C62" s="2018"/>
      <c r="D62" s="2018" t="s">
        <v>1376</v>
      </c>
      <c r="E62" s="165" t="s">
        <v>1377</v>
      </c>
      <c r="F62" s="1805"/>
      <c r="G62" s="1805"/>
      <c r="H62" s="1807"/>
      <c r="I62" s="128"/>
    </row>
    <row r="63" spans="1:35" ht="12.75">
      <c r="A63" s="172" t="s">
        <v>330</v>
      </c>
      <c r="B63" s="166" t="s">
        <v>1378</v>
      </c>
      <c r="C63" s="2561">
        <f ca="1">ROUND((C64+C65)/(1+'数据-取费表'!C42),0)</f>
        <v>1330</v>
      </c>
      <c r="D63" s="166"/>
      <c r="E63" s="167"/>
      <c r="F63" s="1805"/>
      <c r="G63" s="1805"/>
      <c r="H63" s="1807"/>
      <c r="I63" s="128"/>
      <c r="J63" s="3643" t="s">
        <v>1379</v>
      </c>
      <c r="K63" s="1329" t="s">
        <v>1380</v>
      </c>
      <c r="L63" s="1329">
        <f ca="1">IF(M49&gt;10000,M49*0.5%,IF(AND(M49&gt;1000,M49&lt;=10000),M49*1%,IF(AND(M49&gt;100,M49&lt;=1000),M49*3%,IF(AND(M49&gt;10,M49&lt;=100),M49*5%,M49*8%))))</f>
        <v>13.97</v>
      </c>
      <c r="M63" s="301">
        <f ca="1">ROUND(L63,1)</f>
        <v>14</v>
      </c>
      <c r="N63" s="2540"/>
      <c r="Z63" s="1749"/>
      <c r="AI63" s="1750"/>
    </row>
    <row r="64" spans="1:35" ht="14.25" customHeight="1">
      <c r="A64" s="168" t="s">
        <v>325</v>
      </c>
      <c r="B64" s="169" t="s">
        <v>1381</v>
      </c>
      <c r="C64" s="2562">
        <f ca="1">D45</f>
        <v>1397</v>
      </c>
      <c r="D64" s="169" t="s">
        <v>26</v>
      </c>
      <c r="E64" s="171"/>
      <c r="F64" s="1805"/>
      <c r="G64" s="1805"/>
      <c r="H64" s="1807"/>
      <c r="I64" s="128"/>
      <c r="J64" s="3643"/>
      <c r="K64" s="1329" t="s">
        <v>1382</v>
      </c>
      <c r="L64" s="1329">
        <f ca="1">IF(M49&gt;2000,M49*0.5%,IF(AND(M49&gt;1000,M49&lt;=2000),M49*0.6%,IF(AND(M49&gt;500,M49&lt;=1000),M49*0.7%,IF(AND(M49&gt;200,M49&lt;=500),M49*0.8%,IF(AND(M49&gt;100,M49&lt;=200),M49*0.9%,IF(AND(M49&gt;50,M49&lt;=100),M49*1%,IF(AND(M49&gt;20,M49&lt;=50),M49*1.5%,IF(AND(M49&gt;10,M49&lt;=20),M49*2%,IF(AND(M49&gt;1,M49&lt;=10),M49*2.5%)))))))))</f>
        <v>8.3819999999999997</v>
      </c>
      <c r="M64" s="301">
        <f t="shared" ref="M64:M65" ca="1" si="1">ROUND(L64,1)</f>
        <v>8.4</v>
      </c>
      <c r="N64" s="2541" t="s">
        <v>1383</v>
      </c>
      <c r="Z64" s="1749"/>
      <c r="AI64" s="1750"/>
    </row>
    <row r="65" spans="1:35" ht="14.25" customHeight="1">
      <c r="A65" s="168" t="s">
        <v>326</v>
      </c>
      <c r="B65" s="169" t="s">
        <v>1384</v>
      </c>
      <c r="C65" s="2563"/>
      <c r="D65" s="169"/>
      <c r="E65" s="171"/>
      <c r="F65" s="1805"/>
      <c r="G65" s="1805"/>
      <c r="H65" s="1807"/>
      <c r="I65" s="128"/>
      <c r="J65" s="3643"/>
      <c r="K65" s="1329" t="s">
        <v>1385</v>
      </c>
      <c r="L65" s="1329">
        <f ca="1">IF(M49&gt;1000,M49*0.1%,IF(AND(M49&gt;500,M49&lt;=1000),M49*0.5%,IF(AND(M49&gt;50,M49&lt;=500),M49*1%,IF(AND(M49&gt;1,M49&lt;=50),M49*1.5%))))</f>
        <v>1.397</v>
      </c>
      <c r="M65" s="301">
        <f t="shared" ca="1" si="1"/>
        <v>1.4</v>
      </c>
      <c r="N65" s="2541" t="s">
        <v>1383</v>
      </c>
      <c r="Z65" s="1749"/>
      <c r="AI65" s="1750"/>
    </row>
    <row r="66" spans="1:35" ht="14.25" customHeight="1">
      <c r="A66" s="172" t="s">
        <v>327</v>
      </c>
      <c r="B66" s="173" t="s">
        <v>1386</v>
      </c>
      <c r="C66" s="2564">
        <f>ROUND(结果汇总表及案例情况!I12/1.05/10000,4)</f>
        <v>571.65129999999999</v>
      </c>
      <c r="D66" s="173" t="s">
        <v>26</v>
      </c>
      <c r="E66" s="1335" t="s">
        <v>671</v>
      </c>
      <c r="F66" s="1805"/>
      <c r="G66" s="1805"/>
      <c r="H66" s="1807"/>
      <c r="I66" s="128"/>
      <c r="J66" s="3643"/>
      <c r="K66" s="1329" t="s">
        <v>1387</v>
      </c>
      <c r="L66" s="1329">
        <f ca="1">M49*0.5%</f>
        <v>6.9850000000000003</v>
      </c>
      <c r="M66" s="301">
        <f ca="1">IF(L66&gt;0.5,0.5,ROUND(L66,0))</f>
        <v>0.5</v>
      </c>
      <c r="N66" s="2541" t="s">
        <v>1388</v>
      </c>
      <c r="Z66" s="1749"/>
      <c r="AI66" s="1750"/>
    </row>
    <row r="67" spans="1:35" ht="14.25" customHeight="1">
      <c r="A67" s="172" t="s">
        <v>328</v>
      </c>
      <c r="B67" s="173" t="s">
        <v>1389</v>
      </c>
      <c r="C67" s="2565">
        <f ca="1">C63-C66</f>
        <v>758.34870000000001</v>
      </c>
      <c r="D67" s="169" t="s">
        <v>26</v>
      </c>
      <c r="E67" s="171"/>
      <c r="F67" s="1805"/>
      <c r="G67" s="1805"/>
      <c r="H67" s="1807"/>
      <c r="I67" s="128"/>
      <c r="J67" s="3643"/>
      <c r="K67" s="1329" t="s">
        <v>1390</v>
      </c>
      <c r="L67" s="1329">
        <f ca="1">IF(M49&gt;=10000,(8.25+(M49-10000)*0.01%),IF(AND(M49&gt;=8000,M49&lt;10000),(7.85+(M49-8000)*0.02%),IF(AND(M49&gt;=5000,M49&lt;8000),(6.65+(M49-5000)*0.04%),IF(AND(M49&gt;=2000,M49&lt;5000),(4.25+(PM49-2000)*0.08%),IF(AND(M49&gt;=1000,M49&lt;2000),(2.75+(M49-1000)*0.15%),IF(AND(M49&gt;=100,M49&lt;1000),(0.5+(M49-100)*0.25%),IF(AND(M49&gt;0,M49&lt;100),M49*0.5%)))))))</f>
        <v>3.3454999999999999</v>
      </c>
      <c r="M67" s="301">
        <f ca="1">ROUND(L67*0.9,1)</f>
        <v>3</v>
      </c>
      <c r="N67" s="2540"/>
      <c r="Z67" s="1749"/>
      <c r="AI67" s="1750"/>
    </row>
    <row r="68" spans="1:35" ht="14.25" customHeight="1" thickBot="1">
      <c r="A68" s="175" t="s">
        <v>329</v>
      </c>
      <c r="B68" s="176" t="s">
        <v>1391</v>
      </c>
      <c r="C68" s="2566">
        <f ca="1">IF(C67&lt;=0,0,ROUND(C67*D68,0))</f>
        <v>42</v>
      </c>
      <c r="D68" s="2567">
        <f>'数据-取费表'!B41</f>
        <v>5.5000000000000007E-2</v>
      </c>
      <c r="E68" s="177"/>
      <c r="F68" s="1805"/>
      <c r="G68" s="1805"/>
      <c r="H68" s="1807"/>
      <c r="I68" s="128"/>
      <c r="J68" s="3643"/>
      <c r="K68" s="1329" t="s">
        <v>1392</v>
      </c>
      <c r="L68" s="1329">
        <f ca="1">IF(M49&gt;10000,M49*0.5%,IF(AND(M49&gt;5000,M49&lt;=10000),M49*1%,IF(AND(M49&gt;1000,M49&lt;=5000),M49*2%,IF(AND(M49&gt;200,M49&lt;=1000),M49*3%,M49*5%))))</f>
        <v>27.94</v>
      </c>
      <c r="M68" s="301">
        <f ca="1">ROUND(L68,1)</f>
        <v>27.9</v>
      </c>
      <c r="N68" s="2540"/>
      <c r="Z68" s="1749"/>
      <c r="AI68" s="1750"/>
    </row>
    <row r="69" spans="1:35" s="1769" customFormat="1" ht="16.5" customHeight="1">
      <c r="A69" s="1808"/>
      <c r="B69" s="1809"/>
      <c r="C69" s="1810"/>
      <c r="D69" s="1811"/>
      <c r="E69" s="1812"/>
      <c r="F69" s="1575"/>
      <c r="G69" s="1575"/>
      <c r="H69" s="1574"/>
      <c r="I69" s="1744"/>
      <c r="J69" s="3643"/>
      <c r="K69" s="1329" t="s">
        <v>1393</v>
      </c>
      <c r="L69" s="1329"/>
      <c r="M69" s="301">
        <f ca="1">ROUND(SUM(M63:M68),0)</f>
        <v>55</v>
      </c>
      <c r="N69" s="2542">
        <f ca="1">M69/M49</f>
        <v>3.937007874015748E-2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5" t="s">
        <v>1394</v>
      </c>
      <c r="B70" s="3606"/>
      <c r="C70" s="3606"/>
      <c r="D70" s="3606"/>
      <c r="E70" s="3606"/>
      <c r="F70" s="3606"/>
      <c r="G70" s="3606"/>
      <c r="H70" s="3606"/>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4" t="s">
        <v>1375</v>
      </c>
      <c r="B71" s="3585"/>
      <c r="C71" s="2018"/>
      <c r="D71" s="2018" t="s">
        <v>1376</v>
      </c>
      <c r="E71" s="178" t="s">
        <v>1377</v>
      </c>
      <c r="F71" s="179"/>
      <c r="G71" s="179"/>
      <c r="H71" s="180"/>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1330</v>
      </c>
      <c r="D72" s="169" t="s">
        <v>26</v>
      </c>
      <c r="E72" s="2328"/>
      <c r="F72" s="2327"/>
      <c r="G72" s="2327"/>
      <c r="H72" s="181"/>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596</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589</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3457">
        <f>结果汇总表及案例情况!I12/10000</f>
        <v>600.23389999999995</v>
      </c>
      <c r="D75" s="169" t="s">
        <v>26</v>
      </c>
      <c r="E75" s="183" t="s">
        <v>1399</v>
      </c>
      <c r="F75" s="2568" t="s">
        <v>3440</v>
      </c>
      <c r="G75" s="183" t="s">
        <v>1400</v>
      </c>
      <c r="H75" s="2569">
        <v>4</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0">
        <v>0.05</v>
      </c>
      <c r="E76" s="3579" t="s">
        <v>1402</v>
      </c>
      <c r="F76" s="3553"/>
      <c r="G76" s="3553"/>
      <c r="H76" s="360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17</v>
      </c>
      <c r="D77" s="2571">
        <f>'数据-取费表'!B48+'数据-取费表'!B49</f>
        <v>3.0499999999999999E-2</v>
      </c>
      <c r="E77" s="2321" t="s">
        <v>1404</v>
      </c>
      <c r="F77" s="185"/>
      <c r="G77" s="1819" t="s">
        <v>3441</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2">
        <f ca="1">ROUND(D45*D78/(1+'数据-取费表'!C42),0)</f>
        <v>7</v>
      </c>
      <c r="D78" s="2573">
        <f>'数据-取费表'!B43</f>
        <v>5.000000000000001E-3</v>
      </c>
      <c r="E78" s="3563" t="s">
        <v>1406</v>
      </c>
      <c r="F78" s="3564"/>
      <c r="G78" s="3564"/>
      <c r="H78" s="357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734</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4">
        <f ca="1">IF(C79&lt;=0,0,C79/C73)</f>
        <v>1.2315436241610738</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5">
        <f ca="1">ROUND(IF(C79&lt;=0,0,IF(C80&gt;=200%,C79*60%-C73*35%,IF(C80&gt;=100%,C79*50%-C73*15%,IF(C80&gt;=50%,C79*40%-C73*5%,IF(C80&lt;50%,C79*30%,0))))),0)</f>
        <v>278</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5" t="s">
        <v>1410</v>
      </c>
      <c r="B83" s="3606"/>
      <c r="C83" s="3606"/>
      <c r="D83" s="3606"/>
      <c r="E83" s="3606"/>
      <c r="F83" s="3606"/>
      <c r="G83" s="3606"/>
      <c r="H83" s="360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4" t="s">
        <v>1375</v>
      </c>
      <c r="B84" s="3585"/>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1330</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7</v>
      </c>
      <c r="D86" s="2577"/>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8"/>
      <c r="D88" s="2573"/>
      <c r="E88" s="192" t="s">
        <v>1413</v>
      </c>
      <c r="F88" s="2324"/>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2">
        <f>ROUND(C88*D89,0)</f>
        <v>0</v>
      </c>
      <c r="D89" s="2573">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8"/>
      <c r="D90" s="2573"/>
      <c r="E90" s="192" t="str">
        <f>IF(H88="-","土地取得成本中已包含该笔费用"," ")</f>
        <v xml:space="preserve"> </v>
      </c>
      <c r="F90" s="2324"/>
      <c r="G90" s="3645" t="s">
        <v>2128</v>
      </c>
      <c r="H90" s="3646"/>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2">
        <f>IF(H91="——",成本法!C33,I91)</f>
        <v>0</v>
      </c>
      <c r="D91" s="2573"/>
      <c r="E91" s="3563" t="s">
        <v>1419</v>
      </c>
      <c r="F91" s="3564"/>
      <c r="G91" s="3564"/>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2">
        <f>ROUND((C87+C90+C91)*D92,0)</f>
        <v>0</v>
      </c>
      <c r="D92" s="2579"/>
      <c r="E92" s="3563" t="s">
        <v>1422</v>
      </c>
      <c r="F92" s="3564"/>
      <c r="G92" s="3564"/>
      <c r="H92" s="3573"/>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2">
        <f ca="1">ROUND(D45*D93/(1+'数据-取费表'!C42),0)</f>
        <v>7</v>
      </c>
      <c r="D93" s="2573">
        <f>'数据-取费表'!B43</f>
        <v>5.000000000000001E-3</v>
      </c>
      <c r="E93" s="3563" t="s">
        <v>1406</v>
      </c>
      <c r="F93" s="3564"/>
      <c r="G93" s="3564"/>
      <c r="H93" s="357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8">
        <f>ROUND((C87+C90+C91)*D94,0)</f>
        <v>0</v>
      </c>
      <c r="D94" s="2573">
        <v>0.2</v>
      </c>
      <c r="E94" s="3574" t="s">
        <v>1426</v>
      </c>
      <c r="F94" s="3575"/>
      <c r="G94" s="3575"/>
      <c r="H94" s="357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1323</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4">
        <f ca="1">IF(C95&lt;=0,0,C95/C86)</f>
        <v>189</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5">
        <f ca="1">ROUND(IF(C95&lt;=0,0,IF(C96&gt;=200%,C95*60%-C86*35%,IF(C96&gt;=100%,C95*50%-C86*15%,IF(C96&gt;=50%,C95*40%-C86*5%,IF(C96&lt;50%,C95*30%,0))))),0)</f>
        <v>791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47" t="s">
        <v>1428</v>
      </c>
      <c r="B100" s="3548"/>
      <c r="C100" s="3548"/>
      <c r="D100" s="3565"/>
      <c r="E100" s="3548" t="s">
        <v>1429</v>
      </c>
      <c r="F100" s="3548"/>
      <c r="G100" s="3548"/>
      <c r="H100" s="3565"/>
      <c r="I100" s="128"/>
    </row>
    <row r="101" spans="1:35" ht="18.75" customHeight="1">
      <c r="A101" s="3626" t="s">
        <v>1430</v>
      </c>
      <c r="B101" s="3627"/>
      <c r="C101" s="2581" t="str">
        <f>C4</f>
        <v>比较法-办公</v>
      </c>
      <c r="D101" s="2582" t="str">
        <f>D4</f>
        <v>收益法 (元)</v>
      </c>
      <c r="E101" s="3640" t="s">
        <v>1431</v>
      </c>
      <c r="F101" s="3597"/>
      <c r="G101" s="1824" t="s">
        <v>1432</v>
      </c>
      <c r="H101" s="2591">
        <f ca="1">H118</f>
        <v>1397</v>
      </c>
      <c r="I101" s="128"/>
    </row>
    <row r="102" spans="1:35" ht="18.75" customHeight="1">
      <c r="A102" s="3599" t="s">
        <v>1433</v>
      </c>
      <c r="B102" s="2580" t="s">
        <v>1432</v>
      </c>
      <c r="C102" s="2581">
        <f ca="1">IF(D32="楼面单价",ROUND(C19,0),C19)</f>
        <v>1657</v>
      </c>
      <c r="D102" s="2582">
        <f ca="1">IF(D32="楼面单价",ROUND(D19,0),D19)</f>
        <v>790</v>
      </c>
      <c r="E102" s="3640"/>
      <c r="F102" s="3597"/>
      <c r="G102" s="1824" t="s">
        <v>1434</v>
      </c>
      <c r="H102" s="2552">
        <f ca="1">I118</f>
        <v>17086</v>
      </c>
      <c r="I102" s="128"/>
    </row>
    <row r="103" spans="1:35" ht="42.75" customHeight="1">
      <c r="A103" s="3599"/>
      <c r="B103" s="2580" t="s">
        <v>1434</v>
      </c>
      <c r="C103" s="2583">
        <f ca="1">C20</f>
        <v>20270</v>
      </c>
      <c r="D103" s="2584">
        <f ca="1">D20</f>
        <v>9658</v>
      </c>
      <c r="E103" s="3634" t="s">
        <v>1435</v>
      </c>
      <c r="F103" s="3635"/>
      <c r="G103" s="1825" t="s">
        <v>1436</v>
      </c>
      <c r="H103" s="2591">
        <f>IF(D36="正常操作",H104+H105+H106,H105+H106)</f>
        <v>0</v>
      </c>
      <c r="I103" s="128"/>
    </row>
    <row r="104" spans="1:35" ht="18.75" customHeight="1">
      <c r="A104" s="3599" t="s">
        <v>1437</v>
      </c>
      <c r="B104" s="2585" t="s">
        <v>1432</v>
      </c>
      <c r="C104" s="2586">
        <f ca="1">H118</f>
        <v>1397</v>
      </c>
      <c r="D104" s="2587"/>
      <c r="E104" s="1671" t="s">
        <v>1438</v>
      </c>
      <c r="F104" s="1663"/>
      <c r="G104" s="1825" t="s">
        <v>1436</v>
      </c>
      <c r="H104" s="2592">
        <f>IF(D36="同一抵押权人同一抵押物续贷",C36&amp;"（续贷，未扣减，详见特别提示）",C36)</f>
        <v>0</v>
      </c>
      <c r="I104" s="128"/>
    </row>
    <row r="105" spans="1:35" ht="18.75" customHeight="1" thickBot="1">
      <c r="A105" s="3600"/>
      <c r="B105" s="2588" t="s">
        <v>1434</v>
      </c>
      <c r="C105" s="2589">
        <f ca="1">I118</f>
        <v>17086</v>
      </c>
      <c r="D105" s="2590"/>
      <c r="E105" s="1671" t="s">
        <v>1439</v>
      </c>
      <c r="F105" s="1663"/>
      <c r="G105" s="1825" t="s">
        <v>1436</v>
      </c>
      <c r="H105" s="2593">
        <f>C37</f>
        <v>0</v>
      </c>
      <c r="I105" s="128"/>
    </row>
    <row r="106" spans="1:35" ht="18.75" customHeight="1">
      <c r="A106" s="1744" t="s">
        <v>1440</v>
      </c>
      <c r="B106" s="1744"/>
      <c r="C106" s="1744"/>
      <c r="D106" s="1744"/>
      <c r="E106" s="1826" t="s">
        <v>1441</v>
      </c>
      <c r="F106" s="1663"/>
      <c r="G106" s="1825" t="s">
        <v>1436</v>
      </c>
      <c r="H106" s="2593">
        <f>C38</f>
        <v>0</v>
      </c>
      <c r="I106" s="128"/>
    </row>
    <row r="107" spans="1:35" ht="18.75" customHeight="1">
      <c r="A107" s="128"/>
      <c r="B107" s="128"/>
      <c r="C107" s="128"/>
      <c r="D107" s="128"/>
      <c r="E107" s="3596" t="str">
        <f>IF(项目基本情况!E8="已注销","——","3.房地产抵押价值")</f>
        <v>3.房地产抵押价值</v>
      </c>
      <c r="F107" s="3597"/>
      <c r="G107" s="1824" t="s">
        <v>1432</v>
      </c>
      <c r="H107" s="2591">
        <f ca="1">IF(E107="——","——",H101-H103)</f>
        <v>1397</v>
      </c>
      <c r="I107" s="128"/>
    </row>
    <row r="108" spans="1:35" ht="18.75" customHeight="1">
      <c r="A108" s="128"/>
      <c r="B108" s="128"/>
      <c r="C108" s="128"/>
      <c r="D108" s="128"/>
      <c r="E108" s="3596"/>
      <c r="F108" s="3597"/>
      <c r="G108" s="1824" t="s">
        <v>1434</v>
      </c>
      <c r="H108" s="2552">
        <f ca="1">IF(H107=H101,H102,ROUND(H107*10000/'数据-汇总表'!E3,0))</f>
        <v>17086</v>
      </c>
      <c r="I108" s="128"/>
    </row>
    <row r="109" spans="1:35" ht="18.75" customHeight="1">
      <c r="A109" s="128"/>
      <c r="B109" s="128"/>
      <c r="C109" s="128"/>
      <c r="D109" s="128"/>
      <c r="E109" s="3596" t="str">
        <f>IF(项目基本情况!E8="已注销及未注销","4.抵押担保权已注销时的房地产抵押价值",IF(项目基本情况!E8="已注销","3.抵押担保权已注销时的房地产抵押价值","——"))</f>
        <v>——</v>
      </c>
      <c r="F109" s="3597"/>
      <c r="G109" s="1824" t="s">
        <v>1432</v>
      </c>
      <c r="H109" s="2594" t="str">
        <f>IF(E109="——","——",H101-H105-H106)</f>
        <v>——</v>
      </c>
      <c r="I109" s="128"/>
    </row>
    <row r="110" spans="1:35" ht="18.75" customHeight="1">
      <c r="A110" s="128"/>
      <c r="B110" s="128"/>
      <c r="C110" s="128"/>
      <c r="D110" s="128"/>
      <c r="E110" s="3596"/>
      <c r="F110" s="3597"/>
      <c r="G110" s="1824" t="s">
        <v>1434</v>
      </c>
      <c r="H110" s="2552" t="str">
        <f>IF(H109="——","——",ROUND(H109*10000/'数据-汇总表'!E3,0))</f>
        <v>——</v>
      </c>
      <c r="I110" s="128"/>
    </row>
    <row r="111" spans="1:35" ht="18.75" customHeight="1">
      <c r="A111" s="128"/>
      <c r="B111" s="128"/>
      <c r="C111" s="128"/>
      <c r="D111" s="128"/>
      <c r="E111" s="3628" t="str">
        <f>IF(项目基本情况!E9="抵押净值",IF(OR(项目基本情况!E8="已注销",项目基本情况!E8="房地产抵押价值"),"4.抵押净值","5.抵押净值"),"——")</f>
        <v>4.抵押净值</v>
      </c>
      <c r="F111" s="3598"/>
      <c r="G111" s="1824" t="s">
        <v>1432</v>
      </c>
      <c r="H111" s="2591">
        <f ca="1">IF(E111="——","——",N59)</f>
        <v>1076.3</v>
      </c>
      <c r="I111" s="128"/>
    </row>
    <row r="112" spans="1:35" ht="18.75" customHeight="1" thickBot="1">
      <c r="A112" s="128"/>
      <c r="B112" s="128"/>
      <c r="C112" s="128"/>
      <c r="D112" s="128"/>
      <c r="E112" s="3629"/>
      <c r="F112" s="3630"/>
      <c r="G112" s="1827" t="s">
        <v>1434</v>
      </c>
      <c r="H112" s="2595">
        <f ca="1">IF(E111="——","——",N61)</f>
        <v>13166</v>
      </c>
      <c r="I112" s="128"/>
    </row>
    <row r="113" spans="1:27" ht="18.75" customHeight="1">
      <c r="A113" s="128"/>
      <c r="B113" s="128"/>
      <c r="C113" s="128"/>
      <c r="D113" s="128"/>
      <c r="E113" s="3601" t="s">
        <v>1440</v>
      </c>
      <c r="F113" s="3601"/>
      <c r="G113" s="3601"/>
      <c r="H113" s="3601"/>
      <c r="I113" s="128"/>
    </row>
    <row r="114" spans="1:27" ht="3.75" customHeight="1">
      <c r="A114" s="1744"/>
      <c r="B114" s="1744"/>
      <c r="C114" s="1744"/>
      <c r="D114" s="1744"/>
      <c r="E114" s="1806"/>
      <c r="F114" s="1806"/>
      <c r="G114" s="1806"/>
      <c r="H114" s="1806"/>
      <c r="I114" s="1744"/>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817.51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1397</v>
      </c>
      <c r="I118" s="2326">
        <f ca="1">ROUND(IF(D32="楼面单价",C32,H118*10000/B118),0)</f>
        <v>17086</v>
      </c>
    </row>
    <row r="119" spans="1:27" ht="18.75" customHeight="1">
      <c r="A119" s="3567" t="s">
        <v>1452</v>
      </c>
      <c r="B119" s="3567"/>
      <c r="C119" s="3567"/>
      <c r="D119" s="3607" t="str">
        <f>NUMBERSTRING(INT(D118*10000),2)&amp;"元整"</f>
        <v>零元整</v>
      </c>
      <c r="E119" s="3609"/>
      <c r="F119" s="3607" t="str">
        <f>NUMBERSTRING(INT(F118*10000),2)&amp;"元整"</f>
        <v>零元整</v>
      </c>
      <c r="G119" s="3609"/>
      <c r="H119" s="3607" t="str">
        <f ca="1">NUMBERSTRING(INT(H118*10000),2)&amp;"元整"</f>
        <v>壹仟叁佰玖拾柒万元整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7" t="s">
        <v>1452</v>
      </c>
      <c r="B121" s="3608"/>
      <c r="C121" s="3609"/>
      <c r="D121" s="3607" t="str">
        <f>IF(D120=0,"零元整",NUMBERSTRING(INT(D120*10000),2)&amp;"元整")</f>
        <v>零元整</v>
      </c>
      <c r="E121" s="3608"/>
      <c r="F121" s="3608"/>
      <c r="G121" s="3608"/>
      <c r="H121" s="3608"/>
      <c r="I121" s="3609"/>
      <c r="AA121" s="722"/>
    </row>
    <row r="122" spans="1:27" ht="18.75" customHeight="1">
      <c r="A122" s="3598" t="str">
        <f>IF(项目基本情况!B9="房地产市场价值","",MID(E107,3,LEN(E107)-2))</f>
        <v>房地产抵押价值</v>
      </c>
      <c r="B122" s="3598"/>
      <c r="C122" s="3598"/>
      <c r="D122" s="3631">
        <f ca="1">H107</f>
        <v>1397</v>
      </c>
      <c r="E122" s="3632"/>
      <c r="F122" s="3632"/>
      <c r="G122" s="3632"/>
      <c r="H122" s="3632"/>
      <c r="I122" s="3633"/>
      <c r="AA122" s="722"/>
    </row>
    <row r="123" spans="1:27" ht="18.75" customHeight="1">
      <c r="A123" s="3567" t="s">
        <v>1452</v>
      </c>
      <c r="B123" s="3567"/>
      <c r="C123" s="3567"/>
      <c r="D123" s="3607" t="str">
        <f ca="1">NUMBERSTRING(INT(D122*10000),2)&amp;"元整"</f>
        <v>壹仟叁佰玖拾柒万元整</v>
      </c>
      <c r="E123" s="3608"/>
      <c r="F123" s="3608"/>
      <c r="G123" s="3608"/>
      <c r="H123" s="3608"/>
      <c r="I123" s="3609"/>
      <c r="AA123" s="722"/>
    </row>
    <row r="124" spans="1:27" ht="18.75" customHeight="1">
      <c r="A124" s="3598" t="str">
        <f>IF(项目基本情况!B9="房地产市场价值","",MID(E109,3,LEN(E109)-2))</f>
        <v/>
      </c>
      <c r="B124" s="3598"/>
      <c r="C124" s="3598"/>
      <c r="D124" s="3631" t="str">
        <f>H109</f>
        <v>——</v>
      </c>
      <c r="E124" s="3632"/>
      <c r="F124" s="3632"/>
      <c r="G124" s="3632"/>
      <c r="H124" s="3632"/>
      <c r="I124" s="3633"/>
      <c r="AA124" s="722"/>
    </row>
    <row r="125" spans="1:27" ht="18.75" customHeight="1">
      <c r="A125" s="3567" t="s">
        <v>1452</v>
      </c>
      <c r="B125" s="3567"/>
      <c r="C125" s="3567"/>
      <c r="D125" s="3607" t="e">
        <f>NUMBERSTRING(INT(D124*10000),2)&amp;"元整"</f>
        <v>#VALUE!</v>
      </c>
      <c r="E125" s="3608"/>
      <c r="F125" s="3608"/>
      <c r="G125" s="3608"/>
      <c r="H125" s="3608"/>
      <c r="I125" s="3609"/>
      <c r="AA125" s="722"/>
    </row>
    <row r="126" spans="1:27" ht="18.75" customHeight="1">
      <c r="A126" s="3598" t="str">
        <f>IF(项目基本情况!B9="房地产市场价值","",MID(E111,3,LEN(E111)-2))</f>
        <v>抵押净值</v>
      </c>
      <c r="B126" s="3598"/>
      <c r="C126" s="3598"/>
      <c r="D126" s="3631">
        <f ca="1">H111</f>
        <v>1076.3</v>
      </c>
      <c r="E126" s="3632"/>
      <c r="F126" s="3632"/>
      <c r="G126" s="3632"/>
      <c r="H126" s="3632"/>
      <c r="I126" s="3633"/>
      <c r="AA126" s="722"/>
    </row>
    <row r="127" spans="1:27" ht="18.75" customHeight="1">
      <c r="A127" s="3567" t="s">
        <v>1452</v>
      </c>
      <c r="B127" s="3567"/>
      <c r="C127" s="3567"/>
      <c r="D127" s="3607" t="str">
        <f ca="1">NUMBERSTRING(INT(D126*10000),2)&amp;"元整"</f>
        <v>壹仟零柒拾陆万叁仟元整</v>
      </c>
      <c r="E127" s="3608"/>
      <c r="F127" s="3608"/>
      <c r="G127" s="3608"/>
      <c r="H127" s="3608"/>
      <c r="I127" s="3609"/>
      <c r="AA127" s="722"/>
    </row>
    <row r="128" spans="1:27" ht="21.75" customHeight="1">
      <c r="A128" s="3614" t="s">
        <v>1453</v>
      </c>
      <c r="B128" s="3614"/>
      <c r="C128" s="3614"/>
      <c r="D128" s="3614"/>
      <c r="E128" s="3614"/>
      <c r="F128" s="3614"/>
      <c r="G128" s="3614"/>
      <c r="H128" s="3614"/>
      <c r="I128" s="361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435</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5321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c r="H9" s="1134"/>
      <c r="I9" s="1855" t="s">
        <v>1479</v>
      </c>
    </row>
    <row r="10" spans="1:9" s="213" customFormat="1" ht="13.5" customHeight="1">
      <c r="A10" s="776" t="s">
        <v>356</v>
      </c>
      <c r="B10" s="223" t="s">
        <v>1480</v>
      </c>
      <c r="C10" s="224">
        <f ca="1">ROUND(D10*E10/10000,0)</f>
        <v>16</v>
      </c>
      <c r="D10" s="842">
        <f ca="1">IF(B1="",'数据-汇总表'!E6,IF(INDIRECT("'数据-取费表'!c"&amp;$G$1)="住宅",INDIRECT("'数据-取费表'!s"&amp;$G$1),INDIRECT("'数据-取费表'!k"&amp;$G$1)+INDIRECT("'数据-取费表'!s"&amp;$G$1)))</f>
        <v>817.51</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16</v>
      </c>
      <c r="D19" s="846">
        <f ca="1">D9+D10</f>
        <v>817.51</v>
      </c>
      <c r="E19" s="210">
        <f>'数据-取费表'!B31</f>
        <v>200</v>
      </c>
      <c r="F19" s="230"/>
      <c r="G19" s="1853"/>
    </row>
    <row r="20" spans="1:7" s="213" customFormat="1" ht="13.5" customHeight="1">
      <c r="A20" s="254" t="s">
        <v>1493</v>
      </c>
      <c r="B20" s="209" t="s">
        <v>1494</v>
      </c>
      <c r="C20" s="231">
        <f ca="1">ROUND((C5+C19)*F20,0)</f>
        <v>0</v>
      </c>
      <c r="D20" s="231"/>
      <c r="E20" s="231"/>
      <c r="F20" s="232">
        <f>'数据-取费表'!B37</f>
        <v>0.03</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2</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2</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409</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368</v>
      </c>
      <c r="D34" s="216"/>
      <c r="E34" s="219"/>
      <c r="F34" s="256">
        <f ca="1">IF('数据-取费表'!B24=0,1,IF(B1="",'数据-取费表'!N16,INDIRECT("'数据-取费表'!n"&amp;$G$1)))</f>
        <v>1</v>
      </c>
      <c r="G34" s="218" t="s">
        <v>1526</v>
      </c>
    </row>
    <row r="35" spans="1:7" ht="13.5" customHeight="1">
      <c r="A35" s="777" t="s">
        <v>351</v>
      </c>
      <c r="B35" s="214" t="s">
        <v>1527</v>
      </c>
      <c r="C35" s="219">
        <f ca="1">ROUND(C34*F35,0)</f>
        <v>18</v>
      </c>
      <c r="D35" s="219"/>
      <c r="E35" s="219"/>
      <c r="F35" s="258">
        <f>'数据-取费表'!B33</f>
        <v>0.05</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16</v>
      </c>
      <c r="D37" s="216">
        <f ca="1">D19</f>
        <v>817.51</v>
      </c>
      <c r="E37" s="248">
        <f>'数据-取费表'!B35</f>
        <v>200</v>
      </c>
      <c r="F37" s="258"/>
      <c r="G37" s="260" t="s">
        <v>1532</v>
      </c>
    </row>
    <row r="38" spans="1:7" ht="13.5" customHeight="1">
      <c r="A38" s="777"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12</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13</v>
      </c>
      <c r="D42" s="237"/>
      <c r="E42" s="237"/>
      <c r="F42" s="238"/>
      <c r="G42" s="3647" t="s">
        <v>1544</v>
      </c>
    </row>
    <row r="43" spans="1:7" ht="13.5" customHeight="1">
      <c r="A43" s="777" t="s">
        <v>347</v>
      </c>
      <c r="B43" s="214" t="s">
        <v>1545</v>
      </c>
      <c r="C43" s="237">
        <f ca="1">ROUND(IF('数据-取费表'!B22&lt;=1,C39*F22*'数据-取费表'!B21/2,C39*(POWER((1+F22),'数据-取费表'!B21/2)-1)),0)</f>
        <v>0</v>
      </c>
      <c r="D43" s="237"/>
      <c r="E43" s="237"/>
      <c r="F43" s="238"/>
      <c r="G43" s="3648"/>
    </row>
    <row r="44" spans="1:7" ht="13.5" customHeight="1">
      <c r="A44" s="777" t="s">
        <v>348</v>
      </c>
      <c r="B44" s="214" t="s">
        <v>1546</v>
      </c>
      <c r="C44" s="237">
        <f ca="1">ROUND(IF('数据-取费表'!B22&lt;=1,C40*F22*'数据-取费表'!B21/2,C40*(POWER((1+F22),'数据-取费表'!B21/2)-1)),4)</f>
        <v>5.9999999999999995E-4</v>
      </c>
      <c r="D44" s="237"/>
      <c r="E44" s="237"/>
      <c r="F44" s="238"/>
      <c r="G44" s="3649"/>
    </row>
    <row r="45" spans="1:7" s="213" customFormat="1" ht="13.5" customHeight="1">
      <c r="A45" s="254" t="s">
        <v>1547</v>
      </c>
      <c r="B45" s="243" t="s">
        <v>1513</v>
      </c>
      <c r="C45" s="244">
        <f ca="1">C46</f>
        <v>63</v>
      </c>
      <c r="D45" s="234">
        <f ca="1">C47</f>
        <v>3.0000000000000001E-3</v>
      </c>
      <c r="E45" s="235" t="s">
        <v>1539</v>
      </c>
      <c r="F45" s="245">
        <f ca="1">F27</f>
        <v>0.15</v>
      </c>
      <c r="G45" s="246" t="s">
        <v>1548</v>
      </c>
    </row>
    <row r="46" spans="1:7" s="213" customFormat="1" ht="13.5" customHeight="1">
      <c r="A46" s="777" t="s">
        <v>346</v>
      </c>
      <c r="B46" s="247" t="s">
        <v>1549</v>
      </c>
      <c r="C46" s="248">
        <f ca="1">ROUND((C33+C39)*F27,0)</f>
        <v>63</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538</v>
      </c>
      <c r="D49" s="231"/>
      <c r="E49" s="231"/>
      <c r="F49" s="263"/>
      <c r="G49" s="233" t="s">
        <v>1554</v>
      </c>
    </row>
    <row r="50" spans="1:7" s="257" customFormat="1" ht="24">
      <c r="A50" s="254" t="s">
        <v>1555</v>
      </c>
      <c r="B50" s="209" t="s">
        <v>1556</v>
      </c>
      <c r="C50" s="231"/>
      <c r="D50" s="231"/>
      <c r="E50" s="231"/>
      <c r="F50" s="263">
        <f>IF('数据-取费表'!B24=0,'数据-取费表'!N16,1)</f>
        <v>0.77</v>
      </c>
      <c r="G50" s="246" t="s">
        <v>1557</v>
      </c>
    </row>
    <row r="51" spans="1:7" ht="16.5" customHeight="1">
      <c r="A51" s="254" t="s">
        <v>1558</v>
      </c>
      <c r="B51" s="209" t="s">
        <v>1559</v>
      </c>
      <c r="C51" s="231">
        <f ca="1">ROUND(C49*F50,0)</f>
        <v>414</v>
      </c>
      <c r="D51" s="231"/>
      <c r="E51" s="231"/>
      <c r="F51" s="263"/>
      <c r="G51" s="233" t="s">
        <v>1560</v>
      </c>
    </row>
    <row r="52" spans="1:7" s="207" customFormat="1" ht="16.5" thickBot="1">
      <c r="A52" s="264" t="s">
        <v>1561</v>
      </c>
      <c r="B52" s="265"/>
      <c r="C52" s="266">
        <f ca="1">C31+C51</f>
        <v>435</v>
      </c>
      <c r="D52" s="265"/>
      <c r="E52" s="265"/>
      <c r="F52" s="265"/>
      <c r="G52" s="267"/>
    </row>
    <row r="55" spans="1:7" ht="15">
      <c r="B55" s="269" t="s">
        <v>1562</v>
      </c>
      <c r="C55" s="270"/>
    </row>
    <row r="56" spans="1:7">
      <c r="B56" s="272" t="s">
        <v>802</v>
      </c>
      <c r="C56" s="274">
        <f ca="1">1-C57</f>
        <v>4.8000000000000043E-2</v>
      </c>
    </row>
    <row r="57" spans="1:7">
      <c r="B57" s="272" t="s">
        <v>803</v>
      </c>
      <c r="C57" s="273">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4" t="str">
        <f>项目基本情况!B1</f>
        <v>北京市房地产抵押价值预评估</v>
      </c>
      <c r="C37" s="3464"/>
      <c r="D37" s="3464"/>
      <c r="E37" s="3464"/>
      <c r="F37" s="3464"/>
      <c r="G37" s="3464"/>
      <c r="H37" s="3464"/>
      <c r="I37" s="3464"/>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817.27570000000003</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9997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2973053</v>
      </c>
      <c r="D5" s="210" t="s">
        <v>1469</v>
      </c>
      <c r="E5" s="211" t="s">
        <v>1470</v>
      </c>
      <c r="F5" s="211" t="s">
        <v>1471</v>
      </c>
      <c r="G5" s="212"/>
    </row>
    <row r="6" spans="1:8" s="213" customFormat="1" ht="13.5" customHeight="1">
      <c r="A6" s="775" t="s">
        <v>1472</v>
      </c>
      <c r="B6" s="214" t="s">
        <v>1473</v>
      </c>
      <c r="C6" s="215">
        <f>ROUND(基准地价修正!C33*基准地价修正!D33,0)</f>
        <v>2726396</v>
      </c>
      <c r="D6" s="216"/>
      <c r="E6" s="217"/>
      <c r="F6" s="217"/>
      <c r="G6" s="218"/>
    </row>
    <row r="7" spans="1:8" s="213" customFormat="1" ht="13.5" customHeight="1">
      <c r="A7" s="775" t="s">
        <v>1474</v>
      </c>
      <c r="B7" s="214" t="s">
        <v>1475</v>
      </c>
      <c r="C7" s="219">
        <f>ROUND(C6*F7,0)</f>
        <v>83155</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163502</v>
      </c>
      <c r="D8" s="221"/>
      <c r="E8" s="219"/>
      <c r="F8" s="220"/>
      <c r="G8" s="1853" t="s">
        <v>3464</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163502</v>
      </c>
      <c r="D10" s="842">
        <f ca="1">IF(B1="",'数据-汇总表'!E6,IF(INDIRECT("'数据-取费表'!c"&amp;$G$1)="住宅",INDIRECT("'数据-取费表'!s"&amp;$G$1),INDIRECT("'数据-取费表'!k"&amp;$G$1)+INDIRECT("'数据-取费表'!s"&amp;$G$1)))</f>
        <v>817.51</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817.51</v>
      </c>
      <c r="E19" s="210">
        <f>'数据-取费表'!B31</f>
        <v>200</v>
      </c>
      <c r="F19" s="230"/>
      <c r="G19" s="1853" t="s">
        <v>3465</v>
      </c>
    </row>
    <row r="20" spans="1:7" s="213" customFormat="1" ht="13.5" customHeight="1">
      <c r="A20" s="254" t="s">
        <v>1574</v>
      </c>
      <c r="B20" s="209" t="s">
        <v>1575</v>
      </c>
      <c r="C20" s="231">
        <f ca="1">ROUND((C5+C19)*F20,0)</f>
        <v>89192</v>
      </c>
      <c r="D20" s="231"/>
      <c r="E20" s="231"/>
      <c r="F20" s="232">
        <f>'数据-取费表'!B37</f>
        <v>0.03</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189951</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187186</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5">
        <f ca="1">ROUND(IF('数据-取费表'!B22&lt;=1,C20*F22*'数据-取费表'!B22/2,C20*(POWER((1+F22),'数据-取费表'!B22/2)-1)),0)</f>
        <v>2765</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459337</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459337</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4016811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4099813</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3678795</v>
      </c>
      <c r="D34" s="216"/>
      <c r="E34" s="219"/>
      <c r="F34" s="256"/>
      <c r="G34" s="218"/>
    </row>
    <row r="35" spans="1:7" ht="13.5" customHeight="1">
      <c r="A35" s="777" t="s">
        <v>351</v>
      </c>
      <c r="B35" s="214" t="s">
        <v>1527</v>
      </c>
      <c r="C35" s="219">
        <f ca="1">ROUND(C34*F35,0)</f>
        <v>183940</v>
      </c>
      <c r="D35" s="219"/>
      <c r="E35" s="219"/>
      <c r="F35" s="258">
        <f>'数据-取费表'!B33</f>
        <v>0.05</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163502</v>
      </c>
      <c r="D37" s="216">
        <f ca="1">D19</f>
        <v>817.51</v>
      </c>
      <c r="E37" s="248">
        <f>'数据-取费表'!B35</f>
        <v>200</v>
      </c>
      <c r="F37" s="258"/>
      <c r="G37" s="260"/>
    </row>
    <row r="38" spans="1:7" ht="13.5" customHeight="1">
      <c r="A38" s="777" t="s">
        <v>354</v>
      </c>
      <c r="B38" s="214" t="s">
        <v>1533</v>
      </c>
      <c r="C38" s="219">
        <f ca="1">ROUND(C34*F38,0)</f>
        <v>73576</v>
      </c>
      <c r="D38" s="219"/>
      <c r="E38" s="219"/>
      <c r="F38" s="258">
        <f>'数据-取费表'!B36</f>
        <v>0.02</v>
      </c>
      <c r="G38" s="218" t="s">
        <v>1528</v>
      </c>
    </row>
    <row r="39" spans="1:7" s="213" customFormat="1" ht="13.5" customHeight="1">
      <c r="A39" s="254" t="s">
        <v>1534</v>
      </c>
      <c r="B39" s="209" t="s">
        <v>1535</v>
      </c>
      <c r="C39" s="231">
        <f ca="1">ROUND(C33*F20,0)</f>
        <v>122994</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130907</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127094</v>
      </c>
      <c r="D42" s="237"/>
      <c r="E42" s="237"/>
      <c r="F42" s="238"/>
      <c r="G42" s="3647" t="s">
        <v>1591</v>
      </c>
    </row>
    <row r="43" spans="1:7" ht="13.5" customHeight="1">
      <c r="A43" s="777" t="s">
        <v>347</v>
      </c>
      <c r="B43" s="214" t="s">
        <v>1545</v>
      </c>
      <c r="C43" s="237">
        <f ca="1">ROUND(IF('数据-取费表'!B22&lt;=1,C39*F22*'数据-取费表'!B20/2,C39*(POWER((1+F22),'数据-取费表'!B20/2)-1)),0)</f>
        <v>3813</v>
      </c>
      <c r="D43" s="237"/>
      <c r="E43" s="237"/>
      <c r="F43" s="238"/>
      <c r="G43" s="3648"/>
    </row>
    <row r="44" spans="1:7" ht="13.5" customHeight="1">
      <c r="A44" s="777" t="s">
        <v>348</v>
      </c>
      <c r="B44" s="214" t="s">
        <v>1546</v>
      </c>
      <c r="C44" s="237">
        <f ca="1">ROUND(IF('数据-取费表'!B22&lt;=1,C40*F22*'数据-取费表'!B20/2,C40*(POWER((1+F22),'数据-取费表'!B20/2)-1)),4)</f>
        <v>5.9999999999999995E-4</v>
      </c>
      <c r="D44" s="237"/>
      <c r="E44" s="237"/>
      <c r="F44" s="238"/>
      <c r="G44" s="3649"/>
    </row>
    <row r="45" spans="1:7" s="213" customFormat="1" ht="13.5" customHeight="1">
      <c r="A45" s="254" t="s">
        <v>1547</v>
      </c>
      <c r="B45" s="243" t="s">
        <v>1513</v>
      </c>
      <c r="C45" s="244">
        <f ca="1">C46</f>
        <v>633421</v>
      </c>
      <c r="D45" s="234">
        <f ca="1">C47</f>
        <v>3.0000000000000001E-3</v>
      </c>
      <c r="E45" s="235" t="s">
        <v>1539</v>
      </c>
      <c r="F45" s="245">
        <f ca="1">F27</f>
        <v>0.15</v>
      </c>
      <c r="G45" s="246" t="s">
        <v>1548</v>
      </c>
    </row>
    <row r="46" spans="1:7" s="213" customFormat="1" ht="13.5" customHeight="1">
      <c r="A46" s="777" t="s">
        <v>346</v>
      </c>
      <c r="B46" s="247" t="s">
        <v>1549</v>
      </c>
      <c r="C46" s="248">
        <f ca="1">ROUND((C33+C39)*F27,0)</f>
        <v>633421</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5397332</v>
      </c>
      <c r="D49" s="231"/>
      <c r="E49" s="231"/>
      <c r="F49" s="263"/>
      <c r="G49" s="233" t="s">
        <v>1554</v>
      </c>
    </row>
    <row r="50" spans="1:7" s="257" customFormat="1">
      <c r="A50" s="254" t="s">
        <v>1555</v>
      </c>
      <c r="B50" s="209" t="s">
        <v>1556</v>
      </c>
      <c r="C50" s="231"/>
      <c r="D50" s="231"/>
      <c r="E50" s="231"/>
      <c r="F50" s="263">
        <f>IF('数据-取费表'!B24=0,'数据-取费表'!N16,1)</f>
        <v>0.77</v>
      </c>
      <c r="G50" s="246"/>
    </row>
    <row r="51" spans="1:7" ht="16.5" customHeight="1">
      <c r="A51" s="254" t="s">
        <v>1558</v>
      </c>
      <c r="B51" s="209" t="s">
        <v>1593</v>
      </c>
      <c r="C51" s="231">
        <f ca="1">ROUND(C49*F50,0)</f>
        <v>4155946</v>
      </c>
      <c r="D51" s="231"/>
      <c r="E51" s="231"/>
      <c r="F51" s="263"/>
      <c r="G51" s="233" t="s">
        <v>1560</v>
      </c>
    </row>
    <row r="52" spans="1:7" s="207" customFormat="1" ht="16.5" thickBot="1">
      <c r="A52" s="264" t="s">
        <v>1561</v>
      </c>
      <c r="B52" s="265"/>
      <c r="C52" s="266">
        <f ca="1">C31+C51</f>
        <v>8172757</v>
      </c>
      <c r="D52" s="265"/>
      <c r="E52" s="265"/>
      <c r="F52" s="265"/>
      <c r="G52" s="267"/>
    </row>
    <row r="55" spans="1:7" ht="15">
      <c r="B55" s="269" t="s">
        <v>1562</v>
      </c>
      <c r="C55" s="270"/>
    </row>
    <row r="56" spans="1:7">
      <c r="B56" s="272" t="s">
        <v>802</v>
      </c>
      <c r="C56" s="274">
        <f ca="1">1-C57</f>
        <v>0.49099999999999999</v>
      </c>
    </row>
    <row r="57" spans="1:7">
      <c r="B57" s="272" t="s">
        <v>803</v>
      </c>
      <c r="C57" s="273">
        <f ca="1">ROUND(C51/C52,3)</f>
        <v>0.50900000000000001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-17</v>
      </c>
      <c r="C2" s="275" t="s">
        <v>1595</v>
      </c>
      <c r="D2" s="275"/>
      <c r="E2" s="2802"/>
      <c r="F2" s="2802"/>
      <c r="G2" s="2802"/>
      <c r="H2" s="2802"/>
      <c r="I2" s="2802"/>
      <c r="J2" s="2802"/>
      <c r="K2" s="2802"/>
    </row>
    <row r="3" spans="1:33" ht="18" customHeight="1" thickBot="1">
      <c r="A3" s="202" t="s">
        <v>1464</v>
      </c>
      <c r="B3" s="203">
        <f ca="1">ROUND(B2*10000/IF(C1="",'数据-汇总表'!E3,INDIRECT("'数据-取费表'!K"&amp;$K$1)),0)</f>
        <v>-208</v>
      </c>
      <c r="C3" s="275" t="s">
        <v>1596</v>
      </c>
      <c r="D3" s="275"/>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817.51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817.51</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16</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16</v>
      </c>
      <c r="D20" s="843">
        <f ca="1">IF(C1="",'数据-汇总表'!E6,IF(INDIRECT("'数据-取费表'!c"&amp;$K$1)="住宅",INDIRECT("'数据-取费表'!s"&amp;$K$1),INDIRECT("'数据-取费表'!k"&amp;$K$1)+INDIRECT("'数据-取费表'!s"&amp;$K$1)))</f>
        <v>817.51</v>
      </c>
      <c r="E20" s="21">
        <f>'数据-取费表'!B28</f>
        <v>200</v>
      </c>
      <c r="F20" s="801"/>
      <c r="G20" s="12"/>
      <c r="H20" s="806"/>
      <c r="I20" s="806"/>
      <c r="J20" s="806"/>
      <c r="K20" s="807"/>
    </row>
    <row r="21" spans="1:33" s="800" customFormat="1" ht="13.5" customHeight="1">
      <c r="A21" s="787" t="s">
        <v>357</v>
      </c>
      <c r="B21" s="810" t="s">
        <v>1628</v>
      </c>
      <c r="C21" s="811">
        <f ca="1">C16+C17+C18</f>
        <v>16</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0.03</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2</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2</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-17</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2"/>
      <c r="H2" s="2691"/>
      <c r="I2" s="2691"/>
      <c r="J2" s="2691"/>
      <c r="K2" s="2692"/>
      <c r="L2" s="2691"/>
      <c r="M2" s="2691"/>
    </row>
    <row r="3" spans="1:37" ht="18" customHeight="1" thickBot="1">
      <c r="A3" s="1387" t="s">
        <v>806</v>
      </c>
      <c r="B3" s="1388">
        <f ca="1">IF(ISERROR(B2*10000/F43),0,ROUND(B2*10000/F43,0))</f>
        <v>0</v>
      </c>
      <c r="C3" s="1384" t="s">
        <v>807</v>
      </c>
      <c r="D3" s="1384"/>
      <c r="E3" s="1385"/>
      <c r="F3" s="1386"/>
      <c r="G3" s="2702"/>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652" t="s">
        <v>694</v>
      </c>
      <c r="C6" s="1071">
        <f ca="1">ROUND(F6*F8*F7*(1-F9)/10000,0)</f>
        <v>0</v>
      </c>
      <c r="D6" s="154" t="s">
        <v>2108</v>
      </c>
      <c r="E6" s="301" t="s">
        <v>696</v>
      </c>
      <c r="F6" s="302">
        <f ca="1">INDIRECT("'数据-取费表'!u"&amp;$G$1)</f>
        <v>0</v>
      </c>
      <c r="G6" s="1381"/>
      <c r="H6" s="1066" t="s">
        <v>398</v>
      </c>
      <c r="I6" s="3652" t="s">
        <v>694</v>
      </c>
      <c r="J6" s="300">
        <f ca="1">ROUND(M6*M8*M7*(1-M9)/10000,0)</f>
        <v>0</v>
      </c>
      <c r="K6" s="154" t="s">
        <v>2107</v>
      </c>
      <c r="L6" s="301" t="s">
        <v>696</v>
      </c>
      <c r="M6" s="302">
        <f ca="1">INDIRECT("'数据-取费表'!z"&amp;$G$1)</f>
        <v>0</v>
      </c>
    </row>
    <row r="7" spans="1:37" ht="18" customHeight="1">
      <c r="A7" s="1070"/>
      <c r="B7" s="3653"/>
      <c r="C7" s="1072"/>
      <c r="D7" s="306"/>
      <c r="E7" s="1073" t="s">
        <v>697</v>
      </c>
      <c r="F7" s="302">
        <f ca="1">IF(INDIRECT("'数据-取费表'!ah"&amp;$G$1)="",INDIRECT("'数据-取费表'!k"&amp;$G$1),INDIRECT("'数据-取费表'!ah"&amp;$G$1))</f>
        <v>0</v>
      </c>
      <c r="G7" s="1381"/>
      <c r="H7" s="303"/>
      <c r="I7" s="3653"/>
      <c r="J7" s="305"/>
      <c r="K7" s="306"/>
      <c r="L7" s="301" t="s">
        <v>697</v>
      </c>
      <c r="M7" s="302">
        <f ca="1">F7</f>
        <v>0</v>
      </c>
    </row>
    <row r="8" spans="1:37" ht="18" customHeight="1">
      <c r="A8" s="303"/>
      <c r="B8" s="3653"/>
      <c r="C8" s="305"/>
      <c r="D8" s="306"/>
      <c r="E8" s="301" t="s">
        <v>698</v>
      </c>
      <c r="F8" s="302">
        <f ca="1">INDIRECT("'数据-取费表'!ai"&amp;$G$1)</f>
        <v>0</v>
      </c>
      <c r="G8" s="1381"/>
      <c r="H8" s="303"/>
      <c r="I8" s="3653"/>
      <c r="J8" s="305"/>
      <c r="K8" s="306"/>
      <c r="L8" s="301" t="s">
        <v>698</v>
      </c>
      <c r="M8" s="302">
        <f ca="1">INDIRECT("'数据-取费表'!ai"&amp;$G$1)</f>
        <v>0</v>
      </c>
    </row>
    <row r="9" spans="1:37" ht="18" customHeight="1">
      <c r="A9" s="303"/>
      <c r="B9" s="3654"/>
      <c r="C9" s="305"/>
      <c r="D9" s="306"/>
      <c r="E9" s="301" t="s">
        <v>699</v>
      </c>
      <c r="F9" s="311">
        <f ca="1">INDIRECT("'数据-取费表'!w"&amp;$G$1)</f>
        <v>0</v>
      </c>
      <c r="G9" s="1381"/>
      <c r="H9" s="303"/>
      <c r="I9" s="3654"/>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0</v>
      </c>
      <c r="D14" s="1342" t="s">
        <v>708</v>
      </c>
      <c r="E14" s="1339"/>
      <c r="F14" s="318"/>
      <c r="G14" s="1381"/>
      <c r="H14" s="979" t="s">
        <v>398</v>
      </c>
      <c r="I14" s="301" t="s">
        <v>709</v>
      </c>
      <c r="J14" s="21">
        <f ca="1">C29</f>
        <v>0</v>
      </c>
      <c r="K14" s="12"/>
      <c r="L14" s="804"/>
      <c r="M14" s="805"/>
    </row>
    <row r="15" spans="1:37" s="1394" customFormat="1" ht="18" customHeight="1" thickBot="1">
      <c r="A15" s="979" t="s">
        <v>399</v>
      </c>
      <c r="B15" s="301" t="s">
        <v>710</v>
      </c>
      <c r="C15" s="21">
        <f ca="1">ROUND(C14*F15,0)</f>
        <v>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79" t="s">
        <v>681</v>
      </c>
      <c r="B17" s="301" t="s">
        <v>716</v>
      </c>
      <c r="C17" s="21">
        <f ca="1">ROUND(F17*(F43+INDIRECT("'数据-取费表'!S"&amp;$G$1))/10000,0)</f>
        <v>0</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0</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0</v>
      </c>
      <c r="D19" s="130" t="s">
        <v>726</v>
      </c>
      <c r="E19" s="1357"/>
      <c r="F19" s="23"/>
      <c r="G19" s="1381"/>
      <c r="H19" s="979" t="s">
        <v>399</v>
      </c>
      <c r="I19" s="301" t="s">
        <v>727</v>
      </c>
      <c r="J19" s="21">
        <f ca="1">IF(K19="按租金收入计税",ROUND(J6*M19/(1+'数据-取费表'!C42),2),ROUND(C29*M19*0.7,2))</f>
        <v>0</v>
      </c>
      <c r="K19" s="1367" t="s">
        <v>3335</v>
      </c>
      <c r="L19" s="301" t="s">
        <v>712</v>
      </c>
      <c r="M19" s="321">
        <f>IF(K19="按租金收入计税",'数据-取费表'!B51,'数据-取费表'!B50)</f>
        <v>0.12</v>
      </c>
    </row>
    <row r="20" spans="1:37" s="1394" customFormat="1" ht="18" customHeight="1">
      <c r="A20" s="979" t="s">
        <v>402</v>
      </c>
      <c r="B20" s="301" t="s">
        <v>728</v>
      </c>
      <c r="C20" s="21">
        <f ca="1">ROUND(C19*F20,0)</f>
        <v>0</v>
      </c>
      <c r="D20" s="322" t="s">
        <v>729</v>
      </c>
      <c r="E20" s="301" t="s">
        <v>712</v>
      </c>
      <c r="F20" s="321">
        <f>'数据-取费表'!B37</f>
        <v>0.03</v>
      </c>
      <c r="G20" s="1393"/>
      <c r="H20" s="979"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0</v>
      </c>
      <c r="K22" s="1341" t="s">
        <v>739</v>
      </c>
      <c r="L22" s="301" t="s">
        <v>712</v>
      </c>
      <c r="M22" s="327">
        <f ca="1">INDIRECT("'数据-取费表'!Ak"&amp;$G$1)</f>
        <v>0</v>
      </c>
    </row>
    <row r="23" spans="1:37" s="1394"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0</v>
      </c>
      <c r="K25" s="1092" t="s">
        <v>753</v>
      </c>
      <c r="L25" s="1093"/>
      <c r="M25" s="1094"/>
    </row>
    <row r="26" spans="1:37">
      <c r="A26" s="979"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IF(项目基本情况!B11="自然人","——",ROUND(C6*F32/(1+'数据-取费表'!C42),2))</f>
        <v>0</v>
      </c>
      <c r="D32" s="1341" t="s">
        <v>724</v>
      </c>
      <c r="E32" s="301" t="s">
        <v>712</v>
      </c>
      <c r="F32" s="330">
        <f>'数据-取费表'!B41</f>
        <v>5.5000000000000007E-2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IF(项目基本情况!B11="自然人","——",IF(D33="按租金收入计税",ROUND(C6*F33/(1+'数据-取费表'!C42),2),IF(D33="按房产原值计税",ROUND(C29*F33*0.7,2),INDIRECT("'数据-取费表'!Aj"&amp;$G$1))))</f>
        <v>0</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IF(项目基本情况!B11="自然人","——",ROUND(F34*F35/10000,2))</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ROUND(C29*F36,2)</f>
        <v>0</v>
      </c>
      <c r="D36" s="1341" t="s">
        <v>771</v>
      </c>
      <c r="E36" s="301" t="s">
        <v>712</v>
      </c>
      <c r="F36" s="327">
        <f ca="1">INDIRECT("'数据-取费表'!Ak"&amp;$G$1)</f>
        <v>0</v>
      </c>
      <c r="G36" s="1381"/>
      <c r="H36" s="2696"/>
      <c r="I36" s="1395"/>
      <c r="J36" s="1396"/>
      <c r="K36" s="2541"/>
      <c r="L36" s="2696"/>
      <c r="M36" s="2696"/>
    </row>
    <row r="37" spans="1:18" ht="18" customHeight="1">
      <c r="A37" s="979" t="s">
        <v>437</v>
      </c>
      <c r="B37" s="301" t="s">
        <v>742</v>
      </c>
      <c r="C37" s="21">
        <f ca="1">ROUND(C13*F37,2)</f>
        <v>0</v>
      </c>
      <c r="D37" s="1341" t="s">
        <v>743</v>
      </c>
      <c r="E37" s="301" t="s">
        <v>744</v>
      </c>
      <c r="F37" s="329">
        <f ca="1">INDIRECT("'数据-取费表'!Al"&amp;$G$1)</f>
        <v>0</v>
      </c>
      <c r="G37" s="1381"/>
      <c r="H37" s="2696"/>
      <c r="I37" s="1395"/>
      <c r="J37" s="1396"/>
      <c r="K37" s="2541"/>
      <c r="L37" s="2696"/>
      <c r="M37" s="2696"/>
    </row>
    <row r="38" spans="1:18" ht="18" customHeight="1" thickBot="1">
      <c r="A38" s="1086" t="s">
        <v>684</v>
      </c>
      <c r="B38" s="1087" t="s">
        <v>728</v>
      </c>
      <c r="C38" s="1088">
        <f ca="1">ROUND(C5*F38,2)</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09">
        <f ca="1">C5-C30</f>
        <v>0</v>
      </c>
      <c r="D39" s="1092" t="s">
        <v>773</v>
      </c>
      <c r="E39" s="1093"/>
      <c r="F39" s="1094"/>
      <c r="G39" s="1381"/>
      <c r="H39" s="2696"/>
      <c r="I39" s="1395"/>
      <c r="J39" s="1396"/>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0</v>
      </c>
      <c r="K53" s="3650" t="s">
        <v>837</v>
      </c>
      <c r="L53" s="3651"/>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5" t="s">
        <v>714</v>
      </c>
      <c r="C58" s="315">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1">
        <f t="shared" ca="1" si="0"/>
        <v>0</v>
      </c>
      <c r="O66" s="1415" t="s">
        <v>404</v>
      </c>
      <c r="P66" s="1416" t="s">
        <v>846</v>
      </c>
      <c r="Q66" s="1417" t="e">
        <f ca="1">L60</f>
        <v>#DIV/0!</v>
      </c>
      <c r="R66" s="1417" t="s">
        <v>869</v>
      </c>
    </row>
    <row r="67" spans="1:18" s="1381" customFormat="1" ht="16.5" thickBot="1">
      <c r="A67" s="954" t="s">
        <v>394</v>
      </c>
      <c r="B67" s="964" t="s">
        <v>752</v>
      </c>
      <c r="C67" s="315">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0" t="e">
        <f ca="1">ROUND(C67*(1-((1+F70)/(1+F68))^F69)/(F68-F70),0)</f>
        <v>#DIV/0!</v>
      </c>
      <c r="D68" s="962" t="s">
        <v>758</v>
      </c>
      <c r="E68" s="947" t="s">
        <v>759</v>
      </c>
      <c r="F68" s="311">
        <f ca="1">F40</f>
        <v>0</v>
      </c>
      <c r="O68" s="1425" t="s">
        <v>406</v>
      </c>
      <c r="P68" s="1464" t="s">
        <v>871</v>
      </c>
      <c r="Q68" s="1417">
        <f ca="1">ROUND(Q69-Q70*Q71,0)</f>
        <v>0</v>
      </c>
      <c r="R68" s="1417" t="s">
        <v>414</v>
      </c>
    </row>
    <row r="69" spans="1:18" s="1381" customFormat="1" ht="13.5" thickBot="1">
      <c r="A69" s="948"/>
      <c r="B69" s="949"/>
      <c r="C69" s="305"/>
      <c r="D69" s="967" t="s">
        <v>762</v>
      </c>
      <c r="E69" s="947" t="s">
        <v>763</v>
      </c>
      <c r="F69" s="332">
        <f ca="1">F41</f>
        <v>0</v>
      </c>
      <c r="O69" s="1425" t="s">
        <v>411</v>
      </c>
      <c r="P69" s="1464" t="s">
        <v>872</v>
      </c>
      <c r="Q69" s="1417">
        <f ca="1">C39</f>
        <v>0</v>
      </c>
      <c r="R69" s="1417" t="s">
        <v>818</v>
      </c>
    </row>
    <row r="70" spans="1:18" s="1381" customFormat="1" ht="13.5" thickBot="1">
      <c r="A70" s="951"/>
      <c r="B70" s="952"/>
      <c r="C70" s="309"/>
      <c r="D70" s="963"/>
      <c r="E70" s="947" t="s">
        <v>766</v>
      </c>
      <c r="F70" s="1051"/>
      <c r="O70" s="1425" t="s">
        <v>412</v>
      </c>
      <c r="P70" s="1464" t="s">
        <v>873</v>
      </c>
      <c r="Q70" s="1417">
        <f ca="1">C13</f>
        <v>0</v>
      </c>
      <c r="R70" s="1417" t="s">
        <v>818</v>
      </c>
    </row>
    <row r="71" spans="1:18" s="1381" customFormat="1" ht="13.5" thickBot="1">
      <c r="A71" s="968" t="s">
        <v>396</v>
      </c>
      <c r="B71" s="969" t="s">
        <v>776</v>
      </c>
      <c r="C71" s="335" t="e">
        <f ca="1">ROUND(C68*10000/F71,0)</f>
        <v>#DIV/0!</v>
      </c>
      <c r="D71" s="970" t="s">
        <v>777</v>
      </c>
      <c r="E71" s="971" t="s">
        <v>778</v>
      </c>
      <c r="F71" s="338">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10:T17"/>
  <sheetViews>
    <sheetView workbookViewId="0">
      <selection activeCell="G10" sqref="G10"/>
    </sheetView>
  </sheetViews>
  <sheetFormatPr defaultRowHeight="13.5"/>
  <cols>
    <col min="9" max="9" width="11.625" bestFit="1" customWidth="1"/>
    <col min="11" max="11" width="10.5" bestFit="1" customWidth="1"/>
    <col min="14" max="14" width="10.5" bestFit="1" customWidth="1"/>
  </cols>
  <sheetData>
    <row r="10" spans="7:20">
      <c r="G10" s="3458"/>
      <c r="H10" s="3458"/>
      <c r="I10" s="3458"/>
      <c r="J10" s="3458"/>
      <c r="K10" s="3458"/>
      <c r="L10" s="3458"/>
      <c r="M10" s="3458"/>
      <c r="N10" s="3458"/>
    </row>
    <row r="11" spans="7:20">
      <c r="G11" s="3459" t="s">
        <v>3435</v>
      </c>
      <c r="H11" s="3459" t="s">
        <v>3438</v>
      </c>
      <c r="I11" s="3459" t="s">
        <v>3436</v>
      </c>
      <c r="J11" s="3459" t="s">
        <v>3392</v>
      </c>
      <c r="K11" s="3459" t="s">
        <v>3437</v>
      </c>
      <c r="L11" s="3459" t="s">
        <v>3442</v>
      </c>
      <c r="M11" s="3459" t="s">
        <v>3443</v>
      </c>
      <c r="N11" s="3459" t="s">
        <v>3439</v>
      </c>
      <c r="P11" s="3459"/>
      <c r="Q11" s="3459"/>
      <c r="R11" s="3459"/>
      <c r="S11" s="3459"/>
      <c r="T11" s="3459"/>
    </row>
    <row r="12" spans="7:20">
      <c r="G12" s="3458">
        <v>1803</v>
      </c>
      <c r="H12" s="3458">
        <f>典型户型修正!B24</f>
        <v>147.63999999999999</v>
      </c>
      <c r="I12" s="3460">
        <v>6002339</v>
      </c>
      <c r="J12" s="3458">
        <f ca="1">典型户型修正!R24</f>
        <v>17086</v>
      </c>
      <c r="K12" s="3458">
        <f ca="1">ROUND(J12*H12/10000,4)</f>
        <v>252.2577</v>
      </c>
      <c r="L12" s="3458">
        <f ca="1">ROUND(K12*0.05%,4)</f>
        <v>0.12609999999999999</v>
      </c>
      <c r="M12" s="3458">
        <f ca="1">ROUND(N12/H12*10000,0)</f>
        <v>17077</v>
      </c>
      <c r="N12" s="3458">
        <f ca="1">K12-L12</f>
        <v>252.13159999999999</v>
      </c>
    </row>
    <row r="13" spans="7:20">
      <c r="G13" s="3458">
        <v>1804</v>
      </c>
      <c r="H13" s="3458">
        <f>典型户型修正!B25</f>
        <v>147.63999999999999</v>
      </c>
      <c r="I13" s="3460">
        <v>6002339</v>
      </c>
      <c r="J13" s="3458">
        <f ca="1">典型户型修正!R25</f>
        <v>17086</v>
      </c>
      <c r="K13" s="3458">
        <f t="shared" ref="K13:K15" ca="1" si="0">ROUND(J13*H13/10000,4)</f>
        <v>252.2577</v>
      </c>
      <c r="L13" s="3458">
        <f t="shared" ref="L13:L15" ca="1" si="1">ROUND(K13*0.05%,4)</f>
        <v>0.12609999999999999</v>
      </c>
      <c r="M13" s="3458">
        <f t="shared" ref="M13:M15" ca="1" si="2">ROUND(N13/H13*10000,0)</f>
        <v>17077</v>
      </c>
      <c r="N13" s="3458">
        <f ca="1">K13-L13</f>
        <v>252.13159999999999</v>
      </c>
    </row>
    <row r="14" spans="7:20">
      <c r="G14" s="3458">
        <v>1805</v>
      </c>
      <c r="H14" s="3458">
        <f>典型户型修正!B26</f>
        <v>207.53</v>
      </c>
      <c r="I14" s="3460">
        <v>8462178</v>
      </c>
      <c r="J14" s="3458">
        <f ca="1">典型户型修正!R26</f>
        <v>17086</v>
      </c>
      <c r="K14" s="3458">
        <f t="shared" ca="1" si="0"/>
        <v>354.58580000000001</v>
      </c>
      <c r="L14" s="3458">
        <f t="shared" ca="1" si="1"/>
        <v>0.17730000000000001</v>
      </c>
      <c r="M14" s="3458">
        <f ca="1">ROUND(N14/H14*10000,0)</f>
        <v>17077</v>
      </c>
      <c r="N14" s="3458">
        <f ca="1">K14-L14</f>
        <v>354.4085</v>
      </c>
    </row>
    <row r="15" spans="7:20">
      <c r="G15" s="3458">
        <v>1806</v>
      </c>
      <c r="H15" s="3458">
        <f>典型户型修正!B27</f>
        <v>184.82</v>
      </c>
      <c r="I15" s="3460">
        <v>7511463</v>
      </c>
      <c r="J15" s="3458">
        <f ca="1">典型户型修正!R27</f>
        <v>17086</v>
      </c>
      <c r="K15" s="3458">
        <f t="shared" ca="1" si="0"/>
        <v>315.7835</v>
      </c>
      <c r="L15" s="3458">
        <f t="shared" ca="1" si="1"/>
        <v>0.15790000000000001</v>
      </c>
      <c r="M15" s="3458">
        <f t="shared" ca="1" si="2"/>
        <v>17077</v>
      </c>
      <c r="N15" s="3458">
        <f ca="1">K15-L15</f>
        <v>315.62560000000002</v>
      </c>
    </row>
    <row r="16" spans="7:20">
      <c r="G16" s="3458"/>
      <c r="H16" s="3458">
        <f>SUM(H12:H15)</f>
        <v>687.62999999999988</v>
      </c>
      <c r="I16" s="3458"/>
      <c r="J16" s="3458">
        <f ca="1">K16/H16*10000</f>
        <v>17086.001192501786</v>
      </c>
      <c r="K16" s="3461">
        <f ca="1">SUM(K12:K15)</f>
        <v>1174.8847000000001</v>
      </c>
      <c r="L16" s="3458"/>
      <c r="M16" s="3458">
        <f ca="1">ROUND(N16/H16*10000,0)</f>
        <v>17077</v>
      </c>
      <c r="N16" s="3461">
        <f ca="1">SUM(N12:N15)</f>
        <v>1174.2973</v>
      </c>
    </row>
    <row r="17" spans="7:14">
      <c r="G17" s="3458"/>
      <c r="H17" s="3458"/>
      <c r="I17" s="3458"/>
      <c r="J17" s="3458"/>
      <c r="K17" s="3458"/>
      <c r="L17" s="3458"/>
      <c r="M17" s="3458"/>
      <c r="N17" s="3458"/>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W29" sqref="W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58" t="s">
        <v>2084</v>
      </c>
      <c r="D1" s="3659"/>
      <c r="E1" s="3659"/>
      <c r="F1" s="3659"/>
      <c r="G1" s="3659"/>
      <c r="H1" s="3659"/>
      <c r="I1" s="3659"/>
      <c r="J1" s="3659"/>
      <c r="K1" s="3659"/>
      <c r="L1" s="3659"/>
      <c r="M1" s="3659"/>
      <c r="N1" s="3659"/>
      <c r="O1" s="3659"/>
      <c r="P1" s="3659"/>
      <c r="Q1" s="3659"/>
      <c r="R1" s="3659"/>
      <c r="S1" s="3660"/>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1175</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17088</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687.62999999999988</v>
      </c>
      <c r="C22" s="3655" t="s">
        <v>27</v>
      </c>
      <c r="D22" s="3656"/>
      <c r="E22" s="3656"/>
      <c r="F22" s="3656"/>
      <c r="G22" s="3656"/>
      <c r="H22" s="3656"/>
      <c r="I22" s="3656"/>
      <c r="J22" s="3656"/>
      <c r="K22" s="3656"/>
      <c r="L22" s="3656"/>
      <c r="M22" s="3656"/>
      <c r="N22" s="3656"/>
      <c r="O22" s="3656"/>
      <c r="P22" s="3656"/>
      <c r="Q22" s="3657"/>
      <c r="R22" s="660">
        <f ca="1">ROUND(S22*10000/B22,0)</f>
        <v>17088</v>
      </c>
      <c r="S22" s="21">
        <f ca="1">SUM(S24:S10000)</f>
        <v>1175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1803</v>
      </c>
      <c r="B24" s="662">
        <v>147.63999999999999</v>
      </c>
      <c r="C24" s="2806">
        <v>1</v>
      </c>
      <c r="D24" s="2807"/>
      <c r="E24" s="2806">
        <v>1</v>
      </c>
      <c r="F24" s="2807"/>
      <c r="G24" s="2806">
        <v>1</v>
      </c>
      <c r="H24" s="2807"/>
      <c r="I24" s="2806">
        <v>1</v>
      </c>
      <c r="J24" s="2807"/>
      <c r="K24" s="2806">
        <v>1</v>
      </c>
      <c r="L24" s="2807"/>
      <c r="M24" s="2806">
        <v>1</v>
      </c>
      <c r="N24" s="2807"/>
      <c r="O24" s="2806">
        <v>1</v>
      </c>
      <c r="P24" s="2807"/>
      <c r="Q24" s="2806">
        <v>1</v>
      </c>
      <c r="R24" s="665">
        <f ca="1">结果表!G20</f>
        <v>17086</v>
      </c>
      <c r="S24" s="663">
        <f t="shared" ref="S24:S54" ca="1" si="11">ROUND(R24*B24/10000,0)</f>
        <v>252</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v>1804</v>
      </c>
      <c r="B25" s="54">
        <v>147.63999999999999</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17086</v>
      </c>
      <c r="S25" s="315">
        <f t="shared" ca="1" si="11"/>
        <v>252</v>
      </c>
    </row>
    <row r="26" spans="1:45">
      <c r="A26" s="662">
        <v>1805</v>
      </c>
      <c r="B26" s="54">
        <v>207.53</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17086</v>
      </c>
      <c r="S26" s="315">
        <f t="shared" ca="1" si="11"/>
        <v>355</v>
      </c>
    </row>
    <row r="27" spans="1:45">
      <c r="A27" s="662">
        <v>1806</v>
      </c>
      <c r="B27" s="54">
        <v>184.82</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17086</v>
      </c>
      <c r="S27" s="315">
        <f t="shared" ca="1" si="11"/>
        <v>316</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zoomScaleSheetLayoutView="85" workbookViewId="0">
      <selection activeCell="K17" sqref="K1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3</v>
      </c>
      <c r="E1" s="3429"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1657.0927999999999</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20270</v>
      </c>
      <c r="C3" s="353" t="s">
        <v>1768</v>
      </c>
      <c r="D3" s="352">
        <f>IF(D1="",'数据-汇总表'!E3,SUMIF('数据-汇总表'!$C19:$C33,D1,'数据-汇总表'!$E19:$E33))</f>
        <v>817.51</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683" t="s">
        <v>1775</v>
      </c>
      <c r="Q4" s="3684"/>
      <c r="R4" s="3689" t="s">
        <v>1771</v>
      </c>
      <c r="S4" s="3690"/>
      <c r="T4" s="3689" t="s">
        <v>1772</v>
      </c>
      <c r="U4" s="3690"/>
      <c r="V4" s="3695" t="s">
        <v>1773</v>
      </c>
      <c r="W4" s="3695"/>
      <c r="X4" s="1955"/>
      <c r="Y4" s="3689" t="s">
        <v>1775</v>
      </c>
      <c r="Z4" s="3690"/>
      <c r="AA4" s="3708" t="s">
        <v>1771</v>
      </c>
      <c r="AB4" s="3708" t="s">
        <v>1772</v>
      </c>
      <c r="AC4" s="3676" t="s">
        <v>1773</v>
      </c>
    </row>
    <row r="5" spans="1:29" ht="15">
      <c r="A5" s="357"/>
      <c r="B5" s="358"/>
      <c r="C5" s="3705" t="s">
        <v>1673</v>
      </c>
      <c r="D5" s="3700"/>
      <c r="E5" s="3711" t="s">
        <v>3475</v>
      </c>
      <c r="F5" s="3712"/>
      <c r="G5" s="3699" t="s">
        <v>3474</v>
      </c>
      <c r="H5" s="3700"/>
      <c r="I5" s="3699" t="s">
        <v>3472</v>
      </c>
      <c r="J5" s="3700"/>
      <c r="K5" s="558"/>
      <c r="L5" s="2711"/>
      <c r="M5" s="2712"/>
      <c r="N5" s="2712"/>
      <c r="O5" s="2712"/>
      <c r="P5" s="3685"/>
      <c r="Q5" s="3686"/>
      <c r="R5" s="3691"/>
      <c r="S5" s="3692"/>
      <c r="T5" s="3691"/>
      <c r="U5" s="3692"/>
      <c r="V5" s="3696"/>
      <c r="W5" s="3696"/>
      <c r="X5" s="1352"/>
      <c r="Y5" s="3691"/>
      <c r="Z5" s="3692"/>
      <c r="AA5" s="3709"/>
      <c r="AB5" s="3709"/>
      <c r="AC5" s="3677"/>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687"/>
      <c r="Q6" s="3688"/>
      <c r="R6" s="3691"/>
      <c r="S6" s="3692"/>
      <c r="T6" s="3693"/>
      <c r="U6" s="3694"/>
      <c r="V6" s="3696"/>
      <c r="W6" s="3696"/>
      <c r="X6" s="1352"/>
      <c r="Y6" s="3693"/>
      <c r="Z6" s="3694"/>
      <c r="AA6" s="3710"/>
      <c r="AB6" s="3710"/>
      <c r="AC6" s="3678"/>
    </row>
    <row r="7" spans="1:29" s="108" customFormat="1" ht="15.75" thickBot="1">
      <c r="A7" s="361" t="s">
        <v>1679</v>
      </c>
      <c r="B7" s="362"/>
      <c r="C7" s="363">
        <f>'数据-取费表'!B2</f>
        <v>45726</v>
      </c>
      <c r="D7" s="364">
        <v>100</v>
      </c>
      <c r="E7" s="365">
        <v>45689</v>
      </c>
      <c r="F7" s="366">
        <f>SUMIF(59:59,YEAR(E7)&amp;"-"&amp;MONTH(E7),60:60)</f>
        <v>100</v>
      </c>
      <c r="G7" s="365">
        <v>45689</v>
      </c>
      <c r="H7" s="364">
        <f>SUMIF(59:59,YEAR(G7)&amp;"-"&amp;MONTH(G7),60:60)</f>
        <v>100</v>
      </c>
      <c r="I7" s="365">
        <v>45689</v>
      </c>
      <c r="J7" s="364">
        <f>SUMIF(59:59,YEAR(I7)&amp;"-"&amp;MONTH(I7),60:60)</f>
        <v>100</v>
      </c>
      <c r="K7" s="559"/>
      <c r="L7" s="2713"/>
      <c r="M7" s="2714"/>
      <c r="N7" s="2714"/>
      <c r="O7" s="2714"/>
      <c r="P7" s="3701" t="s">
        <v>1680</v>
      </c>
      <c r="Q7" s="3704"/>
      <c r="R7" s="698" t="s">
        <v>14</v>
      </c>
      <c r="S7" s="699">
        <f t="shared" ref="S7:S15" si="0">F7</f>
        <v>100</v>
      </c>
      <c r="T7" s="698" t="s">
        <v>14</v>
      </c>
      <c r="U7" s="699">
        <f t="shared" ref="U7:U15" si="1">H7</f>
        <v>100</v>
      </c>
      <c r="V7" s="698" t="s">
        <v>14</v>
      </c>
      <c r="W7" s="699">
        <f t="shared" ref="W7:W15" si="2">J7</f>
        <v>100</v>
      </c>
      <c r="X7" s="700"/>
      <c r="Y7" s="3703" t="s">
        <v>1680</v>
      </c>
      <c r="Z7" s="3702"/>
      <c r="AA7" s="701">
        <f>D7/F7</f>
        <v>1</v>
      </c>
      <c r="AB7" s="701">
        <f>D7/H7</f>
        <v>1</v>
      </c>
      <c r="AC7" s="1956">
        <f>D7/J7</f>
        <v>1</v>
      </c>
    </row>
    <row r="8" spans="1:29" s="108" customFormat="1" ht="15.75" thickBot="1">
      <c r="A8" s="361" t="s">
        <v>1681</v>
      </c>
      <c r="B8" s="362"/>
      <c r="C8" s="367" t="s">
        <v>3420</v>
      </c>
      <c r="D8" s="364">
        <v>100</v>
      </c>
      <c r="E8" s="367" t="s">
        <v>3421</v>
      </c>
      <c r="F8" s="366">
        <f>SUMIF(62:62,E8,63:63)-SUMIF(62:62,C8,63:63)+100</f>
        <v>105</v>
      </c>
      <c r="G8" s="367" t="s">
        <v>3421</v>
      </c>
      <c r="H8" s="364">
        <f>SUMIF(62:62,G8,63:63)-SUMIF(62:62,C8,63:63)+100</f>
        <v>105</v>
      </c>
      <c r="I8" s="367" t="s">
        <v>3421</v>
      </c>
      <c r="J8" s="364">
        <f>SUMIF(62:62,I8,63:63)-SUMIF(62:62,C8,63:63)+100</f>
        <v>105</v>
      </c>
      <c r="K8" s="559"/>
      <c r="L8" s="2713"/>
      <c r="M8" s="2714"/>
      <c r="N8" s="2714"/>
      <c r="O8" s="2714"/>
      <c r="P8" s="3701" t="s">
        <v>1683</v>
      </c>
      <c r="Q8" s="3702"/>
      <c r="R8" s="698" t="s">
        <v>14</v>
      </c>
      <c r="S8" s="699">
        <f t="shared" si="0"/>
        <v>105</v>
      </c>
      <c r="T8" s="698" t="s">
        <v>14</v>
      </c>
      <c r="U8" s="699">
        <f t="shared" si="1"/>
        <v>105</v>
      </c>
      <c r="V8" s="698" t="s">
        <v>14</v>
      </c>
      <c r="W8" s="699">
        <f t="shared" si="2"/>
        <v>105</v>
      </c>
      <c r="X8" s="700"/>
      <c r="Y8" s="3703" t="s">
        <v>1683</v>
      </c>
      <c r="Z8" s="3702"/>
      <c r="AA8" s="701">
        <f t="shared" ref="AA8:AA47" si="3">D8/F8</f>
        <v>0.95238095238095233</v>
      </c>
      <c r="AB8" s="701">
        <f t="shared" ref="AB8:AB47" si="4">D8/H8</f>
        <v>0.95238095238095233</v>
      </c>
      <c r="AC8" s="1956">
        <f t="shared" ref="AC8:AC47" si="5">D8/J8</f>
        <v>0.95238095238095233</v>
      </c>
    </row>
    <row r="9" spans="1:29" s="108" customFormat="1">
      <c r="A9" s="368" t="s">
        <v>1684</v>
      </c>
      <c r="B9" s="63" t="s">
        <v>1685</v>
      </c>
      <c r="C9" s="3454" t="s">
        <v>3450</v>
      </c>
      <c r="D9" s="125">
        <v>100</v>
      </c>
      <c r="E9" s="372" t="s">
        <v>21</v>
      </c>
      <c r="F9" s="125">
        <f>SUMIF(64:64,E9,65:65)-SUMIF(64:64,C9,65:65)+100</f>
        <v>105</v>
      </c>
      <c r="G9" s="372" t="s">
        <v>21</v>
      </c>
      <c r="H9" s="125">
        <f>SUMIF(64:64,G9,65:65)-SUMIF(64:64,C9,65:65)+100</f>
        <v>105</v>
      </c>
      <c r="I9" s="372" t="s">
        <v>21</v>
      </c>
      <c r="J9" s="125">
        <f>SUMIF(64:64,I9,65:65)-SUMIF(64:64,C9,65:65)+100</f>
        <v>105</v>
      </c>
      <c r="K9" s="559"/>
      <c r="L9" s="2713"/>
      <c r="M9" s="2714"/>
      <c r="N9" s="2714"/>
      <c r="O9" s="2714"/>
      <c r="P9" s="3661" t="s">
        <v>1686</v>
      </c>
      <c r="Q9" s="1340" t="str">
        <f t="shared" ref="Q9:Q15" si="6">B9</f>
        <v>用途</v>
      </c>
      <c r="R9" s="698" t="s">
        <v>14</v>
      </c>
      <c r="S9" s="699">
        <f t="shared" si="0"/>
        <v>105</v>
      </c>
      <c r="T9" s="698" t="s">
        <v>14</v>
      </c>
      <c r="U9" s="699">
        <f t="shared" si="1"/>
        <v>105</v>
      </c>
      <c r="V9" s="698" t="s">
        <v>14</v>
      </c>
      <c r="W9" s="699">
        <f t="shared" si="2"/>
        <v>105</v>
      </c>
      <c r="X9" s="700"/>
      <c r="Y9" s="3554" t="s">
        <v>1687</v>
      </c>
      <c r="Z9" s="52" t="str">
        <f t="shared" ref="Z9:Z15" si="7">Q9</f>
        <v>用途</v>
      </c>
      <c r="AA9" s="701">
        <f t="shared" si="3"/>
        <v>0.95238095238095233</v>
      </c>
      <c r="AB9" s="701">
        <f t="shared" si="4"/>
        <v>0.95238095238095233</v>
      </c>
      <c r="AC9" s="1956">
        <f t="shared" si="5"/>
        <v>0.95238095238095233</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1"/>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1"/>
      <c r="Q11" s="1340" t="str">
        <f t="shared" si="6"/>
        <v>容积率</v>
      </c>
      <c r="R11" s="698" t="s">
        <v>14</v>
      </c>
      <c r="S11" s="699">
        <f t="shared" si="0"/>
        <v>100</v>
      </c>
      <c r="T11" s="698" t="s">
        <v>14</v>
      </c>
      <c r="U11" s="699">
        <f t="shared" si="1"/>
        <v>100</v>
      </c>
      <c r="V11" s="698" t="s">
        <v>14</v>
      </c>
      <c r="W11" s="699">
        <f t="shared" si="2"/>
        <v>100</v>
      </c>
      <c r="X11" s="700"/>
      <c r="Y11" s="3554"/>
      <c r="Z11" s="52" t="str">
        <f t="shared" si="7"/>
        <v>容积率</v>
      </c>
      <c r="AA11" s="701">
        <f t="shared" si="3"/>
        <v>1</v>
      </c>
      <c r="AB11" s="701">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3"/>
      <c r="M12" s="2714"/>
      <c r="N12" s="2714"/>
      <c r="O12" s="2714"/>
      <c r="P12" s="3661"/>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8"/>
      <c r="M13" s="2712"/>
      <c r="N13" s="2712"/>
      <c r="O13" s="2712"/>
      <c r="P13" s="3661"/>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8"/>
      <c r="M14" s="2712"/>
      <c r="N14" s="2712"/>
      <c r="O14" s="2712"/>
      <c r="P14" s="3661"/>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105</v>
      </c>
      <c r="G15" s="392"/>
      <c r="H15" s="391">
        <f>SUMIF(77:77,G16,78:78)-SUMIF(77:77,C16,78:78)+100</f>
        <v>105</v>
      </c>
      <c r="I15" s="392"/>
      <c r="J15" s="391">
        <f>SUMIF(77:77,I16,78:78)-SUMIF(77:77,C16,78:78)+100</f>
        <v>105</v>
      </c>
      <c r="K15" s="562">
        <v>5</v>
      </c>
      <c r="L15" s="2718"/>
      <c r="M15" s="2712"/>
      <c r="N15" s="2712"/>
      <c r="O15" s="2712"/>
      <c r="P15" s="3667" t="s">
        <v>1691</v>
      </c>
      <c r="Q15" s="1349" t="str">
        <f t="shared" si="6"/>
        <v>办公集聚程度</v>
      </c>
      <c r="R15" s="702" t="s">
        <v>14</v>
      </c>
      <c r="S15" s="703">
        <f t="shared" si="0"/>
        <v>105</v>
      </c>
      <c r="T15" s="702" t="s">
        <v>14</v>
      </c>
      <c r="U15" s="703">
        <f t="shared" si="1"/>
        <v>105</v>
      </c>
      <c r="V15" s="702" t="s">
        <v>14</v>
      </c>
      <c r="W15" s="703">
        <f t="shared" si="2"/>
        <v>105</v>
      </c>
      <c r="X15" s="1352"/>
      <c r="Y15" s="3669" t="s">
        <v>1691</v>
      </c>
      <c r="Z15" s="1353" t="str">
        <f t="shared" si="7"/>
        <v>办公集聚程度</v>
      </c>
      <c r="AA15" s="1350">
        <f t="shared" si="3"/>
        <v>0.95238095238095233</v>
      </c>
      <c r="AB15" s="1350">
        <f t="shared" si="4"/>
        <v>0.95238095238095233</v>
      </c>
      <c r="AC15" s="1959">
        <f t="shared" si="5"/>
        <v>0.95238095238095233</v>
      </c>
    </row>
    <row r="16" spans="1:29" ht="15">
      <c r="A16" s="378"/>
      <c r="B16" s="577"/>
      <c r="C16" s="1901" t="s">
        <v>3462</v>
      </c>
      <c r="D16" s="398"/>
      <c r="E16" s="1901" t="s">
        <v>3423</v>
      </c>
      <c r="F16" s="398"/>
      <c r="G16" s="1901" t="s">
        <v>3423</v>
      </c>
      <c r="H16" s="400"/>
      <c r="I16" s="1901" t="s">
        <v>3423</v>
      </c>
      <c r="J16" s="398"/>
      <c r="K16" s="563"/>
      <c r="L16" s="2718"/>
      <c r="M16" s="2712"/>
      <c r="N16" s="2712"/>
      <c r="O16" s="2712"/>
      <c r="P16" s="3668"/>
      <c r="Q16" s="1349"/>
      <c r="R16" s="702"/>
      <c r="S16" s="703"/>
      <c r="T16" s="702"/>
      <c r="U16" s="703"/>
      <c r="V16" s="702"/>
      <c r="W16" s="703"/>
      <c r="X16" s="1352"/>
      <c r="Y16" s="3670"/>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668"/>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959">
        <f t="shared" si="5"/>
        <v>1</v>
      </c>
    </row>
    <row r="18" spans="1:29" ht="15">
      <c r="A18" s="378"/>
      <c r="B18" s="579"/>
      <c r="C18" s="1901" t="s">
        <v>3423</v>
      </c>
      <c r="D18" s="400"/>
      <c r="E18" s="1901" t="s">
        <v>3423</v>
      </c>
      <c r="F18" s="400"/>
      <c r="G18" s="1901" t="s">
        <v>3423</v>
      </c>
      <c r="H18" s="398"/>
      <c r="I18" s="1901" t="s">
        <v>3423</v>
      </c>
      <c r="J18" s="398"/>
      <c r="K18" s="563"/>
      <c r="L18" s="2718"/>
      <c r="M18" s="2712"/>
      <c r="N18" s="2712"/>
      <c r="O18" s="2712"/>
      <c r="P18" s="3668"/>
      <c r="Q18" s="1349"/>
      <c r="R18" s="702"/>
      <c r="S18" s="703"/>
      <c r="T18" s="702"/>
      <c r="U18" s="703"/>
      <c r="V18" s="702"/>
      <c r="W18" s="703"/>
      <c r="X18" s="1352"/>
      <c r="Y18" s="3670"/>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668"/>
      <c r="Q19" s="1349" t="str">
        <f>B19</f>
        <v>公共配套设施</v>
      </c>
      <c r="R19" s="702" t="s">
        <v>14</v>
      </c>
      <c r="S19" s="703">
        <f>F19</f>
        <v>100</v>
      </c>
      <c r="T19" s="702" t="s">
        <v>14</v>
      </c>
      <c r="U19" s="703">
        <f>H19</f>
        <v>100</v>
      </c>
      <c r="V19" s="702" t="s">
        <v>14</v>
      </c>
      <c r="W19" s="703">
        <f>J19</f>
        <v>100</v>
      </c>
      <c r="X19" s="1352"/>
      <c r="Y19" s="3670"/>
      <c r="Z19" s="1353" t="str">
        <f>Q19</f>
        <v>公共配套设施</v>
      </c>
      <c r="AA19" s="1350">
        <f t="shared" si="3"/>
        <v>1</v>
      </c>
      <c r="AB19" s="1350">
        <f t="shared" si="4"/>
        <v>1</v>
      </c>
      <c r="AC19" s="1959">
        <f t="shared" si="5"/>
        <v>1</v>
      </c>
    </row>
    <row r="20" spans="1:29" ht="15">
      <c r="A20" s="378"/>
      <c r="B20" s="579"/>
      <c r="C20" s="1901" t="s">
        <v>3423</v>
      </c>
      <c r="D20" s="398"/>
      <c r="E20" s="1901" t="s">
        <v>3423</v>
      </c>
      <c r="F20" s="398"/>
      <c r="G20" s="1901" t="s">
        <v>3423</v>
      </c>
      <c r="H20" s="398"/>
      <c r="I20" s="1901" t="s">
        <v>3423</v>
      </c>
      <c r="J20" s="398"/>
      <c r="K20" s="563"/>
      <c r="L20" s="2718"/>
      <c r="M20" s="2712"/>
      <c r="N20" s="2712"/>
      <c r="O20" s="2712"/>
      <c r="P20" s="3668"/>
      <c r="Q20" s="1349"/>
      <c r="R20" s="702"/>
      <c r="S20" s="703"/>
      <c r="T20" s="702"/>
      <c r="U20" s="703"/>
      <c r="V20" s="702"/>
      <c r="W20" s="703"/>
      <c r="X20" s="1352"/>
      <c r="Y20" s="3670"/>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668"/>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959">
        <f t="shared" ref="AC21" si="10">D21/J21</f>
        <v>1</v>
      </c>
    </row>
    <row r="22" spans="1:29" ht="15">
      <c r="A22" s="378"/>
      <c r="B22" s="580"/>
      <c r="C22" s="1961" t="s">
        <v>3424</v>
      </c>
      <c r="D22" s="398"/>
      <c r="E22" s="1961" t="s">
        <v>3424</v>
      </c>
      <c r="F22" s="398"/>
      <c r="G22" s="1961" t="s">
        <v>3424</v>
      </c>
      <c r="H22" s="398"/>
      <c r="I22" s="1961" t="s">
        <v>3424</v>
      </c>
      <c r="J22" s="398"/>
      <c r="K22" s="1127"/>
      <c r="L22" s="2718"/>
      <c r="M22" s="2712"/>
      <c r="N22" s="2712"/>
      <c r="O22" s="2712"/>
      <c r="P22" s="3668"/>
      <c r="Q22" s="1349"/>
      <c r="R22" s="702"/>
      <c r="S22" s="703"/>
      <c r="T22" s="702"/>
      <c r="U22" s="703"/>
      <c r="V22" s="702"/>
      <c r="W22" s="703"/>
      <c r="X22" s="1352"/>
      <c r="Y22" s="3670"/>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668"/>
      <c r="Q23" s="1349" t="str">
        <f>B23</f>
        <v>环境质量</v>
      </c>
      <c r="R23" s="702" t="s">
        <v>14</v>
      </c>
      <c r="S23" s="703">
        <f>F23</f>
        <v>100</v>
      </c>
      <c r="T23" s="702" t="s">
        <v>14</v>
      </c>
      <c r="U23" s="703">
        <f>H23</f>
        <v>100</v>
      </c>
      <c r="V23" s="702" t="s">
        <v>14</v>
      </c>
      <c r="W23" s="703">
        <f>J23</f>
        <v>100</v>
      </c>
      <c r="X23" s="1352"/>
      <c r="Y23" s="3670"/>
      <c r="Z23" s="1353" t="str">
        <f>Q23</f>
        <v>环境质量</v>
      </c>
      <c r="AA23" s="1350">
        <f t="shared" si="3"/>
        <v>1</v>
      </c>
      <c r="AB23" s="1350">
        <f t="shared" si="4"/>
        <v>1</v>
      </c>
      <c r="AC23" s="1959">
        <f t="shared" si="5"/>
        <v>1</v>
      </c>
    </row>
    <row r="24" spans="1:29" ht="15">
      <c r="A24" s="378"/>
      <c r="B24" s="580"/>
      <c r="C24" s="1901" t="s">
        <v>3423</v>
      </c>
      <c r="D24" s="398"/>
      <c r="E24" s="1901" t="s">
        <v>3423</v>
      </c>
      <c r="F24" s="398"/>
      <c r="G24" s="1901" t="s">
        <v>3423</v>
      </c>
      <c r="H24" s="398"/>
      <c r="I24" s="1901" t="s">
        <v>3423</v>
      </c>
      <c r="J24" s="398"/>
      <c r="K24" s="563"/>
      <c r="L24" s="2718"/>
      <c r="M24" s="2712"/>
      <c r="N24" s="2712"/>
      <c r="O24" s="2712"/>
      <c r="P24" s="3668"/>
      <c r="Q24" s="1349"/>
      <c r="R24" s="702"/>
      <c r="S24" s="703"/>
      <c r="T24" s="702"/>
      <c r="U24" s="703"/>
      <c r="V24" s="702"/>
      <c r="W24" s="703"/>
      <c r="X24" s="1352"/>
      <c r="Y24" s="3670"/>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8"/>
      <c r="M25" s="2712"/>
      <c r="N25" s="2712"/>
      <c r="O25" s="2712"/>
      <c r="P25" s="3668"/>
      <c r="Q25" s="1349" t="str">
        <f>B25</f>
        <v>毗邻道路的类型与等级</v>
      </c>
      <c r="R25" s="702" t="s">
        <v>14</v>
      </c>
      <c r="S25" s="703">
        <f>F25</f>
        <v>100</v>
      </c>
      <c r="T25" s="702" t="s">
        <v>14</v>
      </c>
      <c r="U25" s="703">
        <f>H25</f>
        <v>100</v>
      </c>
      <c r="V25" s="702" t="s">
        <v>14</v>
      </c>
      <c r="W25" s="703">
        <f>J25</f>
        <v>100</v>
      </c>
      <c r="X25" s="1352"/>
      <c r="Y25" s="3670"/>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8"/>
      <c r="M26" s="2712"/>
      <c r="N26" s="2712"/>
      <c r="O26" s="2712"/>
      <c r="P26" s="3668"/>
      <c r="Q26" s="1349"/>
      <c r="R26" s="702"/>
      <c r="S26" s="703"/>
      <c r="T26" s="702"/>
      <c r="U26" s="703"/>
      <c r="V26" s="702"/>
      <c r="W26" s="703"/>
      <c r="X26" s="1352"/>
      <c r="Y26" s="3670"/>
      <c r="Z26" s="1353"/>
      <c r="AA26" s="1350">
        <v>1</v>
      </c>
      <c r="AB26" s="1350">
        <v>1</v>
      </c>
      <c r="AC26" s="1959">
        <v>1</v>
      </c>
    </row>
    <row r="27" spans="1:29" ht="15">
      <c r="A27" s="378"/>
      <c r="B27" s="579" t="s">
        <v>1783</v>
      </c>
      <c r="C27" s="581" t="s">
        <v>3426</v>
      </c>
      <c r="D27" s="385">
        <v>100</v>
      </c>
      <c r="E27" s="564" t="s">
        <v>3426</v>
      </c>
      <c r="F27" s="385">
        <f>SUMIF(89:89,E27,90:90)-SUMIF(89:89,C27,90:90)+100</f>
        <v>100</v>
      </c>
      <c r="G27" s="581" t="s">
        <v>3473</v>
      </c>
      <c r="H27" s="385">
        <f>SUMIF(89:89,G27,90:90)-SUMIF(89:89,C27,90:90)+100</f>
        <v>97</v>
      </c>
      <c r="I27" s="564" t="s">
        <v>3473</v>
      </c>
      <c r="J27" s="385">
        <f>SUMIF(89:89,I27,90:90)-SUMIF(89:89,C27,90:90)+100</f>
        <v>97</v>
      </c>
      <c r="K27" s="560">
        <v>3</v>
      </c>
      <c r="L27" s="2718"/>
      <c r="M27" s="2712"/>
      <c r="N27" s="2712"/>
      <c r="O27" s="2712"/>
      <c r="P27" s="3668"/>
      <c r="Q27" s="1349" t="str">
        <f t="shared" ref="Q27:Q47" si="11">B27</f>
        <v>楼层</v>
      </c>
      <c r="R27" s="702" t="s">
        <v>14</v>
      </c>
      <c r="S27" s="703">
        <f>F27</f>
        <v>100</v>
      </c>
      <c r="T27" s="702" t="s">
        <v>14</v>
      </c>
      <c r="U27" s="703">
        <f>H27</f>
        <v>97</v>
      </c>
      <c r="V27" s="702" t="s">
        <v>14</v>
      </c>
      <c r="W27" s="703">
        <f>J27</f>
        <v>97</v>
      </c>
      <c r="X27" s="1352"/>
      <c r="Y27" s="3670"/>
      <c r="Z27" s="1353" t="str">
        <f>Q27</f>
        <v>楼层</v>
      </c>
      <c r="AA27" s="1350">
        <f t="shared" si="3"/>
        <v>1</v>
      </c>
      <c r="AB27" s="1350">
        <f t="shared" si="4"/>
        <v>1.0309278350515463</v>
      </c>
      <c r="AC27" s="1959">
        <f t="shared" si="5"/>
        <v>1.0309278350515463</v>
      </c>
    </row>
    <row r="28" spans="1:29" s="108"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3"/>
      <c r="M28" s="2714"/>
      <c r="N28" s="2714"/>
      <c r="O28" s="2714"/>
      <c r="P28" s="3668"/>
      <c r="Q28" s="1340" t="str">
        <f t="shared" si="11"/>
        <v>朝向</v>
      </c>
      <c r="R28" s="698" t="s">
        <v>14</v>
      </c>
      <c r="S28" s="699">
        <f>F28</f>
        <v>100</v>
      </c>
      <c r="T28" s="698" t="s">
        <v>14</v>
      </c>
      <c r="U28" s="699">
        <f>H28</f>
        <v>100</v>
      </c>
      <c r="V28" s="698" t="s">
        <v>14</v>
      </c>
      <c r="W28" s="699">
        <f>J28</f>
        <v>100</v>
      </c>
      <c r="X28" s="700"/>
      <c r="Y28" s="3670"/>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8"/>
      <c r="M29" s="2712"/>
      <c r="N29" s="2712"/>
      <c r="O29" s="2712"/>
      <c r="P29" s="3668"/>
      <c r="Q29" s="1349">
        <f t="shared" si="11"/>
        <v>111</v>
      </c>
      <c r="R29" s="702" t="s">
        <v>14</v>
      </c>
      <c r="S29" s="703">
        <f t="shared" ref="S29:S47" si="12">F29</f>
        <v>100</v>
      </c>
      <c r="T29" s="702" t="s">
        <v>14</v>
      </c>
      <c r="U29" s="703">
        <f t="shared" ref="U29:U47" si="13">H29</f>
        <v>100</v>
      </c>
      <c r="V29" s="702" t="s">
        <v>14</v>
      </c>
      <c r="W29" s="703">
        <f t="shared" ref="W29:W47" si="14">J29</f>
        <v>100</v>
      </c>
      <c r="X29" s="1352"/>
      <c r="Y29" s="3670"/>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8"/>
      <c r="M30" s="2712"/>
      <c r="N30" s="2712"/>
      <c r="O30" s="2712"/>
      <c r="P30" s="3668"/>
      <c r="Q30" s="1349">
        <f t="shared" si="11"/>
        <v>111</v>
      </c>
      <c r="R30" s="702" t="s">
        <v>14</v>
      </c>
      <c r="S30" s="703">
        <f t="shared" si="12"/>
        <v>100</v>
      </c>
      <c r="T30" s="702" t="s">
        <v>14</v>
      </c>
      <c r="U30" s="703">
        <f t="shared" si="13"/>
        <v>100</v>
      </c>
      <c r="V30" s="702" t="s">
        <v>14</v>
      </c>
      <c r="W30" s="703">
        <f t="shared" si="14"/>
        <v>100</v>
      </c>
      <c r="X30" s="1352"/>
      <c r="Y30" s="3670"/>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8"/>
      <c r="M31" s="2712"/>
      <c r="N31" s="2712"/>
      <c r="O31" s="2712"/>
      <c r="P31" s="3668"/>
      <c r="Q31" s="1349">
        <f t="shared" si="11"/>
        <v>111</v>
      </c>
      <c r="R31" s="702" t="s">
        <v>14</v>
      </c>
      <c r="S31" s="703">
        <f t="shared" si="12"/>
        <v>100</v>
      </c>
      <c r="T31" s="702" t="s">
        <v>14</v>
      </c>
      <c r="U31" s="703">
        <f t="shared" si="13"/>
        <v>100</v>
      </c>
      <c r="V31" s="702" t="s">
        <v>14</v>
      </c>
      <c r="W31" s="703">
        <f t="shared" si="14"/>
        <v>100</v>
      </c>
      <c r="X31" s="1352"/>
      <c r="Y31" s="3670"/>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8"/>
      <c r="M32" s="2712"/>
      <c r="N32" s="2712"/>
      <c r="O32" s="2712"/>
      <c r="P32" s="3668"/>
      <c r="Q32" s="1349">
        <f t="shared" si="11"/>
        <v>111</v>
      </c>
      <c r="R32" s="702" t="s">
        <v>14</v>
      </c>
      <c r="S32" s="703">
        <f t="shared" si="12"/>
        <v>100</v>
      </c>
      <c r="T32" s="702" t="s">
        <v>14</v>
      </c>
      <c r="U32" s="703">
        <f t="shared" si="13"/>
        <v>100</v>
      </c>
      <c r="V32" s="702" t="s">
        <v>14</v>
      </c>
      <c r="W32" s="703">
        <f t="shared" si="14"/>
        <v>100</v>
      </c>
      <c r="X32" s="1352"/>
      <c r="Y32" s="3670"/>
      <c r="Z32" s="1353">
        <f t="shared" si="15"/>
        <v>111</v>
      </c>
      <c r="AA32" s="1350">
        <f t="shared" si="3"/>
        <v>1</v>
      </c>
      <c r="AB32" s="1350">
        <f t="shared" si="4"/>
        <v>1</v>
      </c>
      <c r="AC32" s="1959">
        <f t="shared" si="5"/>
        <v>1</v>
      </c>
    </row>
    <row r="33" spans="1:29" ht="15">
      <c r="A33" s="390" t="s">
        <v>1694</v>
      </c>
      <c r="B33" s="63" t="s">
        <v>1817</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8"/>
      <c r="M33" s="2712"/>
      <c r="N33" s="2712"/>
      <c r="O33" s="2712"/>
      <c r="P33" s="3671" t="s">
        <v>1696</v>
      </c>
      <c r="Q33" s="1349" t="str">
        <f t="shared" si="11"/>
        <v>建筑类型</v>
      </c>
      <c r="R33" s="702" t="s">
        <v>14</v>
      </c>
      <c r="S33" s="703">
        <f t="shared" si="12"/>
        <v>100</v>
      </c>
      <c r="T33" s="702" t="s">
        <v>14</v>
      </c>
      <c r="U33" s="703">
        <f t="shared" si="13"/>
        <v>100</v>
      </c>
      <c r="V33" s="702" t="s">
        <v>14</v>
      </c>
      <c r="W33" s="703">
        <f t="shared" si="14"/>
        <v>100</v>
      </c>
      <c r="X33" s="1352"/>
      <c r="Y33" s="3674" t="s">
        <v>1696</v>
      </c>
      <c r="Z33" s="1353" t="str">
        <f t="shared" si="15"/>
        <v>建筑类型</v>
      </c>
      <c r="AA33" s="1350">
        <f t="shared" si="3"/>
        <v>1</v>
      </c>
      <c r="AB33" s="1350">
        <f t="shared" si="4"/>
        <v>1</v>
      </c>
      <c r="AC33" s="1959">
        <f t="shared" si="5"/>
        <v>1</v>
      </c>
    </row>
    <row r="34" spans="1:29" s="421" customFormat="1" ht="15">
      <c r="A34" s="418"/>
      <c r="B34" s="374" t="s">
        <v>1697</v>
      </c>
      <c r="C34" s="419">
        <f>项目基本情况!C17</f>
        <v>817.51</v>
      </c>
      <c r="D34" s="126">
        <v>100</v>
      </c>
      <c r="E34" s="380">
        <v>160</v>
      </c>
      <c r="F34" s="375">
        <f>LOOKUP(E34,104:104,105:105)-LOOKUP(C34,104:104,105:105)+100</f>
        <v>102</v>
      </c>
      <c r="G34" s="379">
        <v>38</v>
      </c>
      <c r="H34" s="126">
        <f>LOOKUP(G34,104:104,105:105)-LOOKUP(C34,104:104,105:105)+100</f>
        <v>102</v>
      </c>
      <c r="I34" s="379">
        <v>60</v>
      </c>
      <c r="J34" s="126">
        <f>LOOKUP(I34,104:104,105:105)-LOOKUP(C34,104:104,105:105)+100</f>
        <v>102</v>
      </c>
      <c r="K34" s="561"/>
      <c r="L34" s="2717"/>
      <c r="M34" s="2719"/>
      <c r="N34" s="2719"/>
      <c r="O34" s="2719"/>
      <c r="P34" s="3672"/>
      <c r="Q34" s="704" t="str">
        <f t="shared" si="11"/>
        <v>项目建筑规模</v>
      </c>
      <c r="R34" s="705" t="s">
        <v>14</v>
      </c>
      <c r="S34" s="706">
        <f t="shared" si="12"/>
        <v>102</v>
      </c>
      <c r="T34" s="705" t="s">
        <v>14</v>
      </c>
      <c r="U34" s="706">
        <f t="shared" si="13"/>
        <v>102</v>
      </c>
      <c r="V34" s="705" t="s">
        <v>14</v>
      </c>
      <c r="W34" s="706">
        <f t="shared" si="14"/>
        <v>102</v>
      </c>
      <c r="X34" s="707"/>
      <c r="Y34" s="3674"/>
      <c r="Z34" s="708" t="str">
        <f t="shared" si="15"/>
        <v>项目建筑规模</v>
      </c>
      <c r="AA34" s="1350">
        <f t="shared" si="3"/>
        <v>0.98039215686274506</v>
      </c>
      <c r="AB34" s="1350">
        <f t="shared" si="4"/>
        <v>0.98039215686274506</v>
      </c>
      <c r="AC34" s="1959">
        <f t="shared" si="5"/>
        <v>0.98039215686274506</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672"/>
      <c r="Q35" s="1349" t="str">
        <f t="shared" si="11"/>
        <v>建筑结构</v>
      </c>
      <c r="R35" s="702" t="s">
        <v>14</v>
      </c>
      <c r="S35" s="703">
        <f t="shared" si="12"/>
        <v>100</v>
      </c>
      <c r="T35" s="702" t="s">
        <v>14</v>
      </c>
      <c r="U35" s="703">
        <f t="shared" si="13"/>
        <v>100</v>
      </c>
      <c r="V35" s="702" t="s">
        <v>14</v>
      </c>
      <c r="W35" s="703">
        <f t="shared" si="14"/>
        <v>100</v>
      </c>
      <c r="X35" s="1352"/>
      <c r="Y35" s="3674"/>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672"/>
      <c r="Q36" s="1349" t="str">
        <f t="shared" si="11"/>
        <v>公共部分装修</v>
      </c>
      <c r="R36" s="702" t="s">
        <v>14</v>
      </c>
      <c r="S36" s="703">
        <f t="shared" si="12"/>
        <v>100</v>
      </c>
      <c r="T36" s="702" t="s">
        <v>14</v>
      </c>
      <c r="U36" s="703">
        <f t="shared" si="13"/>
        <v>100</v>
      </c>
      <c r="V36" s="702" t="s">
        <v>14</v>
      </c>
      <c r="W36" s="703">
        <f t="shared" si="14"/>
        <v>100</v>
      </c>
      <c r="X36" s="1352"/>
      <c r="Y36" s="3674"/>
      <c r="Z36" s="1353" t="str">
        <f t="shared" si="15"/>
        <v>公共部分装修</v>
      </c>
      <c r="AA36" s="1350">
        <f t="shared" si="3"/>
        <v>1</v>
      </c>
      <c r="AB36" s="1350">
        <f t="shared" si="4"/>
        <v>1</v>
      </c>
      <c r="AC36" s="1959">
        <f t="shared" si="5"/>
        <v>1</v>
      </c>
    </row>
    <row r="37" spans="1:29" ht="15">
      <c r="A37" s="422"/>
      <c r="B37" s="374" t="s">
        <v>1786</v>
      </c>
      <c r="C37" s="424">
        <f>'数据-取费表'!N6</f>
        <v>0.77</v>
      </c>
      <c r="D37" s="385">
        <v>100</v>
      </c>
      <c r="E37" s="424">
        <f>C37</f>
        <v>0.77</v>
      </c>
      <c r="F37" s="411">
        <f>LOOKUP(E37,111:111,112:112)-LOOKUP(C37,111:111,112:112)+100</f>
        <v>100</v>
      </c>
      <c r="G37" s="424">
        <f>E37</f>
        <v>0.77</v>
      </c>
      <c r="H37" s="411">
        <f>LOOKUP(G37,111:111,112:112)-LOOKUP(C37,111:111,112:112)+100</f>
        <v>100</v>
      </c>
      <c r="I37" s="424">
        <f>G37</f>
        <v>0.77</v>
      </c>
      <c r="J37" s="385">
        <f>LOOKUP(I37,111:111,112:112)-LOOKUP(C37,111:111,112:112)+100</f>
        <v>100</v>
      </c>
      <c r="K37" s="560"/>
      <c r="L37" s="2718"/>
      <c r="M37" s="2712"/>
      <c r="N37" s="2712"/>
      <c r="O37" s="2712"/>
      <c r="P37" s="3672"/>
      <c r="Q37" s="1349" t="str">
        <f t="shared" si="11"/>
        <v>成新度</v>
      </c>
      <c r="R37" s="702" t="s">
        <v>14</v>
      </c>
      <c r="S37" s="703">
        <f t="shared" si="12"/>
        <v>100</v>
      </c>
      <c r="T37" s="702" t="s">
        <v>14</v>
      </c>
      <c r="U37" s="703">
        <f t="shared" si="13"/>
        <v>100</v>
      </c>
      <c r="V37" s="702" t="s">
        <v>14</v>
      </c>
      <c r="W37" s="703">
        <f t="shared" si="14"/>
        <v>100</v>
      </c>
      <c r="X37" s="1352"/>
      <c r="Y37" s="3674"/>
      <c r="Z37" s="1353" t="str">
        <f t="shared" si="15"/>
        <v>成新度</v>
      </c>
      <c r="AA37" s="1350">
        <f t="shared" si="3"/>
        <v>1</v>
      </c>
      <c r="AB37" s="1350">
        <f t="shared" si="4"/>
        <v>1</v>
      </c>
      <c r="AC37" s="1959">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672"/>
      <c r="Q38" s="1340" t="str">
        <f t="shared" si="11"/>
        <v>写字楼等级</v>
      </c>
      <c r="R38" s="698" t="s">
        <v>14</v>
      </c>
      <c r="S38" s="699">
        <f t="shared" si="12"/>
        <v>100</v>
      </c>
      <c r="T38" s="698" t="s">
        <v>14</v>
      </c>
      <c r="U38" s="699">
        <f t="shared" si="13"/>
        <v>100</v>
      </c>
      <c r="V38" s="698" t="s">
        <v>14</v>
      </c>
      <c r="W38" s="699">
        <f t="shared" si="14"/>
        <v>100</v>
      </c>
      <c r="X38" s="700"/>
      <c r="Y38" s="3674"/>
      <c r="Z38" s="52" t="str">
        <f t="shared" si="15"/>
        <v>写字楼等级</v>
      </c>
      <c r="AA38" s="701">
        <f t="shared" si="3"/>
        <v>1</v>
      </c>
      <c r="AB38" s="701">
        <f t="shared" si="4"/>
        <v>1</v>
      </c>
      <c r="AC38" s="1956">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672" t="s">
        <v>1696</v>
      </c>
      <c r="Q39" s="1349" t="str">
        <f t="shared" si="11"/>
        <v>物业管理</v>
      </c>
      <c r="R39" s="702" t="s">
        <v>14</v>
      </c>
      <c r="S39" s="703">
        <f t="shared" si="12"/>
        <v>100</v>
      </c>
      <c r="T39" s="702" t="s">
        <v>14</v>
      </c>
      <c r="U39" s="703">
        <f t="shared" si="13"/>
        <v>100</v>
      </c>
      <c r="V39" s="702" t="s">
        <v>14</v>
      </c>
      <c r="W39" s="703">
        <f t="shared" si="14"/>
        <v>100</v>
      </c>
      <c r="X39" s="1352"/>
      <c r="Y39" s="3674" t="s">
        <v>1696</v>
      </c>
      <c r="Z39" s="1353" t="str">
        <f t="shared" si="15"/>
        <v>物业管理</v>
      </c>
      <c r="AA39" s="1350">
        <f t="shared" si="3"/>
        <v>1</v>
      </c>
      <c r="AB39" s="1350">
        <f t="shared" si="4"/>
        <v>1</v>
      </c>
      <c r="AC39" s="1959">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672"/>
      <c r="Q40" s="1349" t="str">
        <f t="shared" si="11"/>
        <v>市政基础设施</v>
      </c>
      <c r="R40" s="702" t="s">
        <v>14</v>
      </c>
      <c r="S40" s="703">
        <f t="shared" si="12"/>
        <v>100</v>
      </c>
      <c r="T40" s="702" t="s">
        <v>14</v>
      </c>
      <c r="U40" s="703">
        <f t="shared" si="13"/>
        <v>100</v>
      </c>
      <c r="V40" s="702" t="s">
        <v>14</v>
      </c>
      <c r="W40" s="703">
        <f t="shared" si="14"/>
        <v>100</v>
      </c>
      <c r="X40" s="1352"/>
      <c r="Y40" s="3674"/>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672"/>
      <c r="Q41" s="1349" t="str">
        <f t="shared" si="11"/>
        <v>层高</v>
      </c>
      <c r="R41" s="702" t="s">
        <v>14</v>
      </c>
      <c r="S41" s="703">
        <f t="shared" si="12"/>
        <v>100</v>
      </c>
      <c r="T41" s="702" t="s">
        <v>14</v>
      </c>
      <c r="U41" s="703">
        <f t="shared" si="13"/>
        <v>100</v>
      </c>
      <c r="V41" s="702" t="s">
        <v>14</v>
      </c>
      <c r="W41" s="703">
        <f t="shared" si="14"/>
        <v>100</v>
      </c>
      <c r="X41" s="1352"/>
      <c r="Y41" s="3674"/>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72"/>
      <c r="Q42" s="704" t="str">
        <f t="shared" si="11"/>
        <v>单套建筑面积</v>
      </c>
      <c r="R42" s="705" t="s">
        <v>14</v>
      </c>
      <c r="S42" s="706">
        <f t="shared" si="12"/>
        <v>100</v>
      </c>
      <c r="T42" s="705" t="s">
        <v>14</v>
      </c>
      <c r="U42" s="706">
        <f t="shared" si="13"/>
        <v>100</v>
      </c>
      <c r="V42" s="705" t="s">
        <v>14</v>
      </c>
      <c r="W42" s="706">
        <f t="shared" si="14"/>
        <v>100</v>
      </c>
      <c r="X42" s="707"/>
      <c r="Y42" s="3674"/>
      <c r="Z42" s="708" t="str">
        <f t="shared" si="15"/>
        <v>单套建筑面积</v>
      </c>
      <c r="AA42" s="1350">
        <f t="shared" si="3"/>
        <v>1</v>
      </c>
      <c r="AB42" s="1350">
        <f t="shared" si="4"/>
        <v>1</v>
      </c>
      <c r="AC42" s="1959">
        <f t="shared" si="5"/>
        <v>1</v>
      </c>
    </row>
    <row r="43" spans="1:29" ht="15">
      <c r="A43" s="422"/>
      <c r="B43" s="374" t="s">
        <v>1792</v>
      </c>
      <c r="C43" s="410" t="s">
        <v>3469</v>
      </c>
      <c r="D43" s="385">
        <v>100</v>
      </c>
      <c r="E43" s="410" t="s">
        <v>3469</v>
      </c>
      <c r="F43" s="411">
        <f>SUMIF(123:123,E43,124:124)-SUMIF(123:123,C43,124:124)+100</f>
        <v>100</v>
      </c>
      <c r="G43" s="410" t="s">
        <v>3469</v>
      </c>
      <c r="H43" s="385">
        <f>SUMIF(123:123,G43,124:124)-SUMIF(123:123,C43,124:124)+100</f>
        <v>100</v>
      </c>
      <c r="I43" s="410" t="s">
        <v>3469</v>
      </c>
      <c r="J43" s="385">
        <f>SUMIF(123:123,I43,124:124)-SUMIF(123:123,C43,124:124)+100</f>
        <v>100</v>
      </c>
      <c r="K43" s="560">
        <v>3</v>
      </c>
      <c r="L43" s="2718"/>
      <c r="M43" s="2712"/>
      <c r="N43" s="2712"/>
      <c r="O43" s="2712"/>
      <c r="P43" s="3672"/>
      <c r="Q43" s="1349" t="str">
        <f t="shared" si="11"/>
        <v>内部装修</v>
      </c>
      <c r="R43" s="702" t="s">
        <v>14</v>
      </c>
      <c r="S43" s="703">
        <f t="shared" si="12"/>
        <v>100</v>
      </c>
      <c r="T43" s="702" t="s">
        <v>14</v>
      </c>
      <c r="U43" s="703">
        <f t="shared" si="13"/>
        <v>100</v>
      </c>
      <c r="V43" s="702" t="s">
        <v>14</v>
      </c>
      <c r="W43" s="703">
        <f t="shared" si="14"/>
        <v>100</v>
      </c>
      <c r="X43" s="1352"/>
      <c r="Y43" s="3674"/>
      <c r="Z43" s="1353" t="str">
        <f t="shared" si="15"/>
        <v>内部装修</v>
      </c>
      <c r="AA43" s="1350">
        <f t="shared" si="3"/>
        <v>1</v>
      </c>
      <c r="AB43" s="1350">
        <f t="shared" si="4"/>
        <v>1</v>
      </c>
      <c r="AC43" s="1959">
        <f t="shared" si="5"/>
        <v>1</v>
      </c>
    </row>
    <row r="44" spans="1:29" ht="15">
      <c r="A44" s="422"/>
      <c r="B44" s="374" t="s">
        <v>1707</v>
      </c>
      <c r="C44" s="410" t="s">
        <v>3423</v>
      </c>
      <c r="D44" s="385">
        <v>100</v>
      </c>
      <c r="E44" s="410" t="s">
        <v>3423</v>
      </c>
      <c r="F44" s="411">
        <f>SUMIF(125:125,E44,126:126)-SUMIF(125:125,C44,126:126)+100</f>
        <v>100</v>
      </c>
      <c r="G44" s="410" t="s">
        <v>3423</v>
      </c>
      <c r="H44" s="385">
        <f>SUMIF(125:125,G44,126:126)-SUMIF(125:125,C44,126:126)+100</f>
        <v>100</v>
      </c>
      <c r="I44" s="1903" t="s">
        <v>3423</v>
      </c>
      <c r="J44" s="385">
        <f>SUMIF(125:125,I44,126:126)-SUMIF(125:125,C44,126:126)+100</f>
        <v>100</v>
      </c>
      <c r="K44" s="560">
        <v>2</v>
      </c>
      <c r="L44" s="2718"/>
      <c r="M44" s="2712"/>
      <c r="N44" s="2712"/>
      <c r="O44" s="2712"/>
      <c r="P44" s="3672"/>
      <c r="Q44" s="1349" t="str">
        <f t="shared" si="11"/>
        <v>内部装修维护情况</v>
      </c>
      <c r="R44" s="702" t="s">
        <v>14</v>
      </c>
      <c r="S44" s="703">
        <f t="shared" si="12"/>
        <v>100</v>
      </c>
      <c r="T44" s="702" t="s">
        <v>14</v>
      </c>
      <c r="U44" s="703">
        <f t="shared" si="13"/>
        <v>100</v>
      </c>
      <c r="V44" s="702" t="s">
        <v>14</v>
      </c>
      <c r="W44" s="703">
        <f t="shared" si="14"/>
        <v>100</v>
      </c>
      <c r="X44" s="1352"/>
      <c r="Y44" s="3674"/>
      <c r="Z44" s="1353" t="str">
        <f t="shared" si="15"/>
        <v>内部装修维护情况</v>
      </c>
      <c r="AA44" s="1350">
        <f t="shared" si="3"/>
        <v>1</v>
      </c>
      <c r="AB44" s="1350">
        <f t="shared" si="4"/>
        <v>1</v>
      </c>
      <c r="AC44" s="1959">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2"/>
      <c r="Q45" s="1340">
        <f t="shared" si="11"/>
        <v>111</v>
      </c>
      <c r="R45" s="698" t="s">
        <v>14</v>
      </c>
      <c r="S45" s="699">
        <f t="shared" si="12"/>
        <v>100</v>
      </c>
      <c r="T45" s="698" t="s">
        <v>14</v>
      </c>
      <c r="U45" s="699">
        <f t="shared" si="13"/>
        <v>100</v>
      </c>
      <c r="V45" s="698" t="s">
        <v>14</v>
      </c>
      <c r="W45" s="699">
        <f t="shared" si="14"/>
        <v>100</v>
      </c>
      <c r="X45" s="700"/>
      <c r="Y45" s="3674"/>
      <c r="Z45" s="52">
        <f t="shared" si="15"/>
        <v>111</v>
      </c>
      <c r="AA45" s="701">
        <f t="shared" si="3"/>
        <v>1</v>
      </c>
      <c r="AB45" s="701">
        <f t="shared" si="4"/>
        <v>1</v>
      </c>
      <c r="AC45" s="1956">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2"/>
      <c r="Q46" s="1349">
        <f t="shared" si="11"/>
        <v>111</v>
      </c>
      <c r="R46" s="702" t="s">
        <v>14</v>
      </c>
      <c r="S46" s="703">
        <f t="shared" si="12"/>
        <v>100</v>
      </c>
      <c r="T46" s="702" t="s">
        <v>14</v>
      </c>
      <c r="U46" s="703">
        <f t="shared" si="13"/>
        <v>100</v>
      </c>
      <c r="V46" s="702" t="s">
        <v>14</v>
      </c>
      <c r="W46" s="703">
        <f t="shared" si="14"/>
        <v>100</v>
      </c>
      <c r="X46" s="1352"/>
      <c r="Y46" s="3674"/>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3"/>
      <c r="Q47" s="1349">
        <f t="shared" si="11"/>
        <v>111</v>
      </c>
      <c r="R47" s="702" t="s">
        <v>14</v>
      </c>
      <c r="S47" s="703">
        <f t="shared" si="12"/>
        <v>100</v>
      </c>
      <c r="T47" s="702" t="s">
        <v>14</v>
      </c>
      <c r="U47" s="703">
        <f t="shared" si="13"/>
        <v>100</v>
      </c>
      <c r="V47" s="702" t="s">
        <v>14</v>
      </c>
      <c r="W47" s="703">
        <f t="shared" si="14"/>
        <v>100</v>
      </c>
      <c r="X47" s="1352"/>
      <c r="Y47" s="3675"/>
      <c r="Z47" s="1353">
        <f t="shared" si="15"/>
        <v>111</v>
      </c>
      <c r="AA47" s="1350">
        <f t="shared" si="3"/>
        <v>1</v>
      </c>
      <c r="AB47" s="1350">
        <f t="shared" si="4"/>
        <v>1</v>
      </c>
      <c r="AC47" s="1959">
        <f t="shared" si="5"/>
        <v>1</v>
      </c>
    </row>
    <row r="48" spans="1:29" ht="15">
      <c r="A48" s="429" t="s">
        <v>1708</v>
      </c>
      <c r="B48" s="430"/>
      <c r="C48" s="1151" t="s">
        <v>0</v>
      </c>
      <c r="D48" s="1152"/>
      <c r="E48" s="1153">
        <v>25000</v>
      </c>
      <c r="F48" s="1154"/>
      <c r="G48" s="1155">
        <v>22400</v>
      </c>
      <c r="H48" s="1156"/>
      <c r="I48" s="1153">
        <v>23000</v>
      </c>
      <c r="J48" s="435"/>
      <c r="K48" s="711"/>
      <c r="L48" s="2720"/>
      <c r="M48" s="2712"/>
      <c r="N48" s="2712"/>
      <c r="O48" s="2712"/>
      <c r="P48" s="3661" t="str">
        <f>A48</f>
        <v>成交单价（元/平方米）</v>
      </c>
      <c r="Q48" s="3662"/>
      <c r="R48" s="3663">
        <f>E48</f>
        <v>25000</v>
      </c>
      <c r="S48" s="3663"/>
      <c r="T48" s="3663">
        <f>G48</f>
        <v>22400</v>
      </c>
      <c r="U48" s="3663"/>
      <c r="V48" s="3663">
        <f>I48</f>
        <v>23000</v>
      </c>
      <c r="W48" s="3663"/>
      <c r="X48" s="396"/>
      <c r="Y48" s="709"/>
      <c r="Z48" s="396"/>
      <c r="AA48" s="396"/>
      <c r="AB48" s="396"/>
      <c r="AC48" s="577"/>
    </row>
    <row r="49" spans="1:29" ht="15.75" thickBot="1">
      <c r="A49" s="436" t="s">
        <v>1793</v>
      </c>
      <c r="B49" s="437"/>
      <c r="C49" s="1157">
        <f>R50</f>
        <v>20270</v>
      </c>
      <c r="D49" s="2314" t="s">
        <v>2137</v>
      </c>
      <c r="E49" s="1158">
        <f>R49</f>
        <v>21172</v>
      </c>
      <c r="F49" s="2315"/>
      <c r="G49" s="1157">
        <f>T49</f>
        <v>19557</v>
      </c>
      <c r="H49" s="2315"/>
      <c r="I49" s="1158">
        <f>V49</f>
        <v>20081</v>
      </c>
      <c r="J49" s="2315"/>
      <c r="K49" s="2317">
        <f>F49+H49+J49</f>
        <v>0</v>
      </c>
      <c r="L49" s="2720"/>
      <c r="M49" s="2712"/>
      <c r="N49" s="2712"/>
      <c r="O49" s="2712"/>
      <c r="P49" s="3661" t="str">
        <f>A49</f>
        <v>比较价值（元/平方米）</v>
      </c>
      <c r="Q49" s="3662"/>
      <c r="R49" s="3663">
        <f>IF(F1="售价",ROUND(PRODUCT(R48,AA7:AA47),0),ROUND(PRODUCT(R48,AA7:AA47),1))</f>
        <v>21172</v>
      </c>
      <c r="S49" s="3663"/>
      <c r="T49" s="3663">
        <f>IF(F1="售价",ROUND(PRODUCT(T48,AB7:AB47),0),ROUND(PRODUCT(T48,AB7:AB47),1))</f>
        <v>19557</v>
      </c>
      <c r="U49" s="3663"/>
      <c r="V49" s="3663">
        <f>IF(F1="售价",ROUND(PRODUCT(V48,AC7:AC47),0),ROUND(PRODUCT(V48,AC7:AC47),1))</f>
        <v>20081</v>
      </c>
      <c r="W49" s="3663"/>
      <c r="X49" s="396"/>
      <c r="Y49" s="396"/>
      <c r="Z49" s="396"/>
      <c r="AA49" s="396"/>
      <c r="AB49" s="396"/>
      <c r="AC49" s="577"/>
    </row>
    <row r="50" spans="1:29" ht="15.75" thickBot="1">
      <c r="A50" s="440" t="s">
        <v>1794</v>
      </c>
      <c r="B50" s="441"/>
      <c r="C50" s="1160">
        <f>R50</f>
        <v>20270</v>
      </c>
      <c r="D50" s="1160"/>
      <c r="E50" s="1160"/>
      <c r="F50" s="1160"/>
      <c r="G50" s="1160"/>
      <c r="H50" s="1160"/>
      <c r="I50" s="1160"/>
      <c r="J50" s="442"/>
      <c r="K50" s="712"/>
      <c r="L50" s="2720"/>
      <c r="M50" s="2712"/>
      <c r="N50" s="2712"/>
      <c r="O50" s="2712"/>
      <c r="P50" s="3664" t="str">
        <f>A50</f>
        <v>估价对象XX用房的比较价值（楼面单价，元/平方米）</v>
      </c>
      <c r="Q50" s="3665"/>
      <c r="R50" s="3666">
        <f>IF(F1="售价",ROUND(IF(D49="简单平均",AVERAGE(R49:V49),R49*F49+T49*H49+V49*J49),0),ROUND(IF(D49="简单平均",AVERAGE(R49:V49),R49*F49+T49*H49+V49*J49),1))</f>
        <v>20270</v>
      </c>
      <c r="S50" s="3666"/>
      <c r="T50" s="3666"/>
      <c r="U50" s="3666"/>
      <c r="V50" s="3666"/>
      <c r="W50" s="3666"/>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0.18080483657661062</v>
      </c>
      <c r="F53" s="448" t="str">
        <f>IF(OR(E53&gt;=0.3,E53&lt;=-0.3),"超过30%","")</f>
        <v/>
      </c>
      <c r="G53" s="447">
        <f>IF(G48&lt;G49,G49/G48-1,G48/G49-1)</f>
        <v>0.14536994426548033</v>
      </c>
      <c r="H53" s="448" t="str">
        <f>IF(OR(G53&gt;=0.3,G53&lt;=-0.3),"超过30%","")</f>
        <v/>
      </c>
      <c r="I53" s="447">
        <f>IF(I48&lt;I49,I49/I48-1,I48/I49-1)</f>
        <v>0.14536128678850657</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8.2579127678069186E-2</v>
      </c>
      <c r="F54" s="448" t="str">
        <f>IF(OR(E54&gt;=0.2,E54&lt;=-0.2),"超过20%","")</f>
        <v/>
      </c>
      <c r="G54" s="447">
        <f>IF(G49&lt;I49,I49/G49-1,G49/I49-1)</f>
        <v>2.6793475481924567E-2</v>
      </c>
      <c r="H54" s="448" t="str">
        <f>IF(OR(G54&gt;=0.2,G54&lt;=-0.2),"超过20%","")</f>
        <v/>
      </c>
      <c r="I54" s="447">
        <f>IF(I49&lt;E49,E49/I49-1,I49/E49-1)</f>
        <v>5.4329963647228752E-2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0.1160714285714286</v>
      </c>
      <c r="F55" s="448" t="str">
        <f>IF(OR(E55&gt;=0.3,E55&lt;=-0.3),"超过30%","")</f>
        <v/>
      </c>
      <c r="G55" s="447">
        <f>IF(G48&lt;I48,I48/G48-1,G48/I48-1)</f>
        <v>2.6785714285714191E-2</v>
      </c>
      <c r="H55" s="448" t="str">
        <f>IF(OR(G55&gt;=0.3,G55&lt;=-0.3),"超过30%","")</f>
        <v/>
      </c>
      <c r="I55" s="447">
        <f>IF(I48&lt;E48,E48/I48-1,I48/E48-1)</f>
        <v>8.6956521739130377E-2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2025-3</v>
      </c>
      <c r="D59" s="1182">
        <f>EDATE(C59,-1)</f>
        <v>45689</v>
      </c>
      <c r="E59" s="1182">
        <f>EDATE(D59,-1)</f>
        <v>45658</v>
      </c>
      <c r="F59" s="1182">
        <f t="shared" ref="F59:O59" si="16">EDATE(E59,-1)</f>
        <v>45627</v>
      </c>
      <c r="G59" s="1182">
        <f t="shared" si="16"/>
        <v>45597</v>
      </c>
      <c r="H59" s="1182">
        <f t="shared" si="16"/>
        <v>45566</v>
      </c>
      <c r="I59" s="1182">
        <f t="shared" si="16"/>
        <v>45536</v>
      </c>
      <c r="J59" s="1182">
        <f t="shared" si="16"/>
        <v>45505</v>
      </c>
      <c r="K59" s="1182">
        <f t="shared" si="16"/>
        <v>45474</v>
      </c>
      <c r="L59" s="1182">
        <f t="shared" si="16"/>
        <v>45444</v>
      </c>
      <c r="M59" s="1182">
        <f t="shared" si="16"/>
        <v>45413</v>
      </c>
      <c r="N59" s="1182">
        <f t="shared" si="16"/>
        <v>45383</v>
      </c>
      <c r="O59" s="1182">
        <f t="shared" si="16"/>
        <v>45352</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v>100</v>
      </c>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3455" t="s">
        <v>3422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105</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t="str">
        <f>C9</f>
        <v>科研办公</v>
      </c>
      <c r="D64" s="3805" t="s">
        <v>3449</v>
      </c>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v>105</v>
      </c>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95</v>
      </c>
      <c r="E78" s="492">
        <f>D78-$K15</f>
        <v>90</v>
      </c>
      <c r="F78" s="492">
        <f>E78-$K15</f>
        <v>85</v>
      </c>
      <c r="G78" s="492">
        <f>F78-$K15</f>
        <v>80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56" t="s">
        <v>3427</v>
      </c>
      <c r="D89" s="3456" t="s">
        <v>3428</v>
      </c>
      <c r="E89" s="3456" t="s">
        <v>3429</v>
      </c>
      <c r="F89" s="1924"/>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5"/>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3805" t="s">
        <v>3466</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800(含)-1000</v>
      </c>
      <c r="G103" s="526" t="str">
        <f t="shared" si="23"/>
        <v>1000(含)-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300</v>
      </c>
      <c r="E104" s="543">
        <v>500</v>
      </c>
      <c r="F104" s="543">
        <v>800</v>
      </c>
      <c r="G104" s="543">
        <v>1000</v>
      </c>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98</v>
      </c>
      <c r="D105" s="484">
        <v>100</v>
      </c>
      <c r="E105" s="484">
        <v>98</v>
      </c>
      <c r="F105" s="484">
        <v>96</v>
      </c>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3456" t="s">
        <v>3467</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3456" t="s">
        <v>3468</v>
      </c>
      <c r="D123" s="3456" t="s">
        <v>3470</v>
      </c>
      <c r="E123" s="3456" t="s">
        <v>3471</v>
      </c>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97</v>
      </c>
      <c r="E124" s="492">
        <f t="shared" si="30"/>
        <v>94</v>
      </c>
      <c r="F124" s="492">
        <f t="shared" si="30"/>
        <v>91</v>
      </c>
      <c r="G124" s="492">
        <f t="shared" si="30"/>
        <v>88</v>
      </c>
      <c r="H124" s="492">
        <f t="shared" si="30"/>
        <v>85</v>
      </c>
      <c r="I124" s="492">
        <f t="shared" si="30"/>
        <v>82</v>
      </c>
      <c r="J124" s="492">
        <f t="shared" si="30"/>
        <v>79</v>
      </c>
      <c r="K124" s="492">
        <f t="shared" si="30"/>
        <v>76</v>
      </c>
      <c r="L124" s="492">
        <f t="shared" si="30"/>
        <v>73</v>
      </c>
      <c r="M124" s="493">
        <f t="shared" si="30"/>
        <v>70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36</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789.56849999999997</v>
      </c>
      <c r="C2" s="1384" t="s">
        <v>879</v>
      </c>
      <c r="D2" s="1468">
        <f ca="1">C40+J29+L46</f>
        <v>7895685</v>
      </c>
      <c r="E2" s="1385" t="s">
        <v>880</v>
      </c>
      <c r="F2" s="1386"/>
      <c r="G2" s="2702"/>
      <c r="H2" s="2691"/>
      <c r="I2" s="2691"/>
      <c r="J2" s="2691"/>
      <c r="K2" s="2692"/>
      <c r="L2" s="2691"/>
      <c r="M2" s="2691"/>
    </row>
    <row r="3" spans="1:37" ht="18" customHeight="1" thickBot="1">
      <c r="A3" s="1387" t="s">
        <v>881</v>
      </c>
      <c r="B3" s="1388">
        <f ca="1">IF(ISERROR(D2/F43),0,ROUND(D2/F43,0))</f>
        <v>9658</v>
      </c>
      <c r="C3" s="1384" t="s">
        <v>882</v>
      </c>
      <c r="D3" s="1384"/>
      <c r="E3" s="1385"/>
      <c r="F3" s="1386"/>
      <c r="G3" s="2702"/>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507899</v>
      </c>
      <c r="D5" s="1361" t="s">
        <v>889</v>
      </c>
      <c r="E5" s="1068"/>
      <c r="F5" s="1069"/>
      <c r="G5" s="1381"/>
      <c r="H5" s="298">
        <v>1</v>
      </c>
      <c r="I5" s="299" t="s">
        <v>888</v>
      </c>
      <c r="J5" s="1067">
        <f ca="1">J6+J10+J12</f>
        <v>0</v>
      </c>
      <c r="K5" s="1361" t="s">
        <v>889</v>
      </c>
      <c r="L5" s="1068"/>
      <c r="M5" s="1069"/>
    </row>
    <row r="6" spans="1:37" ht="18" customHeight="1">
      <c r="A6" s="1066" t="s">
        <v>398</v>
      </c>
      <c r="B6" s="3652" t="s">
        <v>694</v>
      </c>
      <c r="C6" s="1071">
        <f ca="1">ROUND(F6*F8*F7*(1-F9),0)</f>
        <v>507265</v>
      </c>
      <c r="D6" s="154" t="s">
        <v>2105</v>
      </c>
      <c r="E6" s="301" t="s">
        <v>696</v>
      </c>
      <c r="F6" s="302">
        <f ca="1">INDIRECT("'数据-取费表'!u"&amp;$G$1)</f>
        <v>2</v>
      </c>
      <c r="G6" s="1381"/>
      <c r="H6" s="1066" t="s">
        <v>398</v>
      </c>
      <c r="I6" s="3652" t="s">
        <v>694</v>
      </c>
      <c r="J6" s="300">
        <f ca="1">ROUND(M6*M8*M7*(1-M9),0)</f>
        <v>0</v>
      </c>
      <c r="K6" s="1373" t="s">
        <v>2106</v>
      </c>
      <c r="L6" s="301" t="s">
        <v>696</v>
      </c>
      <c r="M6" s="302">
        <f ca="1">INDIRECT("'数据-取费表'!z"&amp;$G$1)</f>
        <v>0</v>
      </c>
    </row>
    <row r="7" spans="1:37" ht="18" customHeight="1">
      <c r="A7" s="1070"/>
      <c r="B7" s="3653"/>
      <c r="C7" s="1072"/>
      <c r="D7" s="306"/>
      <c r="E7" s="1073" t="s">
        <v>697</v>
      </c>
      <c r="F7" s="302">
        <f ca="1">IF(INDIRECT("'数据-取费表'!ah"&amp;$G$1)="",INDIRECT("'数据-取费表'!k"&amp;$G$1),INDIRECT("'数据-取费表'!ah"&amp;$G$1))</f>
        <v>817.51</v>
      </c>
      <c r="G7" s="1381"/>
      <c r="H7" s="303"/>
      <c r="I7" s="3653"/>
      <c r="J7" s="305"/>
      <c r="K7" s="306"/>
      <c r="L7" s="301" t="s">
        <v>697</v>
      </c>
      <c r="M7" s="302">
        <f ca="1">F7</f>
        <v>817.51</v>
      </c>
    </row>
    <row r="8" spans="1:37" ht="18" customHeight="1">
      <c r="A8" s="303"/>
      <c r="B8" s="3653"/>
      <c r="C8" s="305"/>
      <c r="D8" s="306"/>
      <c r="E8" s="301" t="s">
        <v>698</v>
      </c>
      <c r="F8" s="302">
        <f ca="1">INDIRECT("'数据-取费表'!ai"&amp;$G$1)</f>
        <v>365</v>
      </c>
      <c r="G8" s="1381"/>
      <c r="H8" s="303"/>
      <c r="I8" s="3653"/>
      <c r="J8" s="305"/>
      <c r="K8" s="306"/>
      <c r="L8" s="301" t="s">
        <v>698</v>
      </c>
      <c r="M8" s="302">
        <f ca="1">INDIRECT("'数据-取费表'!ai"&amp;$G$1)</f>
        <v>365</v>
      </c>
    </row>
    <row r="9" spans="1:37" ht="18" customHeight="1">
      <c r="A9" s="303"/>
      <c r="B9" s="3654"/>
      <c r="C9" s="305"/>
      <c r="D9" s="306"/>
      <c r="E9" s="301" t="s">
        <v>699</v>
      </c>
      <c r="F9" s="311">
        <f ca="1">INDIRECT("'数据-取费表'!w"&amp;$G$1)</f>
        <v>0.15</v>
      </c>
      <c r="G9" s="1381"/>
      <c r="H9" s="303"/>
      <c r="I9" s="3654"/>
      <c r="J9" s="305"/>
      <c r="K9" s="306"/>
      <c r="L9" s="312" t="s">
        <v>699</v>
      </c>
      <c r="M9" s="313">
        <f ca="1">INDIRECT("'数据-取费表'!ab"&amp;$G$1)</f>
        <v>0</v>
      </c>
    </row>
    <row r="10" spans="1:37" ht="18" customHeight="1">
      <c r="A10" s="1066" t="s">
        <v>402</v>
      </c>
      <c r="B10" s="1362" t="s">
        <v>700</v>
      </c>
      <c r="C10" s="315">
        <f ca="1">ROUND(IF(F10="押一",C6/12*F11,IF(F10="押二",C6/12*2*F11,IF(F10="押三",C6/12*3*F11,C11*F11))),0)</f>
        <v>634</v>
      </c>
      <c r="D10" s="1363" t="s">
        <v>2115</v>
      </c>
      <c r="E10" s="312" t="s">
        <v>701</v>
      </c>
      <c r="F10" s="1113" t="s">
        <v>3415</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4155946</v>
      </c>
      <c r="D13" s="1078" t="s">
        <v>705</v>
      </c>
      <c r="E13" s="1078" t="s">
        <v>706</v>
      </c>
      <c r="F13" s="1079">
        <f ca="1">INDIRECT("'数据-取费表'!y"&amp;$G$1)</f>
        <v>0.77</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3678795</v>
      </c>
      <c r="D14" s="1342" t="s">
        <v>708</v>
      </c>
      <c r="E14" s="1339"/>
      <c r="F14" s="318"/>
      <c r="G14" s="1381"/>
      <c r="H14" s="979" t="s">
        <v>398</v>
      </c>
      <c r="I14" s="301" t="s">
        <v>709</v>
      </c>
      <c r="J14" s="21">
        <f ca="1">C29</f>
        <v>5397332</v>
      </c>
      <c r="K14" s="12"/>
      <c r="L14" s="804"/>
      <c r="M14" s="805"/>
    </row>
    <row r="15" spans="1:37" s="1394" customFormat="1" ht="18" customHeight="1" thickBot="1">
      <c r="A15" s="979" t="s">
        <v>399</v>
      </c>
      <c r="B15" s="301" t="s">
        <v>710</v>
      </c>
      <c r="C15" s="21">
        <f ca="1">ROUND(C14*F15,0)</f>
        <v>183940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26987</v>
      </c>
      <c r="K16" s="1084" t="s">
        <v>715</v>
      </c>
      <c r="L16" s="1085"/>
      <c r="M16" s="1069"/>
    </row>
    <row r="17" spans="1:37" s="1394" customFormat="1" ht="18" customHeight="1">
      <c r="A17" s="979" t="s">
        <v>681</v>
      </c>
      <c r="B17" s="301" t="s">
        <v>716</v>
      </c>
      <c r="C17" s="21">
        <f ca="1">ROUND(F17*(F43+INDIRECT("'数据-取费表'!S"&amp;$G$1)),0)</f>
        <v>163502</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73576</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4099813</v>
      </c>
      <c r="D19" s="130" t="s">
        <v>726</v>
      </c>
      <c r="E19" s="1357"/>
      <c r="F19" s="23"/>
      <c r="G19" s="1381"/>
      <c r="H19" s="979" t="s">
        <v>399</v>
      </c>
      <c r="I19" s="301" t="s">
        <v>727</v>
      </c>
      <c r="J19" s="21">
        <f ca="1">IF(K19="按租金收入计税",ROUND(J6*M19/(1+'数据-取费表'!C42),0),ROUND(C29*M19*0.7,0))</f>
        <v>0</v>
      </c>
      <c r="K19" s="1367" t="s">
        <v>3335</v>
      </c>
      <c r="L19" s="301" t="s">
        <v>712</v>
      </c>
      <c r="M19" s="321">
        <f>IF(K19="按租金收入计税",'数据-取费表'!B51,'数据-取费表'!B50)</f>
        <v>0.12</v>
      </c>
    </row>
    <row r="20" spans="1:37" s="1394" customFormat="1" ht="18" customHeight="1">
      <c r="A20" s="979" t="s">
        <v>402</v>
      </c>
      <c r="B20" s="301" t="s">
        <v>728</v>
      </c>
      <c r="C20" s="21">
        <f ca="1">ROUND(C19*F20,0)</f>
        <v>122994</v>
      </c>
      <c r="D20" s="322" t="s">
        <v>729</v>
      </c>
      <c r="E20" s="301" t="s">
        <v>712</v>
      </c>
      <c r="F20" s="321">
        <f>'数据-取费表'!B37</f>
        <v>0.03</v>
      </c>
      <c r="G20" s="1393"/>
      <c r="H20" s="979"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26987</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130907</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-26987</v>
      </c>
      <c r="K25" s="1092" t="s">
        <v>753</v>
      </c>
      <c r="L25" s="1093"/>
      <c r="M25" s="1094"/>
    </row>
    <row r="26" spans="1:37" ht="18" customHeight="1">
      <c r="A26" s="979" t="s">
        <v>397</v>
      </c>
      <c r="B26" s="301" t="s">
        <v>754</v>
      </c>
      <c r="C26" s="21">
        <f ca="1">ROUND((C19+C20)*F26,0)</f>
        <v>633421</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5397332</v>
      </c>
      <c r="D29" s="1089"/>
      <c r="E29" s="1087"/>
      <c r="F29" s="1090"/>
      <c r="G29" s="1393"/>
      <c r="H29" s="333" t="s">
        <v>396</v>
      </c>
      <c r="I29" s="334" t="s">
        <v>768</v>
      </c>
      <c r="J29" s="335">
        <f ca="1">ROUND(J26/(1+F40)^F41,0)</f>
        <v>0</v>
      </c>
      <c r="K29" s="336" t="s">
        <v>769</v>
      </c>
      <c r="L29" s="337"/>
      <c r="M29" s="338">
        <f ca="1">INDIRECT("'数据-取费表'!k"&amp;$G$1)</f>
        <v>817.51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122844</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ROUND(IF(AND(项目基本情况!B11="自然人",项目基本情况!B10="北京市"),C6*F31/(1+'数据-取费表'!C42),C32+C33+C34),0)</f>
        <v>84544</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IF(项目基本情况!B11="自然人","——",ROUND(C6*F32/(1+'数据-取费表'!C42),0))</f>
        <v>26571</v>
      </c>
      <c r="D32" s="1341" t="s">
        <v>724</v>
      </c>
      <c r="E32" s="301" t="s">
        <v>712</v>
      </c>
      <c r="F32" s="330">
        <f>'数据-取费表'!B41</f>
        <v>5.5000000000000007E-2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IF(项目基本情况!B11="自然人","——",IF(D33="按租金收入计税",ROUND(C6*F33/(1+'数据-取费表'!C42),0),IF(D33="按房产原值计税",ROUND(C29*F33*0.7,0),INDIRECT("'数据-取费表'!Aj"&amp;$G$1))))</f>
        <v>57973</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IF(项目基本情况!B11="自然人","——",ROUND(F34*F35,0))</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ROUND(C29*F36,0)</f>
        <v>26987</v>
      </c>
      <c r="D36" s="1341" t="s">
        <v>771</v>
      </c>
      <c r="E36" s="301" t="s">
        <v>712</v>
      </c>
      <c r="F36" s="327">
        <f ca="1">INDIRECT("'数据-取费表'!Ak"&amp;$G$1)</f>
        <v>5.0000000000000001E-3</v>
      </c>
      <c r="G36" s="1381"/>
      <c r="H36" s="2696"/>
      <c r="I36" s="1395"/>
      <c r="J36" s="1396"/>
      <c r="K36" s="2541"/>
      <c r="L36" s="2696"/>
      <c r="M36" s="2696"/>
    </row>
    <row r="37" spans="1:18" ht="18" customHeight="1">
      <c r="A37" s="979" t="s">
        <v>437</v>
      </c>
      <c r="B37" s="301" t="s">
        <v>742</v>
      </c>
      <c r="C37" s="21">
        <f ca="1">ROUND(C13*F37,0)</f>
        <v>6234</v>
      </c>
      <c r="D37" s="1341" t="s">
        <v>743</v>
      </c>
      <c r="E37" s="301" t="s">
        <v>744</v>
      </c>
      <c r="F37" s="329">
        <f ca="1">INDIRECT("'数据-取费表'!Al"&amp;$G$1)</f>
        <v>1.5E-3</v>
      </c>
      <c r="G37" s="1381"/>
      <c r="H37" s="2696"/>
      <c r="I37" s="1395"/>
      <c r="J37" s="1396"/>
      <c r="K37" s="2541"/>
      <c r="L37" s="2696"/>
      <c r="M37" s="2696"/>
    </row>
    <row r="38" spans="1:18" ht="18" customHeight="1" thickBot="1">
      <c r="A38" s="1086" t="s">
        <v>684</v>
      </c>
      <c r="B38" s="1087" t="s">
        <v>728</v>
      </c>
      <c r="C38" s="1088">
        <f ca="1">ROUND(C5*F38,0)</f>
        <v>5079</v>
      </c>
      <c r="D38" s="1089" t="s">
        <v>748</v>
      </c>
      <c r="E38" s="1087" t="s">
        <v>744</v>
      </c>
      <c r="F38" s="1083">
        <f ca="1">INDIRECT("'数据-取费表'!Am"&amp;$G$1)</f>
        <v>0.01</v>
      </c>
      <c r="G38" s="1381"/>
      <c r="H38" s="2696"/>
      <c r="I38" s="1395"/>
      <c r="J38" s="1396"/>
      <c r="K38" s="2700"/>
      <c r="L38" s="2696"/>
      <c r="M38" s="2696"/>
    </row>
    <row r="39" spans="1:18" ht="24.6" customHeight="1" thickTop="1">
      <c r="A39" s="1076" t="s">
        <v>394</v>
      </c>
      <c r="B39" s="1091" t="s">
        <v>772</v>
      </c>
      <c r="C39" s="309">
        <f ca="1">C5-C30</f>
        <v>385055</v>
      </c>
      <c r="D39" s="1092" t="s">
        <v>773</v>
      </c>
      <c r="E39" s="1093"/>
      <c r="F39" s="1094"/>
      <c r="G39" s="1381"/>
      <c r="H39" s="2696"/>
      <c r="I39" s="1395"/>
      <c r="J39" s="1396"/>
      <c r="K39" s="2700"/>
      <c r="L39" s="2696"/>
      <c r="M39" s="2696"/>
    </row>
    <row r="40" spans="1:18" ht="18" customHeight="1">
      <c r="A40" s="298" t="s">
        <v>395</v>
      </c>
      <c r="B40" s="299" t="s">
        <v>774</v>
      </c>
      <c r="C40" s="300">
        <f ca="1">ROUND(C39*(1-((1+F42)/(1+F40))^F41)/(F40-F42),0)</f>
        <v>7735901</v>
      </c>
      <c r="D40" s="323" t="s">
        <v>758</v>
      </c>
      <c r="E40" s="301" t="s">
        <v>759</v>
      </c>
      <c r="F40" s="311">
        <f ca="1">INDIRECT("'数据-取费表'!I"&amp;$G$1)</f>
        <v>5.5E-2</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36</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ROUND(C40/F43,0)</f>
        <v>9463</v>
      </c>
      <c r="D43" s="336" t="s">
        <v>777</v>
      </c>
      <c r="E43" s="337" t="s">
        <v>778</v>
      </c>
      <c r="F43" s="338">
        <f ca="1">INDIRECT("'数据-取费表'!k"&amp;$G$1)</f>
        <v>817.51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7" t="s">
        <v>3351</v>
      </c>
      <c r="B45" s="1397"/>
      <c r="C45" s="1469">
        <f ca="1">ROUND((C68-C40)/10000,4)</f>
        <v>-825.20249999999999</v>
      </c>
      <c r="D45" s="3428" t="s">
        <v>3352</v>
      </c>
      <c r="E45" s="1397"/>
      <c r="F45" s="1397"/>
      <c r="O45" s="1400" t="s">
        <v>808</v>
      </c>
      <c r="P45" s="1458"/>
      <c r="Q45" s="1458"/>
      <c r="R45" s="1458"/>
    </row>
    <row r="46" spans="1:18" s="1381" customFormat="1" ht="13.5" thickBot="1">
      <c r="A46" s="1401" t="s">
        <v>809</v>
      </c>
      <c r="C46" s="1402">
        <f ca="1">ROUND(C45,0)</f>
        <v>-825</v>
      </c>
      <c r="D46" s="1403" t="str">
        <f>C2</f>
        <v>万元</v>
      </c>
      <c r="I46" s="1404" t="s">
        <v>810</v>
      </c>
      <c r="J46" s="1405"/>
      <c r="K46" s="1406"/>
      <c r="L46" s="1407">
        <f ca="1">IF(M47="住宅",0,IF(L48&gt;J51,L60,J60))</f>
        <v>159784</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3416</v>
      </c>
      <c r="K47" s="1413" t="s">
        <v>816</v>
      </c>
      <c r="L47" s="1414">
        <f ca="1">INDIRECT("'数据-取费表'!d"&amp;$G$1)</f>
        <v>50</v>
      </c>
      <c r="M47" s="1377" t="str">
        <f>IF(ISNUMBER(FIND("住宅",C1)),"住宅","非住宅")</f>
        <v>非住宅</v>
      </c>
      <c r="O47" s="1415" t="s">
        <v>403</v>
      </c>
      <c r="P47" s="1416" t="s">
        <v>817</v>
      </c>
      <c r="Q47" s="1417">
        <f ca="1">C40+J29</f>
        <v>7735901</v>
      </c>
      <c r="R47" s="1417" t="s">
        <v>818</v>
      </c>
    </row>
    <row r="48" spans="1:18" s="1381" customFormat="1" ht="28.5" thickBot="1">
      <c r="A48" s="1107" t="s">
        <v>438</v>
      </c>
      <c r="B48" s="299" t="s">
        <v>692</v>
      </c>
      <c r="C48" s="1356">
        <f ca="1">C49+C53+C55</f>
        <v>0</v>
      </c>
      <c r="D48" s="1109"/>
      <c r="E48" s="1110"/>
      <c r="F48" s="959"/>
      <c r="G48" s="719"/>
      <c r="H48" s="720"/>
      <c r="I48" s="1418" t="s">
        <v>819</v>
      </c>
      <c r="J48" s="1419" t="s">
        <v>3417</v>
      </c>
      <c r="K48" s="1420" t="s">
        <v>820</v>
      </c>
      <c r="L48" s="1421">
        <f ca="1">INDIRECT("'数据-取费表'!f"&amp;$G$1)</f>
        <v>36</v>
      </c>
      <c r="O48" s="1415" t="s">
        <v>404</v>
      </c>
      <c r="P48" s="1416" t="s">
        <v>821</v>
      </c>
      <c r="Q48" s="1417">
        <f ca="1">J60</f>
        <v>159784</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2017</v>
      </c>
      <c r="K49" s="1420" t="s">
        <v>824</v>
      </c>
      <c r="L49" s="1424"/>
      <c r="O49" s="1425" t="s">
        <v>405</v>
      </c>
      <c r="P49" s="1416" t="s">
        <v>825</v>
      </c>
      <c r="Q49" s="1417">
        <f ca="1">C29</f>
        <v>5397332</v>
      </c>
      <c r="R49" s="1417" t="s">
        <v>818</v>
      </c>
    </row>
    <row r="50" spans="1:18" s="1381" customFormat="1" ht="13.5" thickBot="1">
      <c r="A50" s="973"/>
      <c r="B50" s="976"/>
      <c r="C50" s="977"/>
      <c r="D50" s="950"/>
      <c r="E50" s="1053" t="s">
        <v>697</v>
      </c>
      <c r="F50" s="1054">
        <f ca="1">F7</f>
        <v>817.51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52</v>
      </c>
      <c r="K51" s="1431" t="s">
        <v>830</v>
      </c>
      <c r="L51" s="1432">
        <f ca="1">ROUND(-PV(INDIRECT("'数据-取费表'!h"&amp;$G$1),J51,(C39-C13*C76),0),0)</f>
        <v>1733855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36</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36</v>
      </c>
      <c r="K53" s="3650" t="s">
        <v>837</v>
      </c>
      <c r="L53" s="3651"/>
      <c r="O53" s="1415" t="s">
        <v>409</v>
      </c>
      <c r="P53" s="1416" t="s">
        <v>838</v>
      </c>
      <c r="Q53" s="1417">
        <f ca="1">Q47+Q48</f>
        <v>7895685</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0.26700000000000002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4155946</v>
      </c>
      <c r="D56" s="1444"/>
      <c r="E56" s="1445"/>
      <c r="F56" s="1437"/>
      <c r="I56" s="1446" t="s">
        <v>842</v>
      </c>
      <c r="J56" s="1447" t="s">
        <v>3411</v>
      </c>
      <c r="K56" s="1418" t="s">
        <v>843</v>
      </c>
      <c r="L56" s="1421" t="str">
        <f ca="1">IF(L48&lt;J51,"——",L48-J51)</f>
        <v>——</v>
      </c>
      <c r="O56" s="1415" t="s">
        <v>403</v>
      </c>
      <c r="P56" s="1416" t="s">
        <v>817</v>
      </c>
      <c r="Q56" s="1417">
        <f ca="1">C40+J29</f>
        <v>7735901</v>
      </c>
      <c r="R56" s="1417" t="s">
        <v>818</v>
      </c>
    </row>
    <row r="57" spans="1:18" s="1381" customFormat="1" ht="24.75" thickBot="1">
      <c r="A57" s="1448"/>
      <c r="B57" s="947" t="s">
        <v>767</v>
      </c>
      <c r="C57" s="237">
        <f ca="1">C29</f>
        <v>5397332</v>
      </c>
      <c r="D57" s="1449"/>
      <c r="E57" s="1450"/>
      <c r="F57" s="1451"/>
      <c r="I57" s="1452" t="s">
        <v>844</v>
      </c>
      <c r="J57" s="1453">
        <f ca="1">IF(OR(M47="住宅",J51&lt;L48,J56="是"),"——",J51-L48)</f>
        <v>16</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33221</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2158933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5.5000000000000007E-2</v>
      </c>
      <c r="I60" s="1455" t="s">
        <v>853</v>
      </c>
      <c r="J60" s="1456">
        <f ca="1">IF(OR(M47="住宅",J51&lt;L48,J56="是"),"0",ROUND(J59/(1+J52)^J53,0))</f>
        <v>159784</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4">
        <f t="shared" si="0"/>
        <v>0</v>
      </c>
      <c r="I62" s="1459" t="s">
        <v>858</v>
      </c>
      <c r="J62" s="1460" t="s">
        <v>859</v>
      </c>
      <c r="K62" s="1460" t="s">
        <v>860</v>
      </c>
      <c r="L62" s="1460" t="s">
        <v>861</v>
      </c>
      <c r="M62" s="1461" t="s">
        <v>862</v>
      </c>
      <c r="O62" s="1415" t="s">
        <v>409</v>
      </c>
      <c r="P62" s="1416" t="s">
        <v>863</v>
      </c>
      <c r="Q62" s="1417">
        <f ca="1">Q56+Q57</f>
        <v>7735901</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26987</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6234</v>
      </c>
      <c r="D65" s="961" t="s">
        <v>743</v>
      </c>
      <c r="E65" s="947" t="s">
        <v>744</v>
      </c>
      <c r="F65" s="329">
        <f t="shared" ca="1" si="0"/>
        <v>1.5E-3</v>
      </c>
      <c r="I65" s="1459" t="s">
        <v>867</v>
      </c>
      <c r="J65" s="1460">
        <v>40</v>
      </c>
      <c r="K65" s="1460">
        <v>30</v>
      </c>
      <c r="L65" s="1460">
        <v>50</v>
      </c>
      <c r="M65" s="1462">
        <v>0.02</v>
      </c>
      <c r="O65" s="1415" t="s">
        <v>403</v>
      </c>
      <c r="P65" s="1416" t="s">
        <v>868</v>
      </c>
      <c r="Q65" s="1417">
        <f ca="1">C40+J29</f>
        <v>7735901</v>
      </c>
      <c r="R65" s="1417" t="s">
        <v>818</v>
      </c>
    </row>
    <row r="66" spans="1:18" s="1381" customFormat="1" ht="16.5" thickBot="1">
      <c r="A66" s="979" t="s">
        <v>793</v>
      </c>
      <c r="B66" s="947" t="s">
        <v>728</v>
      </c>
      <c r="C66" s="21">
        <f ca="1">ROUND(C48*F66,0)</f>
        <v>0</v>
      </c>
      <c r="D66" s="961" t="s">
        <v>794</v>
      </c>
      <c r="E66" s="947" t="s">
        <v>712</v>
      </c>
      <c r="F66" s="311">
        <f t="shared" ca="1" si="0"/>
        <v>0.01</v>
      </c>
      <c r="O66" s="1415" t="s">
        <v>404</v>
      </c>
      <c r="P66" s="1416" t="s">
        <v>846</v>
      </c>
      <c r="Q66" s="1417">
        <f ca="1">L60</f>
        <v>0</v>
      </c>
      <c r="R66" s="1417" t="s">
        <v>869</v>
      </c>
    </row>
    <row r="67" spans="1:18" s="1381" customFormat="1" ht="16.5" thickBot="1">
      <c r="A67" s="954" t="s">
        <v>394</v>
      </c>
      <c r="B67" s="964" t="s">
        <v>752</v>
      </c>
      <c r="C67" s="315">
        <f ca="1">C48-C58</f>
        <v>-33221</v>
      </c>
      <c r="D67" s="960" t="s">
        <v>753</v>
      </c>
      <c r="E67" s="965"/>
      <c r="F67" s="966"/>
      <c r="O67" s="1425" t="s">
        <v>405</v>
      </c>
      <c r="P67" s="1416" t="s">
        <v>850</v>
      </c>
      <c r="Q67" s="1463">
        <f ca="1">L51</f>
        <v>1733855</v>
      </c>
      <c r="R67" s="1417" t="s">
        <v>870</v>
      </c>
    </row>
    <row r="68" spans="1:18" s="1381" customFormat="1" ht="16.5" thickBot="1">
      <c r="A68" s="944" t="s">
        <v>395</v>
      </c>
      <c r="B68" s="945" t="s">
        <v>774</v>
      </c>
      <c r="C68" s="300">
        <f ca="1">ROUND(C67*(1-((1+F70)/(1+F68))^F69)/(F68-F70),0)</f>
        <v>-516124</v>
      </c>
      <c r="D68" s="962" t="s">
        <v>758</v>
      </c>
      <c r="E68" s="947" t="s">
        <v>759</v>
      </c>
      <c r="F68" s="311">
        <f ca="1">F40</f>
        <v>5.5E-2</v>
      </c>
      <c r="O68" s="1425" t="s">
        <v>406</v>
      </c>
      <c r="P68" s="1464" t="s">
        <v>871</v>
      </c>
      <c r="Q68" s="1417">
        <f ca="1">ROUND(Q69-Q70*Q71,0)</f>
        <v>94139</v>
      </c>
      <c r="R68" s="1417" t="s">
        <v>414</v>
      </c>
    </row>
    <row r="69" spans="1:18" s="1381" customFormat="1" ht="13.5" thickBot="1">
      <c r="A69" s="948"/>
      <c r="B69" s="949"/>
      <c r="C69" s="305"/>
      <c r="D69" s="967" t="s">
        <v>762</v>
      </c>
      <c r="E69" s="947" t="s">
        <v>763</v>
      </c>
      <c r="F69" s="332">
        <f ca="1">F41</f>
        <v>36</v>
      </c>
      <c r="O69" s="1425" t="s">
        <v>411</v>
      </c>
      <c r="P69" s="1464" t="s">
        <v>872</v>
      </c>
      <c r="Q69" s="1417">
        <f ca="1">C39</f>
        <v>385055</v>
      </c>
      <c r="R69" s="1417" t="s">
        <v>818</v>
      </c>
    </row>
    <row r="70" spans="1:18" s="1381" customFormat="1" ht="13.5" thickBot="1">
      <c r="A70" s="951"/>
      <c r="B70" s="952"/>
      <c r="C70" s="309"/>
      <c r="D70" s="963"/>
      <c r="E70" s="947" t="s">
        <v>766</v>
      </c>
      <c r="F70" s="1051"/>
      <c r="O70" s="1425" t="s">
        <v>412</v>
      </c>
      <c r="P70" s="1464" t="s">
        <v>873</v>
      </c>
      <c r="Q70" s="1417">
        <f ca="1">C13</f>
        <v>4155946</v>
      </c>
      <c r="R70" s="1417" t="s">
        <v>818</v>
      </c>
    </row>
    <row r="71" spans="1:18" s="1381" customFormat="1" ht="13.5" thickBot="1">
      <c r="A71" s="968" t="s">
        <v>396</v>
      </c>
      <c r="B71" s="969" t="s">
        <v>776</v>
      </c>
      <c r="C71" s="335">
        <f ca="1">ROUND(C68/F71,0)</f>
        <v>-631</v>
      </c>
      <c r="D71" s="970" t="s">
        <v>777</v>
      </c>
      <c r="E71" s="971" t="s">
        <v>778</v>
      </c>
      <c r="F71" s="338">
        <f ca="1">F43</f>
        <v>817.51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290916</v>
      </c>
      <c r="D75" s="1381"/>
      <c r="E75" s="1381"/>
      <c r="F75" s="1381"/>
      <c r="K75" s="1399"/>
      <c r="L75" s="1381"/>
      <c r="O75" s="1415" t="s">
        <v>409</v>
      </c>
      <c r="P75" s="1416" t="s">
        <v>838</v>
      </c>
      <c r="Q75" s="1417">
        <f ca="1">Q65+Q66</f>
        <v>7735901</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0.24399999999999999</v>
      </c>
    </row>
    <row r="80" spans="1:18">
      <c r="B80" s="339" t="s">
        <v>800</v>
      </c>
      <c r="C80" s="273">
        <f ca="1">ROUND(C75/C39,3)</f>
        <v>0.75600000000000001</v>
      </c>
    </row>
    <row r="81" spans="2:3">
      <c r="B81" s="269" t="s">
        <v>801</v>
      </c>
      <c r="C81" s="237"/>
    </row>
    <row r="82" spans="2:3">
      <c r="B82" s="272" t="s">
        <v>802</v>
      </c>
      <c r="C82" s="274">
        <f ca="1">1-C83</f>
        <v>0.46299999999999997</v>
      </c>
    </row>
    <row r="83" spans="2:3">
      <c r="B83" s="272" t="s">
        <v>803</v>
      </c>
      <c r="C83" s="273">
        <f ca="1">ROUND(C13/C40,3)</f>
        <v>0.53700000000000003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2" t="s">
        <v>2314</v>
      </c>
      <c r="B2" s="2839" t="e">
        <f>IF(D2="——",C40,C40+E2)</f>
        <v>#DIV/0!</v>
      </c>
      <c r="C2" s="2840" t="s">
        <v>2315</v>
      </c>
      <c r="D2" s="3439" t="s">
        <v>3358</v>
      </c>
      <c r="E2" s="3440"/>
      <c r="F2" s="2842"/>
      <c r="G2" s="2843"/>
      <c r="H2" s="2844"/>
      <c r="I2" s="2845"/>
      <c r="J2" s="3719" t="s">
        <v>2316</v>
      </c>
      <c r="K2" s="3720"/>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21" t="s">
        <v>2326</v>
      </c>
      <c r="K3" s="3722"/>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21" t="s">
        <v>2328</v>
      </c>
      <c r="K4" s="3722"/>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27" t="s">
        <v>2332</v>
      </c>
      <c r="B6" s="3728"/>
      <c r="C6" s="3729"/>
      <c r="D6" s="2866"/>
      <c r="E6" s="2867"/>
      <c r="F6" s="2868"/>
      <c r="G6" s="2869"/>
      <c r="H6" s="2844"/>
      <c r="I6" s="2845"/>
      <c r="J6" s="3713">
        <v>1</v>
      </c>
      <c r="K6" s="3714"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13"/>
      <c r="K7" s="3715"/>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30" t="s">
        <v>2346</v>
      </c>
      <c r="C8" s="3731"/>
      <c r="D8" s="2885" t="s">
        <v>2347</v>
      </c>
      <c r="E8" s="2886" t="s">
        <v>2348</v>
      </c>
      <c r="F8" s="2887" t="s">
        <v>2349</v>
      </c>
      <c r="G8" s="2888"/>
      <c r="H8" s="2844"/>
      <c r="I8" s="2845"/>
      <c r="J8" s="3713"/>
      <c r="K8" s="3715"/>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30" t="s">
        <v>2352</v>
      </c>
      <c r="C9" s="3731"/>
      <c r="D9" s="2885">
        <f>ROUND(D6*E9,0)</f>
        <v>0</v>
      </c>
      <c r="E9" s="2889"/>
      <c r="F9" s="2890" t="s">
        <v>2353</v>
      </c>
      <c r="G9" s="2869"/>
      <c r="H9" s="2844"/>
      <c r="I9" s="2845"/>
      <c r="J9" s="3713"/>
      <c r="K9" s="3715"/>
      <c r="L9" s="2879" t="s">
        <v>2354</v>
      </c>
      <c r="M9" s="2880"/>
      <c r="N9" s="2856"/>
      <c r="O9" s="2881"/>
      <c r="P9" s="2881"/>
      <c r="Q9" s="2882">
        <v>365</v>
      </c>
      <c r="R9" s="2883">
        <f t="shared" si="0"/>
        <v>0</v>
      </c>
      <c r="S9" s="2837"/>
      <c r="T9" s="2837"/>
      <c r="U9" s="2837"/>
      <c r="V9" s="2845"/>
    </row>
    <row r="10" spans="1:22" s="2849" customFormat="1" ht="13.15" customHeight="1">
      <c r="A10" s="2884">
        <v>2</v>
      </c>
      <c r="B10" s="3730" t="s">
        <v>2355</v>
      </c>
      <c r="C10" s="3731"/>
      <c r="D10" s="2885">
        <f>ROUND(D6*E10,0)</f>
        <v>0</v>
      </c>
      <c r="E10" s="2889"/>
      <c r="F10" s="2890" t="s">
        <v>2356</v>
      </c>
      <c r="G10" s="2869"/>
      <c r="H10" s="2844"/>
      <c r="I10" s="2845"/>
      <c r="J10" s="3713"/>
      <c r="K10" s="3715"/>
      <c r="L10" s="2879" t="s">
        <v>2357</v>
      </c>
      <c r="M10" s="2880"/>
      <c r="N10" s="2856"/>
      <c r="O10" s="2881"/>
      <c r="P10" s="2881"/>
      <c r="Q10" s="2882">
        <v>365</v>
      </c>
      <c r="R10" s="2883">
        <f t="shared" si="0"/>
        <v>0</v>
      </c>
      <c r="S10" s="2837"/>
      <c r="T10" s="2837"/>
      <c r="U10" s="2837"/>
      <c r="V10" s="2845"/>
    </row>
    <row r="11" spans="1:22" s="2849" customFormat="1" ht="13.15" customHeight="1">
      <c r="A11" s="2884">
        <v>3</v>
      </c>
      <c r="B11" s="3730" t="s">
        <v>2358</v>
      </c>
      <c r="C11" s="3731"/>
      <c r="D11" s="2885">
        <f>D12+D14+D15+D16</f>
        <v>0</v>
      </c>
      <c r="E11" s="2891" t="e">
        <f>D11/D6</f>
        <v>#DIV/0!</v>
      </c>
      <c r="F11" s="2887"/>
      <c r="G11" s="2888"/>
      <c r="H11" s="2844"/>
      <c r="I11" s="2845"/>
      <c r="J11" s="3713"/>
      <c r="K11" s="3715"/>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3" t="s">
        <v>2361</v>
      </c>
      <c r="C12" s="3724"/>
      <c r="D12" s="2893">
        <f>ROUND(D13*1.2%*(1-30%),0)</f>
        <v>0</v>
      </c>
      <c r="E12" s="2894">
        <v>1.2E-2</v>
      </c>
      <c r="F12" s="2887" t="s">
        <v>2362</v>
      </c>
      <c r="G12" s="2888"/>
      <c r="H12" s="2844"/>
      <c r="I12" s="2845"/>
      <c r="J12" s="3713"/>
      <c r="K12" s="3715"/>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13"/>
      <c r="K13" s="3715"/>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3" t="s">
        <v>2367</v>
      </c>
      <c r="C14" s="3724"/>
      <c r="D14" s="2893">
        <f>ROUND(E14*B5/10000,0)</f>
        <v>0</v>
      </c>
      <c r="E14" s="2882"/>
      <c r="F14" s="2887" t="s">
        <v>2368</v>
      </c>
      <c r="G14" s="2888"/>
      <c r="H14" s="2844"/>
      <c r="I14" s="2845"/>
      <c r="J14" s="3713"/>
      <c r="K14" s="3716"/>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3" t="s">
        <v>2371</v>
      </c>
      <c r="C15" s="3724"/>
      <c r="D15" s="2893">
        <f>ROUND(D6*E15,0)</f>
        <v>0</v>
      </c>
      <c r="E15" s="2894">
        <v>5.5E-2</v>
      </c>
      <c r="F15" s="2887" t="s">
        <v>2372</v>
      </c>
      <c r="G15" s="2869"/>
      <c r="H15" s="2844"/>
      <c r="I15" s="2845"/>
      <c r="J15" s="3713">
        <v>2</v>
      </c>
      <c r="K15" s="3714"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3" t="s">
        <v>2380</v>
      </c>
      <c r="C16" s="3724"/>
      <c r="D16" s="2904">
        <f>D6*E16</f>
        <v>0</v>
      </c>
      <c r="E16" s="2905"/>
      <c r="F16" s="2890" t="s">
        <v>2381</v>
      </c>
      <c r="G16" s="2869"/>
      <c r="H16" s="2844"/>
      <c r="I16" s="2845"/>
      <c r="J16" s="3713"/>
      <c r="K16" s="3715"/>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5" t="s">
        <v>2383</v>
      </c>
      <c r="C17" s="3726"/>
      <c r="D17" s="2907">
        <f>ROUND(D6*E17,0)</f>
        <v>0</v>
      </c>
      <c r="E17" s="2908"/>
      <c r="F17" s="2909" t="s">
        <v>2384</v>
      </c>
      <c r="G17" s="2869"/>
      <c r="H17" s="2844"/>
      <c r="I17" s="2845"/>
      <c r="J17" s="3713"/>
      <c r="K17" s="3715"/>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13"/>
      <c r="K18" s="3715"/>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13"/>
      <c r="K19" s="3716"/>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3">
        <v>3</v>
      </c>
      <c r="K20" s="3714"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13"/>
      <c r="K21" s="3715"/>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13"/>
      <c r="K22" s="3715"/>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13"/>
      <c r="K23" s="3715"/>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13"/>
      <c r="K24" s="3716"/>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17">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9" t="s">
        <v>2316</v>
      </c>
      <c r="K32" s="3720"/>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21" t="s">
        <v>2326</v>
      </c>
      <c r="K33" s="3722"/>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21" t="s">
        <v>2328</v>
      </c>
      <c r="K34" s="372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13">
        <v>1</v>
      </c>
      <c r="K36" s="3714"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13"/>
      <c r="K37" s="3715"/>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3"/>
      <c r="K38" s="3715"/>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13"/>
      <c r="K39" s="3715"/>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13"/>
      <c r="K40" s="3716"/>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7">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789.56849999999997</v>
      </c>
      <c r="C2" s="1869" t="s">
        <v>1651</v>
      </c>
      <c r="D2" s="1870" t="s">
        <v>1652</v>
      </c>
      <c r="E2" s="2603">
        <f>SUM(E6:E13)</f>
        <v>817.51</v>
      </c>
      <c r="F2" s="2703"/>
      <c r="G2" s="1486"/>
      <c r="H2" s="1486"/>
      <c r="I2" s="1486"/>
      <c r="J2" s="1486"/>
      <c r="K2" s="1486"/>
      <c r="L2" s="1486"/>
      <c r="M2" s="1486"/>
      <c r="N2" s="1486"/>
      <c r="O2" s="1486"/>
      <c r="P2" s="1486"/>
      <c r="Q2" s="1486"/>
      <c r="R2" s="1486"/>
      <c r="S2" s="1486"/>
    </row>
    <row r="3" spans="1:22" ht="15.75">
      <c r="A3" s="1867" t="s">
        <v>686</v>
      </c>
      <c r="B3" s="2597">
        <f ca="1">ROUND(B2*10000/E2,0)</f>
        <v>9658</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2" t="s">
        <v>1654</v>
      </c>
      <c r="C5" s="3733"/>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789.56849999999997</v>
      </c>
      <c r="C6" s="1869" t="s">
        <v>1651</v>
      </c>
      <c r="D6" s="2705"/>
      <c r="E6" s="2602">
        <f>IF(OR(A6=0,F6="否"),0,'数据-取费表'!K6+'数据-取费表'!S6)</f>
        <v>817.51</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817.51</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4" t="s">
        <v>1666</v>
      </c>
      <c r="B4" s="355"/>
      <c r="C4" s="3679" t="s">
        <v>1667</v>
      </c>
      <c r="D4" s="3680"/>
      <c r="E4" s="3681" t="s">
        <v>1668</v>
      </c>
      <c r="F4" s="3682"/>
      <c r="G4" s="3679" t="s">
        <v>1669</v>
      </c>
      <c r="H4" s="3680"/>
      <c r="I4" s="3679" t="s">
        <v>1670</v>
      </c>
      <c r="J4" s="3680"/>
      <c r="K4" s="1886" t="s">
        <v>1671</v>
      </c>
      <c r="L4" s="2711"/>
      <c r="M4" s="2712"/>
      <c r="N4" s="2712"/>
      <c r="O4" s="2712"/>
      <c r="P4" s="3738" t="s">
        <v>1672</v>
      </c>
      <c r="Q4" s="3739"/>
      <c r="R4" s="3742" t="s">
        <v>1668</v>
      </c>
      <c r="S4" s="3743"/>
      <c r="T4" s="3742" t="s">
        <v>1669</v>
      </c>
      <c r="U4" s="3743"/>
      <c r="V4" s="3696" t="s">
        <v>1670</v>
      </c>
      <c r="W4" s="3696"/>
      <c r="X4" s="1352"/>
      <c r="Y4" s="3742" t="s">
        <v>1672</v>
      </c>
      <c r="Z4" s="3743"/>
      <c r="AA4" s="3737" t="s">
        <v>1668</v>
      </c>
      <c r="AB4" s="3737" t="s">
        <v>1669</v>
      </c>
      <c r="AC4" s="3737" t="s">
        <v>1670</v>
      </c>
    </row>
    <row r="5" spans="1:29" ht="15">
      <c r="A5" s="357"/>
      <c r="B5" s="358"/>
      <c r="C5" s="3705" t="s">
        <v>1673</v>
      </c>
      <c r="D5" s="3700"/>
      <c r="E5" s="3744" t="s">
        <v>1674</v>
      </c>
      <c r="F5" s="3712"/>
      <c r="G5" s="3705" t="s">
        <v>1675</v>
      </c>
      <c r="H5" s="3700"/>
      <c r="I5" s="3705" t="s">
        <v>1676</v>
      </c>
      <c r="J5" s="3700"/>
      <c r="K5" s="1887"/>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1887"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45726</v>
      </c>
      <c r="D7" s="364">
        <v>100</v>
      </c>
      <c r="E7" s="365"/>
      <c r="F7" s="366">
        <f>SUMIF(58:58,YEAR(E7)&amp;"-"&amp;MONTH(E7),59:59)</f>
        <v>0</v>
      </c>
      <c r="G7" s="365"/>
      <c r="H7" s="364">
        <f>SUMIF(58:58,YEAR(G7)&amp;"-"&amp;MONTH(G7),59:59)</f>
        <v>0</v>
      </c>
      <c r="I7" s="365"/>
      <c r="J7" s="364">
        <f>SUMIF(58:58,YEAR(I7)&amp;"-"&amp;MONTH(I7),59:59)</f>
        <v>0</v>
      </c>
      <c r="K7" s="1888"/>
      <c r="L7" s="2713"/>
      <c r="M7" s="2714"/>
      <c r="N7" s="2714"/>
      <c r="O7" s="2714"/>
      <c r="P7" s="3703" t="s">
        <v>1680</v>
      </c>
      <c r="Q7" s="3704"/>
      <c r="R7" s="698" t="s">
        <v>20</v>
      </c>
      <c r="S7" s="699">
        <f t="shared" ref="S7:S15" si="0">F7</f>
        <v>0</v>
      </c>
      <c r="T7" s="698" t="s">
        <v>20</v>
      </c>
      <c r="U7" s="699">
        <f t="shared" ref="U7:U15" si="1">H7</f>
        <v>0</v>
      </c>
      <c r="V7" s="698" t="s">
        <v>20</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3"/>
      <c r="M8" s="2714"/>
      <c r="N8" s="2714"/>
      <c r="O8" s="2714"/>
      <c r="P8" s="3703" t="s">
        <v>1683</v>
      </c>
      <c r="Q8" s="3702"/>
      <c r="R8" s="698" t="s">
        <v>20</v>
      </c>
      <c r="S8" s="699">
        <f t="shared" si="0"/>
        <v>100</v>
      </c>
      <c r="T8" s="698" t="s">
        <v>20</v>
      </c>
      <c r="U8" s="699">
        <f t="shared" si="1"/>
        <v>100</v>
      </c>
      <c r="V8" s="698" t="s">
        <v>20</v>
      </c>
      <c r="W8" s="699">
        <f t="shared" si="2"/>
        <v>100</v>
      </c>
      <c r="X8" s="700"/>
      <c r="Y8" s="3703" t="s">
        <v>1683</v>
      </c>
      <c r="Z8" s="3702"/>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3"/>
      <c r="M9" s="2714"/>
      <c r="N9" s="2714"/>
      <c r="O9" s="2714"/>
      <c r="P9" s="3661"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8"/>
      <c r="L10" s="2715"/>
      <c r="M10" s="2716"/>
      <c r="N10" s="2716"/>
      <c r="O10" s="2716"/>
      <c r="P10" s="3661"/>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1"/>
      <c r="Q11" s="1340" t="str">
        <f t="shared" si="6"/>
        <v>容积率</v>
      </c>
      <c r="R11" s="698" t="s">
        <v>18</v>
      </c>
      <c r="S11" s="699" t="e">
        <f t="shared" si="0"/>
        <v>#N/A</v>
      </c>
      <c r="T11" s="698" t="s">
        <v>18</v>
      </c>
      <c r="U11" s="699" t="e">
        <f t="shared" si="1"/>
        <v>#N/A</v>
      </c>
      <c r="V11" s="698" t="s">
        <v>18</v>
      </c>
      <c r="W11" s="699" t="e">
        <f t="shared" si="2"/>
        <v>#N/A</v>
      </c>
      <c r="X11" s="700"/>
      <c r="Y11" s="3554"/>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3"/>
      <c r="M12" s="2714"/>
      <c r="N12" s="2714"/>
      <c r="O12" s="2714"/>
      <c r="P12" s="3661"/>
      <c r="Q12" s="1340">
        <f t="shared" si="6"/>
        <v>111</v>
      </c>
      <c r="R12" s="698" t="s">
        <v>18</v>
      </c>
      <c r="S12" s="699">
        <f t="shared" si="0"/>
        <v>100</v>
      </c>
      <c r="T12" s="698" t="s">
        <v>18</v>
      </c>
      <c r="U12" s="699">
        <f t="shared" si="1"/>
        <v>100</v>
      </c>
      <c r="V12" s="698" t="s">
        <v>18</v>
      </c>
      <c r="W12" s="699">
        <f t="shared" si="2"/>
        <v>100</v>
      </c>
      <c r="X12" s="700"/>
      <c r="Y12" s="3554"/>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8"/>
      <c r="M13" s="2712"/>
      <c r="N13" s="2712"/>
      <c r="O13" s="2712"/>
      <c r="P13" s="3661"/>
      <c r="Q13" s="1340">
        <f t="shared" si="6"/>
        <v>111</v>
      </c>
      <c r="R13" s="698" t="s">
        <v>18</v>
      </c>
      <c r="S13" s="699">
        <f t="shared" si="0"/>
        <v>100</v>
      </c>
      <c r="T13" s="698" t="s">
        <v>18</v>
      </c>
      <c r="U13" s="699">
        <f t="shared" si="1"/>
        <v>100</v>
      </c>
      <c r="V13" s="698" t="s">
        <v>18</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8"/>
      <c r="M14" s="2712"/>
      <c r="N14" s="2712"/>
      <c r="O14" s="2712"/>
      <c r="P14" s="3661"/>
      <c r="Q14" s="1340">
        <f t="shared" si="6"/>
        <v>111</v>
      </c>
      <c r="R14" s="698" t="s">
        <v>18</v>
      </c>
      <c r="S14" s="699">
        <f t="shared" si="0"/>
        <v>100</v>
      </c>
      <c r="T14" s="698" t="s">
        <v>18</v>
      </c>
      <c r="U14" s="699">
        <f t="shared" si="1"/>
        <v>100</v>
      </c>
      <c r="V14" s="698" t="s">
        <v>18</v>
      </c>
      <c r="W14" s="699">
        <f t="shared" si="2"/>
        <v>100</v>
      </c>
      <c r="X14" s="700"/>
      <c r="Y14" s="3554"/>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67" t="s">
        <v>1691</v>
      </c>
      <c r="Q15" s="1349" t="str">
        <f t="shared" si="6"/>
        <v>居住社区成熟度</v>
      </c>
      <c r="R15" s="702" t="s">
        <v>18</v>
      </c>
      <c r="S15" s="703">
        <f t="shared" si="0"/>
        <v>100</v>
      </c>
      <c r="T15" s="702" t="s">
        <v>18</v>
      </c>
      <c r="U15" s="703">
        <f t="shared" si="1"/>
        <v>100</v>
      </c>
      <c r="V15" s="702" t="s">
        <v>18</v>
      </c>
      <c r="W15" s="703">
        <f t="shared" si="2"/>
        <v>100</v>
      </c>
      <c r="X15" s="1352"/>
      <c r="Y15" s="3669"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8"/>
      <c r="M16" s="2712"/>
      <c r="N16" s="2712"/>
      <c r="O16" s="2712"/>
      <c r="P16" s="3668"/>
      <c r="Q16" s="1349"/>
      <c r="R16" s="702"/>
      <c r="S16" s="703"/>
      <c r="T16" s="702"/>
      <c r="U16" s="703"/>
      <c r="V16" s="702"/>
      <c r="W16" s="703"/>
      <c r="X16" s="1352"/>
      <c r="Y16" s="3670"/>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68"/>
      <c r="Q17" s="1349" t="str">
        <f>B17</f>
        <v>交通便捷度</v>
      </c>
      <c r="R17" s="702" t="s">
        <v>18</v>
      </c>
      <c r="S17" s="703">
        <f>F17</f>
        <v>100</v>
      </c>
      <c r="T17" s="702" t="s">
        <v>18</v>
      </c>
      <c r="U17" s="703">
        <f>H17</f>
        <v>100</v>
      </c>
      <c r="V17" s="702" t="s">
        <v>18</v>
      </c>
      <c r="W17" s="703">
        <f>J17</f>
        <v>100</v>
      </c>
      <c r="X17" s="1352"/>
      <c r="Y17" s="3670"/>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8"/>
      <c r="M18" s="2712"/>
      <c r="N18" s="2712"/>
      <c r="O18" s="2712"/>
      <c r="P18" s="3668"/>
      <c r="Q18" s="1349"/>
      <c r="R18" s="702"/>
      <c r="S18" s="703"/>
      <c r="T18" s="702"/>
      <c r="U18" s="703"/>
      <c r="V18" s="702"/>
      <c r="W18" s="703"/>
      <c r="X18" s="1352"/>
      <c r="Y18" s="3670"/>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68"/>
      <c r="Q19" s="1349" t="str">
        <f>B19</f>
        <v>公共配套设施</v>
      </c>
      <c r="R19" s="702" t="s">
        <v>18</v>
      </c>
      <c r="S19" s="703">
        <f>F19</f>
        <v>100</v>
      </c>
      <c r="T19" s="702" t="s">
        <v>18</v>
      </c>
      <c r="U19" s="703">
        <f>H19</f>
        <v>100</v>
      </c>
      <c r="V19" s="702" t="s">
        <v>18</v>
      </c>
      <c r="W19" s="703">
        <f>J19</f>
        <v>100</v>
      </c>
      <c r="X19" s="1352"/>
      <c r="Y19" s="3670"/>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8"/>
      <c r="M20" s="2712"/>
      <c r="N20" s="2712"/>
      <c r="O20" s="2712"/>
      <c r="P20" s="3668"/>
      <c r="Q20" s="1349"/>
      <c r="R20" s="702"/>
      <c r="S20" s="703"/>
      <c r="T20" s="702"/>
      <c r="U20" s="703"/>
      <c r="V20" s="702"/>
      <c r="W20" s="703"/>
      <c r="X20" s="1352"/>
      <c r="Y20" s="3670"/>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68"/>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8"/>
      <c r="M22" s="2712"/>
      <c r="N22" s="2712"/>
      <c r="O22" s="2712"/>
      <c r="P22" s="3668"/>
      <c r="Q22" s="1349"/>
      <c r="R22" s="702"/>
      <c r="S22" s="703"/>
      <c r="T22" s="702"/>
      <c r="U22" s="703"/>
      <c r="V22" s="702"/>
      <c r="W22" s="703"/>
      <c r="X22" s="1352"/>
      <c r="Y22" s="3670"/>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68"/>
      <c r="Q23" s="1349" t="str">
        <f>B23</f>
        <v>自然及人文环境</v>
      </c>
      <c r="R23" s="702" t="s">
        <v>18</v>
      </c>
      <c r="S23" s="703">
        <f>F23</f>
        <v>100</v>
      </c>
      <c r="T23" s="702" t="s">
        <v>18</v>
      </c>
      <c r="U23" s="703">
        <f>H23</f>
        <v>100</v>
      </c>
      <c r="V23" s="702" t="s">
        <v>18</v>
      </c>
      <c r="W23" s="703">
        <f>J23</f>
        <v>100</v>
      </c>
      <c r="X23" s="1352"/>
      <c r="Y23" s="3670"/>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8"/>
      <c r="M24" s="2712"/>
      <c r="N24" s="2712"/>
      <c r="O24" s="2712"/>
      <c r="P24" s="3668"/>
      <c r="Q24" s="1349"/>
      <c r="R24" s="702"/>
      <c r="S24" s="703"/>
      <c r="T24" s="702"/>
      <c r="U24" s="703"/>
      <c r="V24" s="702"/>
      <c r="W24" s="703"/>
      <c r="X24" s="1352"/>
      <c r="Y24" s="3670"/>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8"/>
      <c r="M25" s="2712"/>
      <c r="N25" s="2712"/>
      <c r="O25" s="2712"/>
      <c r="P25" s="366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0"/>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8"/>
      <c r="M26" s="2712"/>
      <c r="N26" s="2712"/>
      <c r="O26" s="2712"/>
      <c r="P26" s="3668"/>
      <c r="Q26" s="1349" t="str">
        <f t="shared" si="11"/>
        <v>朝向</v>
      </c>
      <c r="R26" s="702" t="s">
        <v>18</v>
      </c>
      <c r="S26" s="703">
        <f t="shared" si="12"/>
        <v>100</v>
      </c>
      <c r="T26" s="702" t="s">
        <v>18</v>
      </c>
      <c r="U26" s="703">
        <f t="shared" si="13"/>
        <v>100</v>
      </c>
      <c r="V26" s="702" t="s">
        <v>18</v>
      </c>
      <c r="W26" s="703">
        <f t="shared" si="14"/>
        <v>100</v>
      </c>
      <c r="X26" s="1352"/>
      <c r="Y26" s="3670"/>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3"/>
      <c r="M27" s="2714"/>
      <c r="N27" s="2714"/>
      <c r="O27" s="2714"/>
      <c r="P27" s="3668"/>
      <c r="Q27" s="1340">
        <f t="shared" si="11"/>
        <v>111</v>
      </c>
      <c r="R27" s="698" t="s">
        <v>18</v>
      </c>
      <c r="S27" s="699">
        <f t="shared" si="12"/>
        <v>100</v>
      </c>
      <c r="T27" s="698" t="s">
        <v>18</v>
      </c>
      <c r="U27" s="699">
        <f t="shared" si="13"/>
        <v>100</v>
      </c>
      <c r="V27" s="698" t="s">
        <v>18</v>
      </c>
      <c r="W27" s="699">
        <f t="shared" si="14"/>
        <v>100</v>
      </c>
      <c r="X27" s="700"/>
      <c r="Y27" s="3670"/>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8"/>
      <c r="M28" s="2712"/>
      <c r="N28" s="2712"/>
      <c r="O28" s="2712"/>
      <c r="P28" s="3668"/>
      <c r="Q28" s="1349">
        <f t="shared" si="11"/>
        <v>111</v>
      </c>
      <c r="R28" s="702" t="s">
        <v>18</v>
      </c>
      <c r="S28" s="703">
        <f t="shared" si="12"/>
        <v>100</v>
      </c>
      <c r="T28" s="702" t="s">
        <v>18</v>
      </c>
      <c r="U28" s="703">
        <f t="shared" si="13"/>
        <v>100</v>
      </c>
      <c r="V28" s="702" t="s">
        <v>18</v>
      </c>
      <c r="W28" s="703">
        <f t="shared" si="14"/>
        <v>100</v>
      </c>
      <c r="X28" s="1352"/>
      <c r="Y28" s="3670"/>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8"/>
      <c r="M29" s="2712"/>
      <c r="N29" s="2712"/>
      <c r="O29" s="2712"/>
      <c r="P29" s="3668"/>
      <c r="Q29" s="1349">
        <f t="shared" si="11"/>
        <v>111</v>
      </c>
      <c r="R29" s="702" t="s">
        <v>18</v>
      </c>
      <c r="S29" s="703">
        <f t="shared" si="12"/>
        <v>100</v>
      </c>
      <c r="T29" s="702" t="s">
        <v>18</v>
      </c>
      <c r="U29" s="703">
        <f t="shared" si="13"/>
        <v>100</v>
      </c>
      <c r="V29" s="702" t="s">
        <v>18</v>
      </c>
      <c r="W29" s="703">
        <f t="shared" si="14"/>
        <v>100</v>
      </c>
      <c r="X29" s="1352"/>
      <c r="Y29" s="3670"/>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8"/>
      <c r="M30" s="2712"/>
      <c r="N30" s="2712"/>
      <c r="O30" s="2712"/>
      <c r="P30" s="3668"/>
      <c r="Q30" s="1349">
        <f t="shared" si="11"/>
        <v>111</v>
      </c>
      <c r="R30" s="702" t="s">
        <v>18</v>
      </c>
      <c r="S30" s="703">
        <f t="shared" si="12"/>
        <v>100</v>
      </c>
      <c r="T30" s="702" t="s">
        <v>18</v>
      </c>
      <c r="U30" s="703">
        <f t="shared" si="13"/>
        <v>100</v>
      </c>
      <c r="V30" s="702" t="s">
        <v>18</v>
      </c>
      <c r="W30" s="703">
        <f t="shared" si="14"/>
        <v>100</v>
      </c>
      <c r="X30" s="1352"/>
      <c r="Y30" s="3670"/>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8"/>
      <c r="M31" s="2712"/>
      <c r="N31" s="2712"/>
      <c r="O31" s="2712"/>
      <c r="P31" s="3668"/>
      <c r="Q31" s="1349">
        <f t="shared" si="11"/>
        <v>111</v>
      </c>
      <c r="R31" s="702" t="s">
        <v>18</v>
      </c>
      <c r="S31" s="703">
        <f t="shared" si="12"/>
        <v>100</v>
      </c>
      <c r="T31" s="702" t="s">
        <v>18</v>
      </c>
      <c r="U31" s="703">
        <f t="shared" si="13"/>
        <v>100</v>
      </c>
      <c r="V31" s="702" t="s">
        <v>18</v>
      </c>
      <c r="W31" s="703">
        <f t="shared" si="14"/>
        <v>100</v>
      </c>
      <c r="X31" s="1352"/>
      <c r="Y31" s="3670"/>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8"/>
      <c r="M32" s="2712"/>
      <c r="N32" s="2712"/>
      <c r="O32" s="2712"/>
      <c r="P32" s="3671" t="s">
        <v>1696</v>
      </c>
      <c r="Q32" s="1349" t="str">
        <f t="shared" si="11"/>
        <v>建筑类型</v>
      </c>
      <c r="R32" s="702" t="s">
        <v>18</v>
      </c>
      <c r="S32" s="703">
        <f t="shared" si="12"/>
        <v>100</v>
      </c>
      <c r="T32" s="702" t="s">
        <v>18</v>
      </c>
      <c r="U32" s="703">
        <f t="shared" si="13"/>
        <v>100</v>
      </c>
      <c r="V32" s="702" t="s">
        <v>18</v>
      </c>
      <c r="W32" s="703">
        <f t="shared" si="14"/>
        <v>100</v>
      </c>
      <c r="X32" s="1352"/>
      <c r="Y32" s="3674"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7"/>
      <c r="M33" s="2719"/>
      <c r="N33" s="2719"/>
      <c r="O33" s="2719"/>
      <c r="P33" s="3672"/>
      <c r="Q33" s="704" t="str">
        <f t="shared" si="11"/>
        <v>项目建筑规模</v>
      </c>
      <c r="R33" s="705" t="s">
        <v>18</v>
      </c>
      <c r="S33" s="706" t="e">
        <f t="shared" si="12"/>
        <v>#N/A</v>
      </c>
      <c r="T33" s="705" t="s">
        <v>18</v>
      </c>
      <c r="U33" s="706" t="e">
        <f t="shared" si="13"/>
        <v>#N/A</v>
      </c>
      <c r="V33" s="705" t="s">
        <v>18</v>
      </c>
      <c r="W33" s="706" t="e">
        <f t="shared" si="14"/>
        <v>#N/A</v>
      </c>
      <c r="X33" s="707"/>
      <c r="Y33" s="3674"/>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8"/>
      <c r="M34" s="2712"/>
      <c r="N34" s="2712"/>
      <c r="O34" s="2712"/>
      <c r="P34" s="3672"/>
      <c r="Q34" s="1349" t="str">
        <f t="shared" si="11"/>
        <v>建筑结构</v>
      </c>
      <c r="R34" s="702" t="s">
        <v>18</v>
      </c>
      <c r="S34" s="703">
        <f t="shared" si="12"/>
        <v>100</v>
      </c>
      <c r="T34" s="702" t="s">
        <v>18</v>
      </c>
      <c r="U34" s="703">
        <f t="shared" si="13"/>
        <v>100</v>
      </c>
      <c r="V34" s="702" t="s">
        <v>18</v>
      </c>
      <c r="W34" s="703">
        <f t="shared" si="14"/>
        <v>100</v>
      </c>
      <c r="X34" s="1352"/>
      <c r="Y34" s="3674"/>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8"/>
      <c r="M35" s="2712"/>
      <c r="N35" s="2712"/>
      <c r="O35" s="2712"/>
      <c r="P35" s="3672"/>
      <c r="Q35" s="1349" t="str">
        <f t="shared" si="11"/>
        <v>建筑品质</v>
      </c>
      <c r="R35" s="702" t="s">
        <v>18</v>
      </c>
      <c r="S35" s="703">
        <f t="shared" si="12"/>
        <v>100</v>
      </c>
      <c r="T35" s="702" t="s">
        <v>18</v>
      </c>
      <c r="U35" s="703">
        <f t="shared" si="13"/>
        <v>100</v>
      </c>
      <c r="V35" s="702" t="s">
        <v>18</v>
      </c>
      <c r="W35" s="703">
        <f t="shared" si="14"/>
        <v>100</v>
      </c>
      <c r="X35" s="1352"/>
      <c r="Y35" s="3674"/>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8"/>
      <c r="M36" s="2712"/>
      <c r="N36" s="2712"/>
      <c r="O36" s="2712"/>
      <c r="P36" s="3672"/>
      <c r="Q36" s="1349" t="str">
        <f t="shared" si="11"/>
        <v>公共部分装修</v>
      </c>
      <c r="R36" s="702" t="s">
        <v>18</v>
      </c>
      <c r="S36" s="703">
        <f t="shared" si="12"/>
        <v>100</v>
      </c>
      <c r="T36" s="702" t="s">
        <v>18</v>
      </c>
      <c r="U36" s="703">
        <f t="shared" si="13"/>
        <v>100</v>
      </c>
      <c r="V36" s="702" t="s">
        <v>18</v>
      </c>
      <c r="W36" s="703">
        <f t="shared" si="14"/>
        <v>100</v>
      </c>
      <c r="X36" s="1352"/>
      <c r="Y36" s="3674"/>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72"/>
      <c r="Q37" s="1340" t="str">
        <f t="shared" si="11"/>
        <v>成新度</v>
      </c>
      <c r="R37" s="698" t="s">
        <v>18</v>
      </c>
      <c r="S37" s="699" t="e">
        <f t="shared" si="12"/>
        <v>#N/A</v>
      </c>
      <c r="T37" s="698" t="s">
        <v>18</v>
      </c>
      <c r="U37" s="699" t="e">
        <f t="shared" si="13"/>
        <v>#N/A</v>
      </c>
      <c r="V37" s="698" t="s">
        <v>18</v>
      </c>
      <c r="W37" s="699" t="e">
        <f t="shared" si="14"/>
        <v>#N/A</v>
      </c>
      <c r="X37" s="700"/>
      <c r="Y37" s="3674"/>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8"/>
      <c r="M38" s="2712"/>
      <c r="N38" s="2712"/>
      <c r="O38" s="2712"/>
      <c r="P38" s="3672" t="s">
        <v>1696</v>
      </c>
      <c r="Q38" s="1349" t="str">
        <f t="shared" si="11"/>
        <v>物业管理</v>
      </c>
      <c r="R38" s="702" t="s">
        <v>18</v>
      </c>
      <c r="S38" s="703">
        <f t="shared" si="12"/>
        <v>100</v>
      </c>
      <c r="T38" s="702" t="s">
        <v>18</v>
      </c>
      <c r="U38" s="703">
        <f t="shared" si="13"/>
        <v>100</v>
      </c>
      <c r="V38" s="702" t="s">
        <v>18</v>
      </c>
      <c r="W38" s="703">
        <f t="shared" si="14"/>
        <v>100</v>
      </c>
      <c r="X38" s="1352"/>
      <c r="Y38" s="3674"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8"/>
      <c r="M39" s="2712"/>
      <c r="N39" s="2712"/>
      <c r="O39" s="2712"/>
      <c r="P39" s="3672"/>
      <c r="Q39" s="1349" t="str">
        <f t="shared" si="11"/>
        <v>市政基础设施</v>
      </c>
      <c r="R39" s="702" t="s">
        <v>18</v>
      </c>
      <c r="S39" s="703">
        <f t="shared" si="12"/>
        <v>100</v>
      </c>
      <c r="T39" s="702" t="s">
        <v>18</v>
      </c>
      <c r="U39" s="703">
        <f t="shared" si="13"/>
        <v>100</v>
      </c>
      <c r="V39" s="702" t="s">
        <v>18</v>
      </c>
      <c r="W39" s="703">
        <f t="shared" si="14"/>
        <v>100</v>
      </c>
      <c r="X39" s="1352"/>
      <c r="Y39" s="3674"/>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8"/>
      <c r="M40" s="2712"/>
      <c r="N40" s="2712"/>
      <c r="O40" s="2712"/>
      <c r="P40" s="3672"/>
      <c r="Q40" s="1349" t="str">
        <f t="shared" si="11"/>
        <v>房型</v>
      </c>
      <c r="R40" s="702" t="s">
        <v>18</v>
      </c>
      <c r="S40" s="703">
        <f t="shared" si="12"/>
        <v>100</v>
      </c>
      <c r="T40" s="702" t="s">
        <v>18</v>
      </c>
      <c r="U40" s="703">
        <f t="shared" si="13"/>
        <v>100</v>
      </c>
      <c r="V40" s="702" t="s">
        <v>18</v>
      </c>
      <c r="W40" s="703">
        <f t="shared" si="14"/>
        <v>100</v>
      </c>
      <c r="X40" s="1352"/>
      <c r="Y40" s="3674"/>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7"/>
      <c r="M41" s="2719"/>
      <c r="N41" s="2719"/>
      <c r="O41" s="2719"/>
      <c r="P41" s="3672"/>
      <c r="Q41" s="704" t="str">
        <f t="shared" si="11"/>
        <v>单套/主力户型建筑面积</v>
      </c>
      <c r="R41" s="705" t="s">
        <v>18</v>
      </c>
      <c r="S41" s="706">
        <f t="shared" si="12"/>
        <v>100</v>
      </c>
      <c r="T41" s="705" t="s">
        <v>18</v>
      </c>
      <c r="U41" s="706">
        <f t="shared" si="13"/>
        <v>100</v>
      </c>
      <c r="V41" s="705" t="s">
        <v>18</v>
      </c>
      <c r="W41" s="706">
        <f t="shared" si="14"/>
        <v>100</v>
      </c>
      <c r="X41" s="707"/>
      <c r="Y41" s="3674"/>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8"/>
      <c r="M42" s="2712"/>
      <c r="N42" s="2712"/>
      <c r="O42" s="2712"/>
      <c r="P42" s="3672"/>
      <c r="Q42" s="1349" t="str">
        <f t="shared" si="11"/>
        <v>内部装修</v>
      </c>
      <c r="R42" s="702" t="s">
        <v>18</v>
      </c>
      <c r="S42" s="703">
        <f t="shared" si="12"/>
        <v>100</v>
      </c>
      <c r="T42" s="702" t="s">
        <v>18</v>
      </c>
      <c r="U42" s="703">
        <f t="shared" si="13"/>
        <v>100</v>
      </c>
      <c r="V42" s="702" t="s">
        <v>18</v>
      </c>
      <c r="W42" s="703">
        <f t="shared" si="14"/>
        <v>100</v>
      </c>
      <c r="X42" s="1352"/>
      <c r="Y42" s="3674"/>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8"/>
      <c r="M43" s="2712"/>
      <c r="N43" s="2712"/>
      <c r="O43" s="2712"/>
      <c r="P43" s="3672"/>
      <c r="Q43" s="1349" t="str">
        <f t="shared" si="11"/>
        <v>内部装修维护情况</v>
      </c>
      <c r="R43" s="702" t="s">
        <v>18</v>
      </c>
      <c r="S43" s="703">
        <f t="shared" si="12"/>
        <v>100</v>
      </c>
      <c r="T43" s="702" t="s">
        <v>18</v>
      </c>
      <c r="U43" s="703">
        <f t="shared" si="13"/>
        <v>100</v>
      </c>
      <c r="V43" s="702" t="s">
        <v>18</v>
      </c>
      <c r="W43" s="703">
        <f t="shared" si="14"/>
        <v>100</v>
      </c>
      <c r="X43" s="1352"/>
      <c r="Y43" s="3674"/>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3"/>
      <c r="M44" s="2714"/>
      <c r="N44" s="2714"/>
      <c r="O44" s="2714"/>
      <c r="P44" s="3672"/>
      <c r="Q44" s="1340">
        <f t="shared" si="11"/>
        <v>111</v>
      </c>
      <c r="R44" s="698" t="s">
        <v>18</v>
      </c>
      <c r="S44" s="699">
        <f t="shared" si="12"/>
        <v>100</v>
      </c>
      <c r="T44" s="698" t="s">
        <v>18</v>
      </c>
      <c r="U44" s="699">
        <f t="shared" si="13"/>
        <v>100</v>
      </c>
      <c r="V44" s="698" t="s">
        <v>18</v>
      </c>
      <c r="W44" s="699">
        <f t="shared" si="14"/>
        <v>100</v>
      </c>
      <c r="X44" s="700"/>
      <c r="Y44" s="3674"/>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8"/>
      <c r="M45" s="2712"/>
      <c r="N45" s="2712"/>
      <c r="O45" s="2712"/>
      <c r="P45" s="3672"/>
      <c r="Q45" s="1349">
        <f t="shared" si="11"/>
        <v>111</v>
      </c>
      <c r="R45" s="702" t="s">
        <v>18</v>
      </c>
      <c r="S45" s="703">
        <f t="shared" si="12"/>
        <v>100</v>
      </c>
      <c r="T45" s="702" t="s">
        <v>18</v>
      </c>
      <c r="U45" s="703">
        <f t="shared" si="13"/>
        <v>100</v>
      </c>
      <c r="V45" s="702" t="s">
        <v>18</v>
      </c>
      <c r="W45" s="703">
        <f t="shared" si="14"/>
        <v>100</v>
      </c>
      <c r="X45" s="1352"/>
      <c r="Y45" s="3674"/>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8"/>
      <c r="M46" s="2712"/>
      <c r="N46" s="2712"/>
      <c r="O46" s="2712"/>
      <c r="P46" s="3673"/>
      <c r="Q46" s="1349">
        <f t="shared" si="11"/>
        <v>111</v>
      </c>
      <c r="R46" s="702" t="s">
        <v>17</v>
      </c>
      <c r="S46" s="703">
        <f t="shared" si="12"/>
        <v>100</v>
      </c>
      <c r="T46" s="702" t="s">
        <v>17</v>
      </c>
      <c r="U46" s="703">
        <f t="shared" si="13"/>
        <v>100</v>
      </c>
      <c r="V46" s="702" t="s">
        <v>17</v>
      </c>
      <c r="W46" s="703">
        <f t="shared" si="14"/>
        <v>100</v>
      </c>
      <c r="X46" s="1352"/>
      <c r="Y46" s="3675"/>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0"/>
      <c r="M47" s="2721"/>
      <c r="N47" s="2712"/>
      <c r="O47" s="2721"/>
      <c r="P47" s="3662" t="str">
        <f>A47</f>
        <v>成交单价（元/平方米）</v>
      </c>
      <c r="Q47" s="3662"/>
      <c r="R47" s="3663">
        <f>E47</f>
        <v>0</v>
      </c>
      <c r="S47" s="3663"/>
      <c r="T47" s="3663">
        <f>G47</f>
        <v>0</v>
      </c>
      <c r="U47" s="3663"/>
      <c r="V47" s="3663">
        <f>I47</f>
        <v>0</v>
      </c>
      <c r="W47" s="3663"/>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0"/>
      <c r="M48" s="2721"/>
      <c r="N48" s="2721"/>
      <c r="O48" s="2721"/>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0"/>
      <c r="M49" s="2721"/>
      <c r="N49" s="2721"/>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4"/>
    </row>
    <row r="55" spans="1:29" s="450"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2025-3</v>
      </c>
      <c r="D58" s="1182">
        <f>EDATE(C58,-1)</f>
        <v>45689</v>
      </c>
      <c r="E58" s="1182">
        <f>EDATE(D58,-1)</f>
        <v>45658</v>
      </c>
      <c r="F58" s="1182">
        <f t="shared" ref="F58:O58" si="19">EDATE(E58,-1)</f>
        <v>45627</v>
      </c>
      <c r="G58" s="1182">
        <f t="shared" si="19"/>
        <v>45597</v>
      </c>
      <c r="H58" s="1182">
        <f t="shared" si="19"/>
        <v>45566</v>
      </c>
      <c r="I58" s="1182">
        <f t="shared" si="19"/>
        <v>45536</v>
      </c>
      <c r="J58" s="1182">
        <f t="shared" si="19"/>
        <v>45505</v>
      </c>
      <c r="K58" s="1182">
        <f t="shared" si="19"/>
        <v>45474</v>
      </c>
      <c r="L58" s="1182">
        <f t="shared" si="19"/>
        <v>45444</v>
      </c>
      <c r="M58" s="1182">
        <f t="shared" si="19"/>
        <v>45413</v>
      </c>
      <c r="N58" s="1182">
        <f t="shared" si="19"/>
        <v>45383</v>
      </c>
      <c r="O58" s="1182">
        <f t="shared" si="19"/>
        <v>45352</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估价对象为北京市房地产,属开发建设的办公项目，该项目尚在开发建设中。根据《国有土地使用证》[]，估价对象（分摊）出让国有建设用地使用权面积为0平方米，规划建筑面积为817.51平方米。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2025年3月10日（评估专业人员实地查勘之日）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817.51</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696"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696"/>
      <c r="AC5" s="3709"/>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696"/>
      <c r="AC6" s="3710"/>
    </row>
    <row r="7" spans="1:29" s="108" customFormat="1" ht="15.75" thickBot="1">
      <c r="A7" s="361" t="s">
        <v>1679</v>
      </c>
      <c r="B7" s="362"/>
      <c r="C7" s="363">
        <f>'数据-取费表'!B2</f>
        <v>45726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03" t="s">
        <v>1683</v>
      </c>
      <c r="Q8" s="3702"/>
      <c r="R8" s="698" t="s">
        <v>14</v>
      </c>
      <c r="S8" s="699">
        <f t="shared" si="0"/>
        <v>100</v>
      </c>
      <c r="T8" s="698" t="s">
        <v>14</v>
      </c>
      <c r="U8" s="699">
        <f t="shared" si="1"/>
        <v>100</v>
      </c>
      <c r="V8" s="698" t="s">
        <v>14</v>
      </c>
      <c r="W8" s="699">
        <f t="shared" si="2"/>
        <v>100</v>
      </c>
      <c r="X8" s="700"/>
      <c r="Y8" s="3703" t="s">
        <v>1683</v>
      </c>
      <c r="Z8" s="3702"/>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61"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1"/>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61"/>
      <c r="Q11" s="1340" t="str">
        <f t="shared" si="6"/>
        <v>容积率</v>
      </c>
      <c r="R11" s="698" t="s">
        <v>14</v>
      </c>
      <c r="S11" s="699" t="e">
        <f t="shared" si="0"/>
        <v>#N/A</v>
      </c>
      <c r="T11" s="698" t="s">
        <v>14</v>
      </c>
      <c r="U11" s="699" t="e">
        <f t="shared" si="1"/>
        <v>#N/A</v>
      </c>
      <c r="V11" s="698" t="s">
        <v>14</v>
      </c>
      <c r="W11" s="699" t="e">
        <f t="shared" si="2"/>
        <v>#N/A</v>
      </c>
      <c r="X11" s="700"/>
      <c r="Y11" s="3554"/>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1"/>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1"/>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1"/>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67" t="s">
        <v>1691</v>
      </c>
      <c r="Q15" s="1349" t="str">
        <f t="shared" si="6"/>
        <v>商业繁华度</v>
      </c>
      <c r="R15" s="702" t="s">
        <v>14</v>
      </c>
      <c r="S15" s="703">
        <f t="shared" si="0"/>
        <v>100</v>
      </c>
      <c r="T15" s="702" t="s">
        <v>14</v>
      </c>
      <c r="U15" s="703">
        <f t="shared" si="1"/>
        <v>100</v>
      </c>
      <c r="V15" s="702" t="s">
        <v>14</v>
      </c>
      <c r="W15" s="703">
        <f t="shared" si="2"/>
        <v>100</v>
      </c>
      <c r="X15" s="1352"/>
      <c r="Y15" s="3669"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8"/>
      <c r="M16" s="2712"/>
      <c r="N16" s="2712"/>
      <c r="O16" s="2712"/>
      <c r="P16" s="3668"/>
      <c r="Q16" s="1349"/>
      <c r="R16" s="702"/>
      <c r="S16" s="703"/>
      <c r="T16" s="702"/>
      <c r="U16" s="703"/>
      <c r="V16" s="702"/>
      <c r="W16" s="703"/>
      <c r="X16" s="1352"/>
      <c r="Y16" s="3670"/>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68"/>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8"/>
      <c r="M18" s="2712"/>
      <c r="N18" s="2712"/>
      <c r="O18" s="2712"/>
      <c r="P18" s="3668"/>
      <c r="Q18" s="1349"/>
      <c r="R18" s="702"/>
      <c r="S18" s="703"/>
      <c r="T18" s="702"/>
      <c r="U18" s="703"/>
      <c r="V18" s="702"/>
      <c r="W18" s="703"/>
      <c r="X18" s="1352"/>
      <c r="Y18" s="3670"/>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68"/>
      <c r="Q19" s="1349" t="str">
        <f>B19</f>
        <v>公共配套设施</v>
      </c>
      <c r="R19" s="702" t="s">
        <v>14</v>
      </c>
      <c r="S19" s="703">
        <f>F19</f>
        <v>100</v>
      </c>
      <c r="T19" s="702" t="s">
        <v>14</v>
      </c>
      <c r="U19" s="703">
        <f>H19</f>
        <v>100</v>
      </c>
      <c r="V19" s="702" t="s">
        <v>14</v>
      </c>
      <c r="W19" s="703">
        <f>J19</f>
        <v>100</v>
      </c>
      <c r="X19" s="1352"/>
      <c r="Y19" s="3670"/>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8"/>
      <c r="M20" s="2712"/>
      <c r="N20" s="2712"/>
      <c r="O20" s="2712"/>
      <c r="P20" s="3668"/>
      <c r="Q20" s="1349"/>
      <c r="R20" s="702"/>
      <c r="S20" s="703"/>
      <c r="T20" s="702"/>
      <c r="U20" s="703"/>
      <c r="V20" s="702"/>
      <c r="W20" s="703"/>
      <c r="X20" s="1352"/>
      <c r="Y20" s="3670"/>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68"/>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8"/>
      <c r="M22" s="2712"/>
      <c r="N22" s="2712"/>
      <c r="O22" s="2712"/>
      <c r="P22" s="3668"/>
      <c r="Q22" s="1349"/>
      <c r="R22" s="702"/>
      <c r="S22" s="703"/>
      <c r="T22" s="702"/>
      <c r="U22" s="703"/>
      <c r="V22" s="702"/>
      <c r="W22" s="703"/>
      <c r="X22" s="1352"/>
      <c r="Y22" s="3670"/>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68"/>
      <c r="Q23" s="1349" t="str">
        <f>B23</f>
        <v>自然及人文环境</v>
      </c>
      <c r="R23" s="702" t="s">
        <v>14</v>
      </c>
      <c r="S23" s="703">
        <f>F23</f>
        <v>100</v>
      </c>
      <c r="T23" s="702" t="s">
        <v>14</v>
      </c>
      <c r="U23" s="703">
        <f>H23</f>
        <v>100</v>
      </c>
      <c r="V23" s="702" t="s">
        <v>14</v>
      </c>
      <c r="W23" s="703">
        <f>J23</f>
        <v>100</v>
      </c>
      <c r="X23" s="1352"/>
      <c r="Y23" s="3670"/>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8"/>
      <c r="M24" s="2712"/>
      <c r="N24" s="2712"/>
      <c r="O24" s="2712"/>
      <c r="P24" s="3668"/>
      <c r="Q24" s="1349"/>
      <c r="R24" s="702"/>
      <c r="S24" s="703"/>
      <c r="T24" s="702"/>
      <c r="U24" s="703"/>
      <c r="V24" s="702"/>
      <c r="W24" s="703"/>
      <c r="X24" s="1352"/>
      <c r="Y24" s="3670"/>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68"/>
      <c r="Q25" s="1349" t="str">
        <f t="shared" ref="Q25:Q46" si="11">B25</f>
        <v>临街状况</v>
      </c>
      <c r="R25" s="702" t="s">
        <v>14</v>
      </c>
      <c r="S25" s="703">
        <f>F25</f>
        <v>100</v>
      </c>
      <c r="T25" s="702" t="s">
        <v>14</v>
      </c>
      <c r="U25" s="703">
        <f>H25</f>
        <v>100</v>
      </c>
      <c r="V25" s="702" t="s">
        <v>14</v>
      </c>
      <c r="W25" s="703">
        <f>J25</f>
        <v>100</v>
      </c>
      <c r="X25" s="1352"/>
      <c r="Y25" s="3670"/>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68"/>
      <c r="Q26" s="1349" t="str">
        <f t="shared" si="11"/>
        <v>平面位置/可视性</v>
      </c>
      <c r="R26" s="702" t="s">
        <v>14</v>
      </c>
      <c r="S26" s="703">
        <f>F26</f>
        <v>100</v>
      </c>
      <c r="T26" s="702" t="s">
        <v>14</v>
      </c>
      <c r="U26" s="703">
        <f>H26</f>
        <v>100</v>
      </c>
      <c r="V26" s="702" t="s">
        <v>14</v>
      </c>
      <c r="W26" s="703">
        <f>J26</f>
        <v>100</v>
      </c>
      <c r="X26" s="1352"/>
      <c r="Y26" s="3670"/>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3"/>
      <c r="M27" s="2714"/>
      <c r="N27" s="2714"/>
      <c r="O27" s="2714"/>
      <c r="P27" s="3668"/>
      <c r="Q27" s="1340" t="str">
        <f t="shared" si="11"/>
        <v>人流量</v>
      </c>
      <c r="R27" s="698" t="s">
        <v>14</v>
      </c>
      <c r="S27" s="699">
        <f>F27</f>
        <v>100</v>
      </c>
      <c r="T27" s="698" t="s">
        <v>14</v>
      </c>
      <c r="U27" s="699">
        <f>H27</f>
        <v>100</v>
      </c>
      <c r="V27" s="698" t="s">
        <v>14</v>
      </c>
      <c r="W27" s="699">
        <f>J27</f>
        <v>100</v>
      </c>
      <c r="X27" s="700"/>
      <c r="Y27" s="3670"/>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6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70"/>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68"/>
      <c r="Q29" s="1349">
        <f t="shared" si="11"/>
        <v>111</v>
      </c>
      <c r="R29" s="702" t="s">
        <v>14</v>
      </c>
      <c r="S29" s="703">
        <f t="shared" si="12"/>
        <v>100</v>
      </c>
      <c r="T29" s="702" t="s">
        <v>14</v>
      </c>
      <c r="U29" s="703">
        <f t="shared" si="13"/>
        <v>100</v>
      </c>
      <c r="V29" s="702" t="s">
        <v>14</v>
      </c>
      <c r="W29" s="703">
        <f t="shared" si="14"/>
        <v>100</v>
      </c>
      <c r="X29" s="1352"/>
      <c r="Y29" s="3670"/>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68"/>
      <c r="Q30" s="1349">
        <f t="shared" si="11"/>
        <v>111</v>
      </c>
      <c r="R30" s="702" t="s">
        <v>14</v>
      </c>
      <c r="S30" s="703">
        <f t="shared" si="12"/>
        <v>100</v>
      </c>
      <c r="T30" s="702" t="s">
        <v>14</v>
      </c>
      <c r="U30" s="703">
        <f t="shared" si="13"/>
        <v>100</v>
      </c>
      <c r="V30" s="702" t="s">
        <v>14</v>
      </c>
      <c r="W30" s="703">
        <f t="shared" si="14"/>
        <v>100</v>
      </c>
      <c r="X30" s="1352"/>
      <c r="Y30" s="3670"/>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68"/>
      <c r="Q31" s="1349">
        <f t="shared" si="11"/>
        <v>111</v>
      </c>
      <c r="R31" s="702" t="s">
        <v>14</v>
      </c>
      <c r="S31" s="703">
        <f t="shared" si="12"/>
        <v>100</v>
      </c>
      <c r="T31" s="702" t="s">
        <v>14</v>
      </c>
      <c r="U31" s="703">
        <f t="shared" si="13"/>
        <v>100</v>
      </c>
      <c r="V31" s="702" t="s">
        <v>14</v>
      </c>
      <c r="W31" s="703">
        <f t="shared" si="14"/>
        <v>100</v>
      </c>
      <c r="X31" s="1352"/>
      <c r="Y31" s="3670"/>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8"/>
      <c r="M32" s="2712"/>
      <c r="N32" s="2712"/>
      <c r="O32" s="2712"/>
      <c r="P32" s="3671" t="s">
        <v>1696</v>
      </c>
      <c r="Q32" s="1349" t="str">
        <f t="shared" si="11"/>
        <v>商业类型</v>
      </c>
      <c r="R32" s="702" t="s">
        <v>14</v>
      </c>
      <c r="S32" s="703">
        <f t="shared" si="12"/>
        <v>100</v>
      </c>
      <c r="T32" s="702" t="s">
        <v>14</v>
      </c>
      <c r="U32" s="703">
        <f t="shared" si="13"/>
        <v>100</v>
      </c>
      <c r="V32" s="702" t="s">
        <v>14</v>
      </c>
      <c r="W32" s="703">
        <f t="shared" si="14"/>
        <v>100</v>
      </c>
      <c r="X32" s="1352"/>
      <c r="Y32" s="3674"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72"/>
      <c r="Q33" s="704" t="str">
        <f t="shared" si="11"/>
        <v>项目建筑规模</v>
      </c>
      <c r="R33" s="705" t="s">
        <v>14</v>
      </c>
      <c r="S33" s="706" t="e">
        <f t="shared" si="12"/>
        <v>#N/A</v>
      </c>
      <c r="T33" s="705" t="s">
        <v>14</v>
      </c>
      <c r="U33" s="706" t="e">
        <f t="shared" si="13"/>
        <v>#N/A</v>
      </c>
      <c r="V33" s="705" t="s">
        <v>14</v>
      </c>
      <c r="W33" s="706" t="e">
        <f t="shared" si="14"/>
        <v>#N/A</v>
      </c>
      <c r="X33" s="707"/>
      <c r="Y33" s="3674"/>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8"/>
      <c r="M34" s="2712"/>
      <c r="N34" s="2712"/>
      <c r="O34" s="2712"/>
      <c r="P34" s="3672"/>
      <c r="Q34" s="1349" t="str">
        <f t="shared" si="11"/>
        <v>建筑结构</v>
      </c>
      <c r="R34" s="702" t="s">
        <v>14</v>
      </c>
      <c r="S34" s="703">
        <f t="shared" si="12"/>
        <v>100</v>
      </c>
      <c r="T34" s="702" t="s">
        <v>14</v>
      </c>
      <c r="U34" s="703">
        <f t="shared" si="13"/>
        <v>100</v>
      </c>
      <c r="V34" s="702" t="s">
        <v>14</v>
      </c>
      <c r="W34" s="703">
        <f t="shared" si="14"/>
        <v>100</v>
      </c>
      <c r="X34" s="1352"/>
      <c r="Y34" s="3674"/>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8"/>
      <c r="M35" s="2712"/>
      <c r="N35" s="2712"/>
      <c r="O35" s="2712"/>
      <c r="P35" s="3672"/>
      <c r="Q35" s="1349" t="str">
        <f t="shared" si="11"/>
        <v>公共部分装修</v>
      </c>
      <c r="R35" s="702" t="s">
        <v>14</v>
      </c>
      <c r="S35" s="703">
        <f t="shared" si="12"/>
        <v>100</v>
      </c>
      <c r="T35" s="702" t="s">
        <v>14</v>
      </c>
      <c r="U35" s="703">
        <f t="shared" si="13"/>
        <v>100</v>
      </c>
      <c r="V35" s="702" t="s">
        <v>14</v>
      </c>
      <c r="W35" s="703">
        <f t="shared" si="14"/>
        <v>100</v>
      </c>
      <c r="X35" s="1352"/>
      <c r="Y35" s="3674"/>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72"/>
      <c r="Q36" s="1349" t="str">
        <f t="shared" si="11"/>
        <v>成新度</v>
      </c>
      <c r="R36" s="702" t="s">
        <v>14</v>
      </c>
      <c r="S36" s="703" t="e">
        <f t="shared" si="12"/>
        <v>#N/A</v>
      </c>
      <c r="T36" s="702" t="s">
        <v>14</v>
      </c>
      <c r="U36" s="703" t="e">
        <f t="shared" si="13"/>
        <v>#N/A</v>
      </c>
      <c r="V36" s="702" t="s">
        <v>14</v>
      </c>
      <c r="W36" s="703" t="e">
        <f t="shared" si="14"/>
        <v>#N/A</v>
      </c>
      <c r="X36" s="1352"/>
      <c r="Y36" s="3674"/>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3"/>
      <c r="M37" s="2714"/>
      <c r="N37" s="2714"/>
      <c r="O37" s="2714"/>
      <c r="P37" s="3672"/>
      <c r="Q37" s="1340" t="str">
        <f t="shared" si="11"/>
        <v>市政基础设施</v>
      </c>
      <c r="R37" s="698" t="s">
        <v>14</v>
      </c>
      <c r="S37" s="699">
        <f t="shared" si="12"/>
        <v>100</v>
      </c>
      <c r="T37" s="698" t="s">
        <v>14</v>
      </c>
      <c r="U37" s="699">
        <f t="shared" si="13"/>
        <v>100</v>
      </c>
      <c r="V37" s="698" t="s">
        <v>14</v>
      </c>
      <c r="W37" s="699">
        <f t="shared" si="14"/>
        <v>100</v>
      </c>
      <c r="X37" s="700"/>
      <c r="Y37" s="3674"/>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8"/>
      <c r="M38" s="2712"/>
      <c r="N38" s="2712"/>
      <c r="O38" s="2712"/>
      <c r="P38" s="3672" t="s">
        <v>1696</v>
      </c>
      <c r="Q38" s="1349" t="str">
        <f t="shared" si="11"/>
        <v>业态</v>
      </c>
      <c r="R38" s="702" t="s">
        <v>14</v>
      </c>
      <c r="S38" s="703">
        <f t="shared" si="12"/>
        <v>100</v>
      </c>
      <c r="T38" s="702" t="s">
        <v>14</v>
      </c>
      <c r="U38" s="703">
        <f t="shared" si="13"/>
        <v>100</v>
      </c>
      <c r="V38" s="702" t="s">
        <v>14</v>
      </c>
      <c r="W38" s="703">
        <f t="shared" si="14"/>
        <v>100</v>
      </c>
      <c r="X38" s="1352"/>
      <c r="Y38" s="3674"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8"/>
      <c r="M39" s="2712"/>
      <c r="N39" s="2712"/>
      <c r="O39" s="2712"/>
      <c r="P39" s="3672"/>
      <c r="Q39" s="1349" t="str">
        <f t="shared" si="11"/>
        <v>层高</v>
      </c>
      <c r="R39" s="702" t="s">
        <v>14</v>
      </c>
      <c r="S39" s="703">
        <f t="shared" si="12"/>
        <v>100</v>
      </c>
      <c r="T39" s="702" t="s">
        <v>14</v>
      </c>
      <c r="U39" s="703">
        <f t="shared" si="13"/>
        <v>100</v>
      </c>
      <c r="V39" s="702" t="s">
        <v>14</v>
      </c>
      <c r="W39" s="703">
        <f t="shared" si="14"/>
        <v>100</v>
      </c>
      <c r="X39" s="1352"/>
      <c r="Y39" s="3674"/>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72"/>
      <c r="Q40" s="1349" t="str">
        <f t="shared" si="11"/>
        <v>单套建筑面积</v>
      </c>
      <c r="R40" s="702" t="s">
        <v>14</v>
      </c>
      <c r="S40" s="703">
        <f t="shared" si="12"/>
        <v>100</v>
      </c>
      <c r="T40" s="702" t="s">
        <v>14</v>
      </c>
      <c r="U40" s="703">
        <f t="shared" si="13"/>
        <v>100</v>
      </c>
      <c r="V40" s="702" t="s">
        <v>14</v>
      </c>
      <c r="W40" s="703">
        <f t="shared" si="14"/>
        <v>100</v>
      </c>
      <c r="X40" s="1352"/>
      <c r="Y40" s="3674"/>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72"/>
      <c r="Q41" s="704" t="str">
        <f t="shared" si="11"/>
        <v>进深比</v>
      </c>
      <c r="R41" s="705" t="s">
        <v>14</v>
      </c>
      <c r="S41" s="706">
        <f t="shared" si="12"/>
        <v>100</v>
      </c>
      <c r="T41" s="705" t="s">
        <v>14</v>
      </c>
      <c r="U41" s="706">
        <f t="shared" si="13"/>
        <v>100</v>
      </c>
      <c r="V41" s="705" t="s">
        <v>14</v>
      </c>
      <c r="W41" s="706">
        <f t="shared" si="14"/>
        <v>100</v>
      </c>
      <c r="X41" s="707"/>
      <c r="Y41" s="3674"/>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8"/>
      <c r="M42" s="2712"/>
      <c r="N42" s="2712"/>
      <c r="O42" s="2712"/>
      <c r="P42" s="3672"/>
      <c r="Q42" s="1349" t="str">
        <f t="shared" si="11"/>
        <v>内部装修</v>
      </c>
      <c r="R42" s="702" t="s">
        <v>14</v>
      </c>
      <c r="S42" s="703">
        <f t="shared" si="12"/>
        <v>100</v>
      </c>
      <c r="T42" s="702" t="s">
        <v>14</v>
      </c>
      <c r="U42" s="703">
        <f t="shared" si="13"/>
        <v>100</v>
      </c>
      <c r="V42" s="702" t="s">
        <v>14</v>
      </c>
      <c r="W42" s="703">
        <f t="shared" si="14"/>
        <v>100</v>
      </c>
      <c r="X42" s="1352"/>
      <c r="Y42" s="3674"/>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8"/>
      <c r="M43" s="2712"/>
      <c r="N43" s="2712"/>
      <c r="O43" s="2712"/>
      <c r="P43" s="3672"/>
      <c r="Q43" s="1349" t="str">
        <f t="shared" si="11"/>
        <v>内部装修维护情况</v>
      </c>
      <c r="R43" s="702" t="s">
        <v>14</v>
      </c>
      <c r="S43" s="703">
        <f t="shared" si="12"/>
        <v>100</v>
      </c>
      <c r="T43" s="702" t="s">
        <v>14</v>
      </c>
      <c r="U43" s="703">
        <f t="shared" si="13"/>
        <v>100</v>
      </c>
      <c r="V43" s="702" t="s">
        <v>14</v>
      </c>
      <c r="W43" s="703">
        <f t="shared" si="14"/>
        <v>100</v>
      </c>
      <c r="X43" s="1352"/>
      <c r="Y43" s="3674"/>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72"/>
      <c r="Q44" s="1340">
        <f t="shared" si="11"/>
        <v>111</v>
      </c>
      <c r="R44" s="698" t="s">
        <v>14</v>
      </c>
      <c r="S44" s="699">
        <f t="shared" si="12"/>
        <v>100</v>
      </c>
      <c r="T44" s="698" t="s">
        <v>14</v>
      </c>
      <c r="U44" s="699">
        <f t="shared" si="13"/>
        <v>100</v>
      </c>
      <c r="V44" s="698" t="s">
        <v>14</v>
      </c>
      <c r="W44" s="699">
        <f t="shared" si="14"/>
        <v>100</v>
      </c>
      <c r="X44" s="700"/>
      <c r="Y44" s="3674"/>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72"/>
      <c r="Q45" s="1349">
        <f t="shared" si="11"/>
        <v>111</v>
      </c>
      <c r="R45" s="702" t="s">
        <v>14</v>
      </c>
      <c r="S45" s="703">
        <f t="shared" si="12"/>
        <v>100</v>
      </c>
      <c r="T45" s="702" t="s">
        <v>14</v>
      </c>
      <c r="U45" s="703">
        <f t="shared" si="13"/>
        <v>100</v>
      </c>
      <c r="V45" s="702" t="s">
        <v>14</v>
      </c>
      <c r="W45" s="703">
        <f t="shared" si="14"/>
        <v>100</v>
      </c>
      <c r="X45" s="1352"/>
      <c r="Y45" s="3674"/>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73"/>
      <c r="Q46" s="1349">
        <f t="shared" si="11"/>
        <v>111</v>
      </c>
      <c r="R46" s="702" t="s">
        <v>14</v>
      </c>
      <c r="S46" s="703">
        <f t="shared" si="12"/>
        <v>100</v>
      </c>
      <c r="T46" s="702" t="s">
        <v>14</v>
      </c>
      <c r="U46" s="703">
        <f t="shared" si="13"/>
        <v>100</v>
      </c>
      <c r="V46" s="702" t="s">
        <v>14</v>
      </c>
      <c r="W46" s="703">
        <f t="shared" si="14"/>
        <v>100</v>
      </c>
      <c r="X46" s="1352"/>
      <c r="Y46" s="3675"/>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0"/>
      <c r="M47" s="2721"/>
      <c r="N47" s="2712"/>
      <c r="O47" s="2721"/>
      <c r="P47" s="3662" t="str">
        <f>A47</f>
        <v>成交单价（元/平方米）</v>
      </c>
      <c r="Q47" s="3662"/>
      <c r="R47" s="3696">
        <f>E47</f>
        <v>0</v>
      </c>
      <c r="S47" s="3696"/>
      <c r="T47" s="3696">
        <f>G47</f>
        <v>0</v>
      </c>
      <c r="U47" s="3696"/>
      <c r="V47" s="3696">
        <f>I47</f>
        <v>0</v>
      </c>
      <c r="W47" s="3696"/>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0"/>
      <c r="M48" s="2721"/>
      <c r="N48" s="2712"/>
      <c r="O48" s="2721"/>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0"/>
      <c r="M49" s="2721"/>
      <c r="N49" s="2712"/>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2025-3</v>
      </c>
      <c r="D58" s="1182">
        <f>EDATE(C58,-1)</f>
        <v>45689</v>
      </c>
      <c r="E58" s="1182">
        <f t="shared" ref="E58:N58" si="16">EDATE(D58,-1)</f>
        <v>45658</v>
      </c>
      <c r="F58" s="1182">
        <f t="shared" si="16"/>
        <v>45627</v>
      </c>
      <c r="G58" s="1182">
        <f t="shared" si="16"/>
        <v>45597</v>
      </c>
      <c r="H58" s="1182">
        <f t="shared" si="16"/>
        <v>45566</v>
      </c>
      <c r="I58" s="1182">
        <f t="shared" si="16"/>
        <v>45536</v>
      </c>
      <c r="J58" s="1182">
        <f t="shared" si="16"/>
        <v>45505</v>
      </c>
      <c r="K58" s="1182">
        <f t="shared" si="16"/>
        <v>45474</v>
      </c>
      <c r="L58" s="1182">
        <f t="shared" si="16"/>
        <v>45444</v>
      </c>
      <c r="M58" s="1182">
        <f t="shared" si="16"/>
        <v>45413</v>
      </c>
      <c r="N58" s="1182">
        <f t="shared" si="16"/>
        <v>45383</v>
      </c>
      <c r="O58" s="1182">
        <f>EDATE(N58,-1)</f>
        <v>45352</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4"/>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5"/>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817.51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910"/>
      <c r="M4" s="911"/>
      <c r="N4" s="911"/>
      <c r="O4" s="911"/>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910"/>
      <c r="M5" s="911"/>
      <c r="N5" s="911"/>
      <c r="O5" s="911"/>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558" t="s">
        <v>1678</v>
      </c>
      <c r="L6" s="910"/>
      <c r="M6" s="911"/>
      <c r="N6" s="911"/>
      <c r="O6" s="911"/>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45726</v>
      </c>
      <c r="D7" s="364">
        <v>100</v>
      </c>
      <c r="E7" s="365"/>
      <c r="F7" s="366">
        <f>SUMIF(52:52,YEAR(E7)&amp;"-"&amp;MONTH(E7),53:53)</f>
        <v>0</v>
      </c>
      <c r="G7" s="365"/>
      <c r="H7" s="364">
        <f>SUMIF(52:52,YEAR(G7)&amp;"-"&amp;MONTH(G7),53:53)</f>
        <v>0</v>
      </c>
      <c r="I7" s="365"/>
      <c r="J7" s="364">
        <f>SUMIF(52:52,YEAR(I7)&amp;"-"&amp;MONTH(I7),53:53)</f>
        <v>0</v>
      </c>
      <c r="K7" s="559"/>
      <c r="L7" s="912"/>
      <c r="M7" s="913"/>
      <c r="N7" s="913"/>
      <c r="O7" s="913"/>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03" t="s">
        <v>1683</v>
      </c>
      <c r="Q8" s="3702"/>
      <c r="R8" s="698" t="s">
        <v>14</v>
      </c>
      <c r="S8" s="699">
        <f t="shared" si="0"/>
        <v>100</v>
      </c>
      <c r="T8" s="698" t="s">
        <v>14</v>
      </c>
      <c r="U8" s="699">
        <f t="shared" si="1"/>
        <v>100</v>
      </c>
      <c r="V8" s="698" t="s">
        <v>14</v>
      </c>
      <c r="W8" s="699">
        <f t="shared" si="2"/>
        <v>100</v>
      </c>
      <c r="X8" s="700"/>
      <c r="Y8" s="3703" t="s">
        <v>1683</v>
      </c>
      <c r="Z8" s="3702"/>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662"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5"/>
      <c r="M10" s="916"/>
      <c r="N10" s="916"/>
      <c r="O10" s="917"/>
      <c r="P10" s="3662"/>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62"/>
      <c r="Q11" s="1340" t="str">
        <f t="shared" si="6"/>
        <v>容积率</v>
      </c>
      <c r="R11" s="698" t="s">
        <v>14</v>
      </c>
      <c r="S11" s="699">
        <f t="shared" si="0"/>
        <v>100</v>
      </c>
      <c r="T11" s="698" t="s">
        <v>14</v>
      </c>
      <c r="U11" s="699">
        <f t="shared" si="1"/>
        <v>100</v>
      </c>
      <c r="V11" s="698" t="s">
        <v>14</v>
      </c>
      <c r="W11" s="699">
        <f t="shared" si="2"/>
        <v>100</v>
      </c>
      <c r="X11" s="700"/>
      <c r="Y11" s="3554"/>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62"/>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69" t="s">
        <v>1691</v>
      </c>
      <c r="Q15" s="1349" t="str">
        <f t="shared" si="6"/>
        <v>产业集聚程度</v>
      </c>
      <c r="R15" s="702" t="s">
        <v>14</v>
      </c>
      <c r="S15" s="703">
        <f t="shared" si="0"/>
        <v>100</v>
      </c>
      <c r="T15" s="702" t="s">
        <v>14</v>
      </c>
      <c r="U15" s="703">
        <f t="shared" si="1"/>
        <v>100</v>
      </c>
      <c r="V15" s="702" t="s">
        <v>14</v>
      </c>
      <c r="W15" s="703">
        <f t="shared" si="2"/>
        <v>100</v>
      </c>
      <c r="X15" s="1352"/>
      <c r="Y15" s="3669"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670"/>
      <c r="Q16" s="1349"/>
      <c r="R16" s="702"/>
      <c r="S16" s="703"/>
      <c r="T16" s="702"/>
      <c r="U16" s="703"/>
      <c r="V16" s="702"/>
      <c r="W16" s="703"/>
      <c r="X16" s="1352"/>
      <c r="Y16" s="3670"/>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70"/>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670"/>
      <c r="Q18" s="1349"/>
      <c r="R18" s="702"/>
      <c r="S18" s="703"/>
      <c r="T18" s="702"/>
      <c r="U18" s="703"/>
      <c r="V18" s="702"/>
      <c r="W18" s="703"/>
      <c r="X18" s="1352"/>
      <c r="Y18" s="3670"/>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70"/>
      <c r="Q19" s="1349" t="str">
        <f>B19</f>
        <v>公共配套设施</v>
      </c>
      <c r="R19" s="702" t="s">
        <v>14</v>
      </c>
      <c r="S19" s="703">
        <f>F19</f>
        <v>100</v>
      </c>
      <c r="T19" s="702" t="s">
        <v>14</v>
      </c>
      <c r="U19" s="703">
        <f>H19</f>
        <v>100</v>
      </c>
      <c r="V19" s="702" t="s">
        <v>14</v>
      </c>
      <c r="W19" s="703">
        <f>J19</f>
        <v>100</v>
      </c>
      <c r="X19" s="1352"/>
      <c r="Y19" s="3670"/>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670"/>
      <c r="Q20" s="1349"/>
      <c r="R20" s="702"/>
      <c r="S20" s="703"/>
      <c r="T20" s="702"/>
      <c r="U20" s="703"/>
      <c r="V20" s="702"/>
      <c r="W20" s="703"/>
      <c r="X20" s="1352"/>
      <c r="Y20" s="3670"/>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70"/>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670"/>
      <c r="Q22" s="1349"/>
      <c r="R22" s="702"/>
      <c r="S22" s="703"/>
      <c r="T22" s="702"/>
      <c r="U22" s="703"/>
      <c r="V22" s="702"/>
      <c r="W22" s="703"/>
      <c r="X22" s="1352"/>
      <c r="Y22" s="3670"/>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70"/>
      <c r="Q23" s="1349" t="str">
        <f>B23</f>
        <v>环境质量</v>
      </c>
      <c r="R23" s="702" t="s">
        <v>14</v>
      </c>
      <c r="S23" s="703">
        <f>F23</f>
        <v>100</v>
      </c>
      <c r="T23" s="702" t="s">
        <v>14</v>
      </c>
      <c r="U23" s="703">
        <f>H23</f>
        <v>100</v>
      </c>
      <c r="V23" s="702" t="s">
        <v>14</v>
      </c>
      <c r="W23" s="703">
        <f>J23</f>
        <v>100</v>
      </c>
      <c r="X23" s="1352"/>
      <c r="Y23" s="3670"/>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670"/>
      <c r="Q24" s="1349"/>
      <c r="R24" s="702"/>
      <c r="S24" s="703"/>
      <c r="T24" s="702"/>
      <c r="U24" s="703"/>
      <c r="V24" s="702"/>
      <c r="W24" s="703"/>
      <c r="X24" s="1352"/>
      <c r="Y24" s="3670"/>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70"/>
      <c r="Q25" s="1349">
        <f>B25</f>
        <v>111</v>
      </c>
      <c r="R25" s="702" t="s">
        <v>14</v>
      </c>
      <c r="S25" s="703">
        <f>F25</f>
        <v>100</v>
      </c>
      <c r="T25" s="702" t="s">
        <v>14</v>
      </c>
      <c r="U25" s="703">
        <f>H25</f>
        <v>100</v>
      </c>
      <c r="V25" s="702" t="s">
        <v>14</v>
      </c>
      <c r="W25" s="703">
        <f>J25</f>
        <v>100</v>
      </c>
      <c r="X25" s="1352"/>
      <c r="Y25" s="3670"/>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70"/>
      <c r="Q26" s="1349">
        <f t="shared" ref="Q26:Q40" si="11">B26</f>
        <v>111</v>
      </c>
      <c r="R26" s="702" t="s">
        <v>14</v>
      </c>
      <c r="S26" s="703">
        <f>F26</f>
        <v>100</v>
      </c>
      <c r="T26" s="702" t="s">
        <v>14</v>
      </c>
      <c r="U26" s="703">
        <f>H26</f>
        <v>100</v>
      </c>
      <c r="V26" s="702" t="s">
        <v>14</v>
      </c>
      <c r="W26" s="703">
        <f>J26</f>
        <v>100</v>
      </c>
      <c r="X26" s="1352"/>
      <c r="Y26" s="3670"/>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70"/>
      <c r="Q27" s="1340">
        <f t="shared" si="11"/>
        <v>111</v>
      </c>
      <c r="R27" s="698" t="s">
        <v>14</v>
      </c>
      <c r="S27" s="699">
        <f>F27</f>
        <v>100</v>
      </c>
      <c r="T27" s="698" t="s">
        <v>14</v>
      </c>
      <c r="U27" s="699">
        <f>H27</f>
        <v>100</v>
      </c>
      <c r="V27" s="698" t="s">
        <v>14</v>
      </c>
      <c r="W27" s="699">
        <f>J27</f>
        <v>100</v>
      </c>
      <c r="X27" s="700"/>
      <c r="Y27" s="3670"/>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70"/>
      <c r="Q28" s="1349">
        <f t="shared" si="11"/>
        <v>111</v>
      </c>
      <c r="R28" s="702" t="s">
        <v>14</v>
      </c>
      <c r="S28" s="703">
        <f t="shared" ref="S28:S40" si="12">F28</f>
        <v>100</v>
      </c>
      <c r="T28" s="702" t="s">
        <v>14</v>
      </c>
      <c r="U28" s="703">
        <f t="shared" ref="U28:U40" si="13">H28</f>
        <v>100</v>
      </c>
      <c r="V28" s="702" t="s">
        <v>14</v>
      </c>
      <c r="W28" s="703">
        <f t="shared" ref="W28:W40" si="14">J28</f>
        <v>100</v>
      </c>
      <c r="X28" s="1352"/>
      <c r="Y28" s="3670"/>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45" t="s">
        <v>1696</v>
      </c>
      <c r="Q29" s="1349" t="str">
        <f t="shared" si="11"/>
        <v>建筑类型</v>
      </c>
      <c r="R29" s="702" t="s">
        <v>14</v>
      </c>
      <c r="S29" s="703">
        <f t="shared" si="12"/>
        <v>100</v>
      </c>
      <c r="T29" s="702" t="s">
        <v>14</v>
      </c>
      <c r="U29" s="703">
        <f t="shared" si="13"/>
        <v>100</v>
      </c>
      <c r="V29" s="702" t="s">
        <v>14</v>
      </c>
      <c r="W29" s="703">
        <f t="shared" si="14"/>
        <v>100</v>
      </c>
      <c r="X29" s="1352"/>
      <c r="Y29" s="3674"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674"/>
      <c r="Q30" s="704" t="str">
        <f t="shared" si="11"/>
        <v>项目建筑规模</v>
      </c>
      <c r="R30" s="705" t="s">
        <v>14</v>
      </c>
      <c r="S30" s="706" t="e">
        <f t="shared" si="12"/>
        <v>#N/A</v>
      </c>
      <c r="T30" s="705" t="s">
        <v>14</v>
      </c>
      <c r="U30" s="706" t="e">
        <f t="shared" si="13"/>
        <v>#N/A</v>
      </c>
      <c r="V30" s="705" t="s">
        <v>14</v>
      </c>
      <c r="W30" s="706" t="e">
        <f t="shared" si="14"/>
        <v>#N/A</v>
      </c>
      <c r="X30" s="707"/>
      <c r="Y30" s="3674"/>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674"/>
      <c r="Q31" s="1349" t="str">
        <f t="shared" si="11"/>
        <v>建筑结构</v>
      </c>
      <c r="R31" s="702" t="s">
        <v>14</v>
      </c>
      <c r="S31" s="703">
        <f t="shared" si="12"/>
        <v>100</v>
      </c>
      <c r="T31" s="702" t="s">
        <v>14</v>
      </c>
      <c r="U31" s="703">
        <f t="shared" si="13"/>
        <v>100</v>
      </c>
      <c r="V31" s="702" t="s">
        <v>14</v>
      </c>
      <c r="W31" s="703">
        <f t="shared" si="14"/>
        <v>100</v>
      </c>
      <c r="X31" s="1352"/>
      <c r="Y31" s="3674"/>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74"/>
      <c r="Q32" s="1349" t="str">
        <f t="shared" si="11"/>
        <v>公共部分装修</v>
      </c>
      <c r="R32" s="702" t="s">
        <v>14</v>
      </c>
      <c r="S32" s="703">
        <f t="shared" si="12"/>
        <v>100</v>
      </c>
      <c r="T32" s="702" t="s">
        <v>14</v>
      </c>
      <c r="U32" s="703">
        <f t="shared" si="13"/>
        <v>100</v>
      </c>
      <c r="V32" s="702" t="s">
        <v>14</v>
      </c>
      <c r="W32" s="703">
        <f t="shared" si="14"/>
        <v>100</v>
      </c>
      <c r="X32" s="1352"/>
      <c r="Y32" s="3674"/>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674"/>
      <c r="Q33" s="1349" t="str">
        <f t="shared" si="11"/>
        <v>成新度</v>
      </c>
      <c r="R33" s="702" t="s">
        <v>14</v>
      </c>
      <c r="S33" s="703" t="e">
        <f t="shared" si="12"/>
        <v>#N/A</v>
      </c>
      <c r="T33" s="702" t="s">
        <v>14</v>
      </c>
      <c r="U33" s="703" t="e">
        <f t="shared" si="13"/>
        <v>#N/A</v>
      </c>
      <c r="V33" s="702" t="s">
        <v>14</v>
      </c>
      <c r="W33" s="703" t="e">
        <f t="shared" si="14"/>
        <v>#N/A</v>
      </c>
      <c r="X33" s="1352"/>
      <c r="Y33" s="3674"/>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674"/>
      <c r="Q34" s="1340" t="str">
        <f t="shared" si="11"/>
        <v>物业管理</v>
      </c>
      <c r="R34" s="698" t="s">
        <v>14</v>
      </c>
      <c r="S34" s="699">
        <f t="shared" si="12"/>
        <v>100</v>
      </c>
      <c r="T34" s="698" t="s">
        <v>14</v>
      </c>
      <c r="U34" s="699">
        <f t="shared" si="13"/>
        <v>100</v>
      </c>
      <c r="V34" s="698" t="s">
        <v>14</v>
      </c>
      <c r="W34" s="699">
        <f t="shared" si="14"/>
        <v>100</v>
      </c>
      <c r="X34" s="700"/>
      <c r="Y34" s="3674"/>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674" t="s">
        <v>1696</v>
      </c>
      <c r="Q35" s="1349" t="str">
        <f t="shared" si="11"/>
        <v>市政基础设施</v>
      </c>
      <c r="R35" s="702" t="s">
        <v>14</v>
      </c>
      <c r="S35" s="703">
        <f t="shared" si="12"/>
        <v>100</v>
      </c>
      <c r="T35" s="702" t="s">
        <v>14</v>
      </c>
      <c r="U35" s="703">
        <f t="shared" si="13"/>
        <v>100</v>
      </c>
      <c r="V35" s="702" t="s">
        <v>14</v>
      </c>
      <c r="W35" s="703">
        <f t="shared" si="14"/>
        <v>100</v>
      </c>
      <c r="X35" s="1352"/>
      <c r="Y35" s="3674"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674"/>
      <c r="Q36" s="1349" t="str">
        <f t="shared" si="11"/>
        <v>内部装修</v>
      </c>
      <c r="R36" s="702" t="s">
        <v>14</v>
      </c>
      <c r="S36" s="703">
        <f t="shared" si="12"/>
        <v>100</v>
      </c>
      <c r="T36" s="702" t="s">
        <v>14</v>
      </c>
      <c r="U36" s="703">
        <f t="shared" si="13"/>
        <v>100</v>
      </c>
      <c r="V36" s="702" t="s">
        <v>14</v>
      </c>
      <c r="W36" s="703">
        <f t="shared" si="14"/>
        <v>100</v>
      </c>
      <c r="X36" s="1352"/>
      <c r="Y36" s="3674"/>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674"/>
      <c r="Q37" s="1349" t="str">
        <f t="shared" si="11"/>
        <v>内部装修状况</v>
      </c>
      <c r="R37" s="702" t="s">
        <v>14</v>
      </c>
      <c r="S37" s="703">
        <f t="shared" si="12"/>
        <v>100</v>
      </c>
      <c r="T37" s="702" t="s">
        <v>14</v>
      </c>
      <c r="U37" s="703">
        <f t="shared" si="13"/>
        <v>100</v>
      </c>
      <c r="V37" s="702" t="s">
        <v>14</v>
      </c>
      <c r="W37" s="703">
        <f t="shared" si="14"/>
        <v>100</v>
      </c>
      <c r="X37" s="1352"/>
      <c r="Y37" s="3674"/>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674"/>
      <c r="Q38" s="704">
        <f t="shared" si="11"/>
        <v>111</v>
      </c>
      <c r="R38" s="705" t="s">
        <v>14</v>
      </c>
      <c r="S38" s="706">
        <f t="shared" si="12"/>
        <v>100</v>
      </c>
      <c r="T38" s="705" t="s">
        <v>14</v>
      </c>
      <c r="U38" s="706">
        <f t="shared" si="13"/>
        <v>100</v>
      </c>
      <c r="V38" s="705" t="s">
        <v>14</v>
      </c>
      <c r="W38" s="706">
        <f t="shared" si="14"/>
        <v>100</v>
      </c>
      <c r="X38" s="707"/>
      <c r="Y38" s="3674"/>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74"/>
      <c r="Q39" s="1349">
        <f t="shared" si="11"/>
        <v>111</v>
      </c>
      <c r="R39" s="702" t="s">
        <v>14</v>
      </c>
      <c r="S39" s="703">
        <f t="shared" si="12"/>
        <v>100</v>
      </c>
      <c r="T39" s="702" t="s">
        <v>14</v>
      </c>
      <c r="U39" s="703">
        <f t="shared" si="13"/>
        <v>100</v>
      </c>
      <c r="V39" s="702" t="s">
        <v>14</v>
      </c>
      <c r="W39" s="703">
        <f t="shared" si="14"/>
        <v>100</v>
      </c>
      <c r="X39" s="1352"/>
      <c r="Y39" s="3674"/>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75"/>
      <c r="Q40" s="1349">
        <f t="shared" si="11"/>
        <v>111</v>
      </c>
      <c r="R40" s="702" t="s">
        <v>14</v>
      </c>
      <c r="S40" s="703">
        <f t="shared" si="12"/>
        <v>100</v>
      </c>
      <c r="T40" s="702" t="s">
        <v>14</v>
      </c>
      <c r="U40" s="703">
        <f t="shared" si="13"/>
        <v>100</v>
      </c>
      <c r="V40" s="702" t="s">
        <v>14</v>
      </c>
      <c r="W40" s="703">
        <f t="shared" si="14"/>
        <v>100</v>
      </c>
      <c r="X40" s="1352"/>
      <c r="Y40" s="3675"/>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662" t="str">
        <f>A41</f>
        <v>成交单价（元/平方米）</v>
      </c>
      <c r="Q41" s="3662"/>
      <c r="R41" s="3663">
        <f>E41</f>
        <v>0</v>
      </c>
      <c r="S41" s="3663"/>
      <c r="T41" s="3663">
        <f>G41</f>
        <v>0</v>
      </c>
      <c r="U41" s="3663"/>
      <c r="V41" s="3663">
        <f>I41</f>
        <v>0</v>
      </c>
      <c r="W41" s="3663"/>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6"/>
      <c r="M46" s="924"/>
      <c r="N46" s="924"/>
      <c r="O46" s="924"/>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6"/>
      <c r="M47" s="924"/>
      <c r="N47" s="924"/>
      <c r="O47" s="924"/>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7"/>
      <c r="M48" s="925"/>
      <c r="N48" s="925"/>
      <c r="O48" s="925"/>
    </row>
    <row r="49" spans="1:17" s="450"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2025-3</v>
      </c>
      <c r="D52" s="1182">
        <f>EDATE(C52,-1)</f>
        <v>45689</v>
      </c>
      <c r="E52" s="1182">
        <f t="shared" ref="E52:O52" si="16">EDATE(D52,-1)</f>
        <v>45658</v>
      </c>
      <c r="F52" s="1182">
        <f t="shared" si="16"/>
        <v>45627</v>
      </c>
      <c r="G52" s="1182">
        <f t="shared" si="16"/>
        <v>45597</v>
      </c>
      <c r="H52" s="1182">
        <f t="shared" si="16"/>
        <v>45566</v>
      </c>
      <c r="I52" s="1182">
        <f t="shared" si="16"/>
        <v>45536</v>
      </c>
      <c r="J52" s="1182">
        <f t="shared" si="16"/>
        <v>45505</v>
      </c>
      <c r="K52" s="1182">
        <f t="shared" si="16"/>
        <v>45474</v>
      </c>
      <c r="L52" s="1182">
        <f t="shared" si="16"/>
        <v>45444</v>
      </c>
      <c r="M52" s="1182">
        <f t="shared" si="16"/>
        <v>45413</v>
      </c>
      <c r="N52" s="1182">
        <f t="shared" si="16"/>
        <v>45383</v>
      </c>
      <c r="O52" s="1182">
        <f t="shared" si="16"/>
        <v>45352</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03" t="s">
        <v>1680</v>
      </c>
      <c r="Q7" s="3704"/>
      <c r="R7" s="698" t="s">
        <v>14</v>
      </c>
      <c r="S7" s="699">
        <f t="shared" ref="S7:S14" si="0">F7</f>
        <v>0</v>
      </c>
      <c r="T7" s="698" t="s">
        <v>14</v>
      </c>
      <c r="U7" s="699">
        <f t="shared" ref="U7:U14" si="1">H7</f>
        <v>0</v>
      </c>
      <c r="V7" s="698" t="s">
        <v>14</v>
      </c>
      <c r="W7" s="699">
        <f t="shared" ref="W7:W14"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03" t="s">
        <v>1683</v>
      </c>
      <c r="Q8" s="3702"/>
      <c r="R8" s="698" t="s">
        <v>14</v>
      </c>
      <c r="S8" s="699">
        <f t="shared" si="0"/>
        <v>100</v>
      </c>
      <c r="T8" s="698" t="s">
        <v>14</v>
      </c>
      <c r="U8" s="699">
        <f t="shared" si="1"/>
        <v>100</v>
      </c>
      <c r="V8" s="698" t="s">
        <v>14</v>
      </c>
      <c r="W8" s="699">
        <f t="shared" si="2"/>
        <v>100</v>
      </c>
      <c r="X8" s="700"/>
      <c r="Y8" s="3703" t="s">
        <v>1683</v>
      </c>
      <c r="Z8" s="3702"/>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62" t="s">
        <v>1686</v>
      </c>
      <c r="Q9" s="1340" t="str">
        <f t="shared" ref="Q9:Q14" si="6">B9</f>
        <v>用途</v>
      </c>
      <c r="R9" s="698" t="s">
        <v>14</v>
      </c>
      <c r="S9" s="699">
        <f t="shared" si="0"/>
        <v>100</v>
      </c>
      <c r="T9" s="698" t="s">
        <v>14</v>
      </c>
      <c r="U9" s="699">
        <f t="shared" si="1"/>
        <v>100</v>
      </c>
      <c r="V9" s="698" t="s">
        <v>14</v>
      </c>
      <c r="W9" s="699">
        <f t="shared" si="2"/>
        <v>100</v>
      </c>
      <c r="X9" s="700"/>
      <c r="Y9" s="3554" t="s">
        <v>1687</v>
      </c>
      <c r="Z9" s="52" t="str">
        <f t="shared" ref="Z9:Z14" si="7">Q9</f>
        <v>用途</v>
      </c>
      <c r="AA9" s="701">
        <f t="shared" si="3"/>
        <v>1</v>
      </c>
      <c r="AB9" s="701">
        <f t="shared" si="4"/>
        <v>1</v>
      </c>
      <c r="AC9" s="701">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62"/>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62"/>
      <c r="Q11" s="1340">
        <f t="shared" si="6"/>
        <v>111</v>
      </c>
      <c r="R11" s="698" t="s">
        <v>14</v>
      </c>
      <c r="S11" s="699">
        <f t="shared" si="0"/>
        <v>100</v>
      </c>
      <c r="T11" s="698" t="s">
        <v>14</v>
      </c>
      <c r="U11" s="699">
        <f t="shared" si="1"/>
        <v>100</v>
      </c>
      <c r="V11" s="698" t="s">
        <v>14</v>
      </c>
      <c r="W11" s="699">
        <f t="shared" si="2"/>
        <v>100</v>
      </c>
      <c r="X11" s="700"/>
      <c r="Y11" s="3554"/>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69" t="s">
        <v>1691</v>
      </c>
      <c r="Q14" s="1349" t="str">
        <f t="shared" si="6"/>
        <v>交通便捷度</v>
      </c>
      <c r="R14" s="702" t="s">
        <v>14</v>
      </c>
      <c r="S14" s="703">
        <f t="shared" si="0"/>
        <v>100</v>
      </c>
      <c r="T14" s="702" t="s">
        <v>14</v>
      </c>
      <c r="U14" s="703">
        <f t="shared" si="1"/>
        <v>100</v>
      </c>
      <c r="V14" s="702" t="s">
        <v>14</v>
      </c>
      <c r="W14" s="703">
        <f t="shared" si="2"/>
        <v>100</v>
      </c>
      <c r="X14" s="1352"/>
      <c r="Y14" s="3669"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8"/>
      <c r="M15" s="2712"/>
      <c r="N15" s="2712"/>
      <c r="O15" s="2712"/>
      <c r="P15" s="3670"/>
      <c r="Q15" s="1349"/>
      <c r="R15" s="702"/>
      <c r="S15" s="703"/>
      <c r="T15" s="702"/>
      <c r="U15" s="703"/>
      <c r="V15" s="702"/>
      <c r="W15" s="703"/>
      <c r="X15" s="1352"/>
      <c r="Y15" s="3670"/>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70"/>
      <c r="Q16" s="1349" t="str">
        <f>B16</f>
        <v>公共配套设施</v>
      </c>
      <c r="R16" s="702" t="s">
        <v>14</v>
      </c>
      <c r="S16" s="703">
        <f>F16</f>
        <v>100</v>
      </c>
      <c r="T16" s="702" t="s">
        <v>14</v>
      </c>
      <c r="U16" s="703">
        <f>H16</f>
        <v>100</v>
      </c>
      <c r="V16" s="702" t="s">
        <v>14</v>
      </c>
      <c r="W16" s="703">
        <f>J16</f>
        <v>100</v>
      </c>
      <c r="X16" s="1352"/>
      <c r="Y16" s="3670"/>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8"/>
      <c r="M17" s="2712"/>
      <c r="N17" s="2712"/>
      <c r="O17" s="2712"/>
      <c r="P17" s="3670"/>
      <c r="Q17" s="1349"/>
      <c r="R17" s="702"/>
      <c r="S17" s="703"/>
      <c r="T17" s="702"/>
      <c r="U17" s="703"/>
      <c r="V17" s="702"/>
      <c r="W17" s="703"/>
      <c r="X17" s="1352"/>
      <c r="Y17" s="3670"/>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70"/>
      <c r="Q18" s="1349" t="str">
        <f>B18</f>
        <v>基础设施水平</v>
      </c>
      <c r="R18" s="702" t="s">
        <v>14</v>
      </c>
      <c r="S18" s="703">
        <f>F18</f>
        <v>100</v>
      </c>
      <c r="T18" s="702" t="s">
        <v>14</v>
      </c>
      <c r="U18" s="703">
        <f>H18</f>
        <v>100</v>
      </c>
      <c r="V18" s="702" t="s">
        <v>14</v>
      </c>
      <c r="W18" s="703">
        <f>J18</f>
        <v>100</v>
      </c>
      <c r="X18" s="1352"/>
      <c r="Y18" s="3670"/>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8"/>
      <c r="M19" s="2712"/>
      <c r="N19" s="2712"/>
      <c r="O19" s="2712"/>
      <c r="P19" s="3670"/>
      <c r="Q19" s="1349"/>
      <c r="R19" s="702"/>
      <c r="S19" s="703"/>
      <c r="T19" s="702"/>
      <c r="U19" s="703"/>
      <c r="V19" s="702"/>
      <c r="W19" s="703"/>
      <c r="X19" s="1352"/>
      <c r="Y19" s="3670"/>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70"/>
      <c r="Q20" s="1349" t="str">
        <f>B20</f>
        <v>自然及人文环境</v>
      </c>
      <c r="R20" s="702" t="s">
        <v>14</v>
      </c>
      <c r="S20" s="703">
        <f>F20</f>
        <v>100</v>
      </c>
      <c r="T20" s="702" t="s">
        <v>14</v>
      </c>
      <c r="U20" s="703">
        <f>H20</f>
        <v>100</v>
      </c>
      <c r="V20" s="702" t="s">
        <v>14</v>
      </c>
      <c r="W20" s="703">
        <f>J20</f>
        <v>100</v>
      </c>
      <c r="X20" s="1352"/>
      <c r="Y20" s="3670"/>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8"/>
      <c r="M21" s="2712"/>
      <c r="N21" s="2712"/>
      <c r="O21" s="2712"/>
      <c r="P21" s="3670"/>
      <c r="Q21" s="1349"/>
      <c r="R21" s="702"/>
      <c r="S21" s="703"/>
      <c r="T21" s="702"/>
      <c r="U21" s="703"/>
      <c r="V21" s="702"/>
      <c r="W21" s="703"/>
      <c r="X21" s="1352"/>
      <c r="Y21" s="3670"/>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70"/>
      <c r="Q22" s="1349" t="str">
        <f>B22</f>
        <v>楼层</v>
      </c>
      <c r="R22" s="702" t="s">
        <v>14</v>
      </c>
      <c r="S22" s="703">
        <f>F22</f>
        <v>100</v>
      </c>
      <c r="T22" s="702" t="s">
        <v>14</v>
      </c>
      <c r="U22" s="703">
        <f>H22</f>
        <v>100</v>
      </c>
      <c r="V22" s="702" t="s">
        <v>14</v>
      </c>
      <c r="W22" s="703">
        <f>J22</f>
        <v>100</v>
      </c>
      <c r="X22" s="1352"/>
      <c r="Y22" s="3670"/>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70"/>
      <c r="Q23" s="1349">
        <f>B23</f>
        <v>111</v>
      </c>
      <c r="R23" s="702" t="s">
        <v>14</v>
      </c>
      <c r="S23" s="703">
        <f>F23</f>
        <v>100</v>
      </c>
      <c r="T23" s="702" t="s">
        <v>14</v>
      </c>
      <c r="U23" s="703">
        <f>H23</f>
        <v>100</v>
      </c>
      <c r="V23" s="702" t="s">
        <v>14</v>
      </c>
      <c r="W23" s="703">
        <f>J23</f>
        <v>100</v>
      </c>
      <c r="X23" s="1352"/>
      <c r="Y23" s="3670"/>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70"/>
      <c r="Q24" s="1349">
        <f t="shared" ref="Q24:Q36" si="11">B24</f>
        <v>111</v>
      </c>
      <c r="R24" s="702" t="s">
        <v>14</v>
      </c>
      <c r="S24" s="703">
        <f>F24</f>
        <v>100</v>
      </c>
      <c r="T24" s="702" t="s">
        <v>14</v>
      </c>
      <c r="U24" s="703">
        <f>H24</f>
        <v>100</v>
      </c>
      <c r="V24" s="702" t="s">
        <v>14</v>
      </c>
      <c r="W24" s="703">
        <f>J24</f>
        <v>100</v>
      </c>
      <c r="X24" s="1352"/>
      <c r="Y24" s="3670"/>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70"/>
      <c r="Q25" s="1340">
        <f t="shared" si="11"/>
        <v>111</v>
      </c>
      <c r="R25" s="698" t="s">
        <v>14</v>
      </c>
      <c r="S25" s="699">
        <f>F25</f>
        <v>100</v>
      </c>
      <c r="T25" s="698" t="s">
        <v>14</v>
      </c>
      <c r="U25" s="699">
        <f>H25</f>
        <v>100</v>
      </c>
      <c r="V25" s="698" t="s">
        <v>14</v>
      </c>
      <c r="W25" s="699">
        <f>J25</f>
        <v>100</v>
      </c>
      <c r="X25" s="700"/>
      <c r="Y25" s="3670"/>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5"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74"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74"/>
      <c r="Q27" s="704" t="str">
        <f t="shared" si="11"/>
        <v>项目停车位配比</v>
      </c>
      <c r="R27" s="705" t="s">
        <v>14</v>
      </c>
      <c r="S27" s="706">
        <f t="shared" si="12"/>
        <v>100</v>
      </c>
      <c r="T27" s="705" t="s">
        <v>14</v>
      </c>
      <c r="U27" s="706">
        <f t="shared" si="13"/>
        <v>100</v>
      </c>
      <c r="V27" s="705" t="s">
        <v>14</v>
      </c>
      <c r="W27" s="706">
        <f t="shared" si="14"/>
        <v>100</v>
      </c>
      <c r="X27" s="707"/>
      <c r="Y27" s="3674"/>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74"/>
      <c r="Q28" s="1349" t="str">
        <f t="shared" si="11"/>
        <v>公共部分装修</v>
      </c>
      <c r="R28" s="702" t="s">
        <v>14</v>
      </c>
      <c r="S28" s="703">
        <f t="shared" si="12"/>
        <v>100</v>
      </c>
      <c r="T28" s="702" t="s">
        <v>14</v>
      </c>
      <c r="U28" s="703">
        <f t="shared" si="13"/>
        <v>100</v>
      </c>
      <c r="V28" s="702" t="s">
        <v>14</v>
      </c>
      <c r="W28" s="703">
        <f t="shared" si="14"/>
        <v>100</v>
      </c>
      <c r="X28" s="1352"/>
      <c r="Y28" s="3674"/>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74"/>
      <c r="Q29" s="1349" t="str">
        <f t="shared" si="11"/>
        <v>成新率</v>
      </c>
      <c r="R29" s="702" t="s">
        <v>14</v>
      </c>
      <c r="S29" s="703" t="e">
        <f t="shared" si="12"/>
        <v>#N/A</v>
      </c>
      <c r="T29" s="702" t="s">
        <v>14</v>
      </c>
      <c r="U29" s="703" t="e">
        <f t="shared" si="13"/>
        <v>#N/A</v>
      </c>
      <c r="V29" s="702" t="s">
        <v>14</v>
      </c>
      <c r="W29" s="703" t="e">
        <f t="shared" si="14"/>
        <v>#N/A</v>
      </c>
      <c r="X29" s="1352"/>
      <c r="Y29" s="3674"/>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74"/>
      <c r="Q30" s="1349" t="str">
        <f t="shared" si="11"/>
        <v>物业等级</v>
      </c>
      <c r="R30" s="702" t="s">
        <v>14</v>
      </c>
      <c r="S30" s="703">
        <f t="shared" si="12"/>
        <v>100</v>
      </c>
      <c r="T30" s="702" t="s">
        <v>14</v>
      </c>
      <c r="U30" s="703">
        <f t="shared" si="13"/>
        <v>100</v>
      </c>
      <c r="V30" s="702" t="s">
        <v>14</v>
      </c>
      <c r="W30" s="703">
        <f t="shared" si="14"/>
        <v>100</v>
      </c>
      <c r="X30" s="1352"/>
      <c r="Y30" s="3674"/>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74"/>
      <c r="Q31" s="1340" t="str">
        <f t="shared" si="11"/>
        <v>停车位面积</v>
      </c>
      <c r="R31" s="698" t="s">
        <v>14</v>
      </c>
      <c r="S31" s="699" t="e">
        <f t="shared" si="12"/>
        <v>#N/A</v>
      </c>
      <c r="T31" s="698" t="s">
        <v>14</v>
      </c>
      <c r="U31" s="699" t="e">
        <f t="shared" si="13"/>
        <v>#N/A</v>
      </c>
      <c r="V31" s="698" t="s">
        <v>14</v>
      </c>
      <c r="W31" s="699" t="e">
        <f t="shared" si="14"/>
        <v>#N/A</v>
      </c>
      <c r="X31" s="700"/>
      <c r="Y31" s="3674"/>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74" t="s">
        <v>1696</v>
      </c>
      <c r="Q32" s="1349" t="str">
        <f t="shared" si="11"/>
        <v>车位类型</v>
      </c>
      <c r="R32" s="702" t="s">
        <v>14</v>
      </c>
      <c r="S32" s="703">
        <f t="shared" si="12"/>
        <v>100</v>
      </c>
      <c r="T32" s="702" t="s">
        <v>14</v>
      </c>
      <c r="U32" s="703">
        <f t="shared" si="13"/>
        <v>100</v>
      </c>
      <c r="V32" s="702" t="s">
        <v>14</v>
      </c>
      <c r="W32" s="703">
        <f t="shared" si="14"/>
        <v>100</v>
      </c>
      <c r="X32" s="1352"/>
      <c r="Y32" s="3674"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74"/>
      <c r="Q33" s="1349" t="str">
        <f t="shared" si="11"/>
        <v>是否直接入户</v>
      </c>
      <c r="R33" s="702" t="s">
        <v>14</v>
      </c>
      <c r="S33" s="703">
        <f t="shared" si="12"/>
        <v>100</v>
      </c>
      <c r="T33" s="702" t="s">
        <v>14</v>
      </c>
      <c r="U33" s="703">
        <f t="shared" si="13"/>
        <v>100</v>
      </c>
      <c r="V33" s="702" t="s">
        <v>14</v>
      </c>
      <c r="W33" s="703">
        <f t="shared" si="14"/>
        <v>100</v>
      </c>
      <c r="X33" s="1352"/>
      <c r="Y33" s="3674"/>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74"/>
      <c r="Q34" s="1349">
        <f t="shared" si="11"/>
        <v>111</v>
      </c>
      <c r="R34" s="702" t="s">
        <v>14</v>
      </c>
      <c r="S34" s="703">
        <f t="shared" si="12"/>
        <v>100</v>
      </c>
      <c r="T34" s="702" t="s">
        <v>14</v>
      </c>
      <c r="U34" s="703">
        <f t="shared" si="13"/>
        <v>100</v>
      </c>
      <c r="V34" s="702" t="s">
        <v>14</v>
      </c>
      <c r="W34" s="703">
        <f t="shared" si="14"/>
        <v>100</v>
      </c>
      <c r="X34" s="1352"/>
      <c r="Y34" s="3674"/>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74"/>
      <c r="Q35" s="704">
        <f t="shared" si="11"/>
        <v>111</v>
      </c>
      <c r="R35" s="705" t="s">
        <v>14</v>
      </c>
      <c r="S35" s="706">
        <f t="shared" si="12"/>
        <v>100</v>
      </c>
      <c r="T35" s="705" t="s">
        <v>14</v>
      </c>
      <c r="U35" s="706">
        <f t="shared" si="13"/>
        <v>100</v>
      </c>
      <c r="V35" s="705" t="s">
        <v>14</v>
      </c>
      <c r="W35" s="706">
        <f t="shared" si="14"/>
        <v>100</v>
      </c>
      <c r="X35" s="707"/>
      <c r="Y35" s="3674"/>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74"/>
      <c r="Q36" s="1349">
        <f t="shared" si="11"/>
        <v>111</v>
      </c>
      <c r="R36" s="702" t="s">
        <v>14</v>
      </c>
      <c r="S36" s="703">
        <f t="shared" si="12"/>
        <v>100</v>
      </c>
      <c r="T36" s="702" t="s">
        <v>14</v>
      </c>
      <c r="U36" s="703">
        <f t="shared" si="13"/>
        <v>100</v>
      </c>
      <c r="V36" s="702" t="s">
        <v>14</v>
      </c>
      <c r="W36" s="703">
        <f t="shared" si="14"/>
        <v>100</v>
      </c>
      <c r="X36" s="1352"/>
      <c r="Y36" s="3674"/>
      <c r="Z36" s="1353">
        <f t="shared" si="15"/>
        <v>111</v>
      </c>
      <c r="AA36" s="1350">
        <f t="shared" si="3"/>
        <v>1</v>
      </c>
      <c r="AB36" s="1350">
        <f t="shared" si="4"/>
        <v>1</v>
      </c>
      <c r="AC36" s="1350">
        <f t="shared" si="5"/>
        <v>1</v>
      </c>
    </row>
    <row r="37" spans="1:29" ht="15">
      <c r="A37" s="429" t="s">
        <v>1844</v>
      </c>
      <c r="B37" s="1970" t="s">
        <v>3353</v>
      </c>
      <c r="C37" s="1151" t="s">
        <v>0</v>
      </c>
      <c r="D37" s="1152"/>
      <c r="E37" s="1153"/>
      <c r="F37" s="1154"/>
      <c r="G37" s="1155"/>
      <c r="H37" s="1156"/>
      <c r="I37" s="1153"/>
      <c r="J37" s="1156"/>
      <c r="K37" s="567"/>
      <c r="L37" s="2720"/>
      <c r="M37" s="2721"/>
      <c r="N37" s="2712"/>
      <c r="O37" s="2721"/>
      <c r="P37" s="3662" t="str">
        <f>A37</f>
        <v>成交单价</v>
      </c>
      <c r="Q37" s="3662"/>
      <c r="R37" s="3663">
        <f>E37</f>
        <v>0</v>
      </c>
      <c r="S37" s="3663"/>
      <c r="T37" s="3663">
        <f>G37</f>
        <v>0</v>
      </c>
      <c r="U37" s="3663"/>
      <c r="V37" s="3663">
        <f>I37</f>
        <v>0</v>
      </c>
      <c r="W37" s="3663"/>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0"/>
      <c r="M38" s="2721"/>
      <c r="N38" s="2721"/>
      <c r="O38" s="2721"/>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0"/>
      <c r="M39" s="2721"/>
      <c r="N39" s="2721"/>
      <c r="O39" s="2721"/>
      <c r="P39" s="3734" t="str">
        <f>A39</f>
        <v>估价对象XX用房的比较价值（楼面单价，元/平方米）</v>
      </c>
      <c r="Q39" s="3735"/>
      <c r="R39" s="3746" t="e">
        <f>IF(F1="售价",ROUND(IF(D38="简单平均",AVERAGE(R38:W38),R38*F38+T38*H38+V38*J38),0),ROUND(IF(D38="简单平均",AVERAGE(R38:V38),R38*F38+T38*H38+V38*J38),1))</f>
        <v>#DIV/0!</v>
      </c>
      <c r="S39" s="3746"/>
      <c r="T39" s="3746"/>
      <c r="U39" s="3746"/>
      <c r="V39" s="3746"/>
      <c r="W39" s="3746"/>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2025-3</v>
      </c>
      <c r="D48" s="1182">
        <f>EDATE(C48,-1)</f>
        <v>45689</v>
      </c>
      <c r="E48" s="1182">
        <f t="shared" ref="E48:O48" si="16">EDATE(D48,-1)</f>
        <v>45658</v>
      </c>
      <c r="F48" s="1182">
        <f t="shared" si="16"/>
        <v>45627</v>
      </c>
      <c r="G48" s="1182">
        <f t="shared" si="16"/>
        <v>45597</v>
      </c>
      <c r="H48" s="1182">
        <f t="shared" si="16"/>
        <v>45566</v>
      </c>
      <c r="I48" s="1182">
        <f t="shared" si="16"/>
        <v>45536</v>
      </c>
      <c r="J48" s="1182">
        <f t="shared" si="16"/>
        <v>45505</v>
      </c>
      <c r="K48" s="1182">
        <f t="shared" si="16"/>
        <v>45474</v>
      </c>
      <c r="L48" s="1182">
        <f t="shared" si="16"/>
        <v>45444</v>
      </c>
      <c r="M48" s="1182">
        <f t="shared" si="16"/>
        <v>45413</v>
      </c>
      <c r="N48" s="1182">
        <f t="shared" si="16"/>
        <v>45383</v>
      </c>
      <c r="O48" s="1182">
        <f t="shared" si="16"/>
        <v>45352</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45726</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703" t="s">
        <v>1680</v>
      </c>
      <c r="Q7" s="3704"/>
      <c r="R7" s="698" t="s">
        <v>14</v>
      </c>
      <c r="S7" s="699">
        <f t="shared" ref="S7:S14" si="0">F7</f>
        <v>0</v>
      </c>
      <c r="T7" s="698" t="s">
        <v>14</v>
      </c>
      <c r="U7" s="699">
        <f t="shared" ref="U7:U14" si="1">H7</f>
        <v>0</v>
      </c>
      <c r="V7" s="698" t="s">
        <v>14</v>
      </c>
      <c r="W7" s="699">
        <f t="shared" ref="W7:W14"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03" t="s">
        <v>1683</v>
      </c>
      <c r="Q8" s="3702"/>
      <c r="R8" s="698" t="s">
        <v>14</v>
      </c>
      <c r="S8" s="699">
        <f t="shared" si="0"/>
        <v>100</v>
      </c>
      <c r="T8" s="698" t="s">
        <v>14</v>
      </c>
      <c r="U8" s="699">
        <f t="shared" si="1"/>
        <v>100</v>
      </c>
      <c r="V8" s="698" t="s">
        <v>14</v>
      </c>
      <c r="W8" s="699">
        <f t="shared" si="2"/>
        <v>100</v>
      </c>
      <c r="X8" s="700"/>
      <c r="Y8" s="3703" t="s">
        <v>1683</v>
      </c>
      <c r="Z8" s="3702"/>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62" t="s">
        <v>1686</v>
      </c>
      <c r="Q9" s="1340" t="str">
        <f t="shared" ref="Q9:Q14" si="6">B9</f>
        <v>用途</v>
      </c>
      <c r="R9" s="698" t="s">
        <v>14</v>
      </c>
      <c r="S9" s="699">
        <f t="shared" si="0"/>
        <v>100</v>
      </c>
      <c r="T9" s="698" t="s">
        <v>14</v>
      </c>
      <c r="U9" s="699">
        <f t="shared" si="1"/>
        <v>100</v>
      </c>
      <c r="V9" s="698" t="s">
        <v>14</v>
      </c>
      <c r="W9" s="699">
        <f t="shared" si="2"/>
        <v>100</v>
      </c>
      <c r="X9" s="700"/>
      <c r="Y9" s="3554" t="s">
        <v>1687</v>
      </c>
      <c r="Z9" s="52" t="str">
        <f t="shared" ref="Z9:Z14" si="7">Q9</f>
        <v>用途</v>
      </c>
      <c r="AA9" s="701">
        <f t="shared" si="3"/>
        <v>1</v>
      </c>
      <c r="AB9" s="701">
        <f t="shared" si="4"/>
        <v>1</v>
      </c>
      <c r="AC9" s="701">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62"/>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62"/>
      <c r="Q11" s="1340">
        <f t="shared" si="6"/>
        <v>111</v>
      </c>
      <c r="R11" s="698" t="s">
        <v>14</v>
      </c>
      <c r="S11" s="699">
        <f t="shared" si="0"/>
        <v>100</v>
      </c>
      <c r="T11" s="698" t="s">
        <v>14</v>
      </c>
      <c r="U11" s="699">
        <f t="shared" si="1"/>
        <v>100</v>
      </c>
      <c r="V11" s="698" t="s">
        <v>14</v>
      </c>
      <c r="W11" s="699">
        <f t="shared" si="2"/>
        <v>100</v>
      </c>
      <c r="X11" s="700"/>
      <c r="Y11" s="3554"/>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69" t="s">
        <v>1691</v>
      </c>
      <c r="Q14" s="1349" t="str">
        <f t="shared" si="6"/>
        <v>交通便捷度</v>
      </c>
      <c r="R14" s="702" t="s">
        <v>14</v>
      </c>
      <c r="S14" s="703">
        <f t="shared" si="0"/>
        <v>100</v>
      </c>
      <c r="T14" s="702" t="s">
        <v>14</v>
      </c>
      <c r="U14" s="703">
        <f t="shared" si="1"/>
        <v>100</v>
      </c>
      <c r="V14" s="702" t="s">
        <v>14</v>
      </c>
      <c r="W14" s="703">
        <f t="shared" si="2"/>
        <v>100</v>
      </c>
      <c r="X14" s="1352"/>
      <c r="Y14" s="3669"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8"/>
      <c r="M15" s="2712"/>
      <c r="N15" s="2712"/>
      <c r="O15" s="2770"/>
      <c r="P15" s="3670"/>
      <c r="Q15" s="1349"/>
      <c r="R15" s="702"/>
      <c r="S15" s="703"/>
      <c r="T15" s="702"/>
      <c r="U15" s="703"/>
      <c r="V15" s="702"/>
      <c r="W15" s="703"/>
      <c r="X15" s="1352"/>
      <c r="Y15" s="3670"/>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70"/>
      <c r="Q16" s="1349" t="str">
        <f>B16</f>
        <v>公共配套设施</v>
      </c>
      <c r="R16" s="702" t="s">
        <v>14</v>
      </c>
      <c r="S16" s="703">
        <f>F16</f>
        <v>100</v>
      </c>
      <c r="T16" s="702" t="s">
        <v>14</v>
      </c>
      <c r="U16" s="703">
        <f>H16</f>
        <v>100</v>
      </c>
      <c r="V16" s="702" t="s">
        <v>14</v>
      </c>
      <c r="W16" s="703">
        <f>J16</f>
        <v>100</v>
      </c>
      <c r="X16" s="1352"/>
      <c r="Y16" s="3670"/>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8"/>
      <c r="M17" s="2712"/>
      <c r="N17" s="2712"/>
      <c r="O17" s="2770"/>
      <c r="P17" s="3670"/>
      <c r="Q17" s="1349"/>
      <c r="R17" s="702"/>
      <c r="S17" s="703"/>
      <c r="T17" s="702"/>
      <c r="U17" s="703"/>
      <c r="V17" s="702"/>
      <c r="W17" s="703"/>
      <c r="X17" s="1352"/>
      <c r="Y17" s="3670"/>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70"/>
      <c r="Q18" s="1349" t="str">
        <f>B18</f>
        <v>基础设施水平</v>
      </c>
      <c r="R18" s="702" t="s">
        <v>14</v>
      </c>
      <c r="S18" s="703">
        <f>F18</f>
        <v>100</v>
      </c>
      <c r="T18" s="702" t="s">
        <v>14</v>
      </c>
      <c r="U18" s="703">
        <f>H18</f>
        <v>100</v>
      </c>
      <c r="V18" s="702" t="s">
        <v>14</v>
      </c>
      <c r="W18" s="703">
        <f>J18</f>
        <v>100</v>
      </c>
      <c r="X18" s="1352"/>
      <c r="Y18" s="3670"/>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8"/>
      <c r="M19" s="2712"/>
      <c r="N19" s="2712"/>
      <c r="O19" s="2770"/>
      <c r="P19" s="3670"/>
      <c r="Q19" s="1349"/>
      <c r="R19" s="702"/>
      <c r="S19" s="703"/>
      <c r="T19" s="702"/>
      <c r="U19" s="703"/>
      <c r="V19" s="702"/>
      <c r="W19" s="703"/>
      <c r="X19" s="1352"/>
      <c r="Y19" s="3670"/>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70"/>
      <c r="Q20" s="1349" t="str">
        <f>B20</f>
        <v>自然及人文环境</v>
      </c>
      <c r="R20" s="702" t="s">
        <v>14</v>
      </c>
      <c r="S20" s="703">
        <f>F20</f>
        <v>100</v>
      </c>
      <c r="T20" s="702" t="s">
        <v>14</v>
      </c>
      <c r="U20" s="703">
        <f>H20</f>
        <v>100</v>
      </c>
      <c r="V20" s="702" t="s">
        <v>14</v>
      </c>
      <c r="W20" s="703">
        <f>J20</f>
        <v>100</v>
      </c>
      <c r="X20" s="1352"/>
      <c r="Y20" s="3670"/>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8"/>
      <c r="M21" s="2712"/>
      <c r="N21" s="2712"/>
      <c r="O21" s="2770"/>
      <c r="P21" s="3670"/>
      <c r="Q21" s="1349"/>
      <c r="R21" s="702"/>
      <c r="S21" s="703"/>
      <c r="T21" s="702"/>
      <c r="U21" s="703"/>
      <c r="V21" s="702"/>
      <c r="W21" s="703"/>
      <c r="X21" s="1352"/>
      <c r="Y21" s="3670"/>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70"/>
      <c r="Q22" s="1349" t="str">
        <f>B22</f>
        <v>楼层</v>
      </c>
      <c r="R22" s="702" t="s">
        <v>14</v>
      </c>
      <c r="S22" s="703">
        <f>F22</f>
        <v>100</v>
      </c>
      <c r="T22" s="702" t="s">
        <v>14</v>
      </c>
      <c r="U22" s="703">
        <f>H22</f>
        <v>100</v>
      </c>
      <c r="V22" s="702" t="s">
        <v>14</v>
      </c>
      <c r="W22" s="703">
        <f>J22</f>
        <v>100</v>
      </c>
      <c r="X22" s="1352"/>
      <c r="Y22" s="3670"/>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70"/>
      <c r="Q23" s="1349">
        <f>B23</f>
        <v>111</v>
      </c>
      <c r="R23" s="702" t="s">
        <v>14</v>
      </c>
      <c r="S23" s="703">
        <f>F23</f>
        <v>100</v>
      </c>
      <c r="T23" s="702" t="s">
        <v>14</v>
      </c>
      <c r="U23" s="703">
        <f>H23</f>
        <v>100</v>
      </c>
      <c r="V23" s="702" t="s">
        <v>14</v>
      </c>
      <c r="W23" s="703">
        <f>J23</f>
        <v>100</v>
      </c>
      <c r="X23" s="1352"/>
      <c r="Y23" s="3670"/>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70"/>
      <c r="Q24" s="1349">
        <f t="shared" ref="Q24:Q34" si="11">B24</f>
        <v>111</v>
      </c>
      <c r="R24" s="702" t="s">
        <v>14</v>
      </c>
      <c r="S24" s="703">
        <f>F24</f>
        <v>100</v>
      </c>
      <c r="T24" s="702" t="s">
        <v>14</v>
      </c>
      <c r="U24" s="703">
        <f>H24</f>
        <v>100</v>
      </c>
      <c r="V24" s="702" t="s">
        <v>14</v>
      </c>
      <c r="W24" s="703">
        <f>J24</f>
        <v>100</v>
      </c>
      <c r="X24" s="1352"/>
      <c r="Y24" s="3670"/>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3"/>
      <c r="M25" s="2714"/>
      <c r="N25" s="2714"/>
      <c r="O25" s="2768"/>
      <c r="P25" s="3670"/>
      <c r="Q25" s="1340">
        <f t="shared" si="11"/>
        <v>111</v>
      </c>
      <c r="R25" s="698" t="s">
        <v>14</v>
      </c>
      <c r="S25" s="699">
        <f>F25</f>
        <v>100</v>
      </c>
      <c r="T25" s="698" t="s">
        <v>14</v>
      </c>
      <c r="U25" s="699">
        <f>H25</f>
        <v>100</v>
      </c>
      <c r="V25" s="698" t="s">
        <v>14</v>
      </c>
      <c r="W25" s="699">
        <f>J25</f>
        <v>100</v>
      </c>
      <c r="X25" s="700"/>
      <c r="Y25" s="3670"/>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8"/>
      <c r="M26" s="2712"/>
      <c r="N26" s="2712"/>
      <c r="O26" s="2770"/>
      <c r="P26" s="3745"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74"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74"/>
      <c r="Q27" s="704" t="str">
        <f t="shared" si="11"/>
        <v>成新率</v>
      </c>
      <c r="R27" s="705" t="s">
        <v>14</v>
      </c>
      <c r="S27" s="706" t="e">
        <f t="shared" si="12"/>
        <v>#N/A</v>
      </c>
      <c r="T27" s="705" t="s">
        <v>14</v>
      </c>
      <c r="U27" s="706" t="e">
        <f t="shared" si="13"/>
        <v>#N/A</v>
      </c>
      <c r="V27" s="705" t="s">
        <v>14</v>
      </c>
      <c r="W27" s="706" t="e">
        <f t="shared" si="14"/>
        <v>#N/A</v>
      </c>
      <c r="X27" s="707"/>
      <c r="Y27" s="3674"/>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74"/>
      <c r="Q28" s="1349" t="str">
        <f t="shared" si="11"/>
        <v>物业等级</v>
      </c>
      <c r="R28" s="702" t="s">
        <v>14</v>
      </c>
      <c r="S28" s="703">
        <f t="shared" si="12"/>
        <v>100</v>
      </c>
      <c r="T28" s="702" t="s">
        <v>14</v>
      </c>
      <c r="U28" s="703">
        <f t="shared" si="13"/>
        <v>100</v>
      </c>
      <c r="V28" s="702" t="s">
        <v>14</v>
      </c>
      <c r="W28" s="703">
        <f t="shared" si="14"/>
        <v>100</v>
      </c>
      <c r="X28" s="1352"/>
      <c r="Y28" s="3674"/>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74"/>
      <c r="Q29" s="1349" t="str">
        <f t="shared" si="11"/>
        <v>有无电梯</v>
      </c>
      <c r="R29" s="702" t="s">
        <v>14</v>
      </c>
      <c r="S29" s="703">
        <f t="shared" si="12"/>
        <v>100</v>
      </c>
      <c r="T29" s="702" t="s">
        <v>14</v>
      </c>
      <c r="U29" s="703">
        <f t="shared" si="13"/>
        <v>100</v>
      </c>
      <c r="V29" s="702" t="s">
        <v>14</v>
      </c>
      <c r="W29" s="703">
        <f t="shared" si="14"/>
        <v>100</v>
      </c>
      <c r="X29" s="1352"/>
      <c r="Y29" s="3674"/>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74"/>
      <c r="Q30" s="1349" t="str">
        <f t="shared" si="11"/>
        <v>建筑面积</v>
      </c>
      <c r="R30" s="702" t="s">
        <v>14</v>
      </c>
      <c r="S30" s="703" t="e">
        <f t="shared" si="12"/>
        <v>#N/A</v>
      </c>
      <c r="T30" s="702" t="s">
        <v>14</v>
      </c>
      <c r="U30" s="703" t="e">
        <f t="shared" si="13"/>
        <v>#N/A</v>
      </c>
      <c r="V30" s="702" t="s">
        <v>14</v>
      </c>
      <c r="W30" s="703" t="e">
        <f t="shared" si="14"/>
        <v>#N/A</v>
      </c>
      <c r="X30" s="1352"/>
      <c r="Y30" s="3674"/>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74"/>
      <c r="Q31" s="1340" t="str">
        <f t="shared" si="11"/>
        <v>是否封闭</v>
      </c>
      <c r="R31" s="698" t="s">
        <v>14</v>
      </c>
      <c r="S31" s="699">
        <f t="shared" si="12"/>
        <v>100</v>
      </c>
      <c r="T31" s="698" t="s">
        <v>14</v>
      </c>
      <c r="U31" s="699">
        <f t="shared" si="13"/>
        <v>100</v>
      </c>
      <c r="V31" s="698" t="s">
        <v>14</v>
      </c>
      <c r="W31" s="699">
        <f t="shared" si="14"/>
        <v>100</v>
      </c>
      <c r="X31" s="700"/>
      <c r="Y31" s="3674"/>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74" t="s">
        <v>1696</v>
      </c>
      <c r="Q32" s="1349">
        <f t="shared" si="11"/>
        <v>111</v>
      </c>
      <c r="R32" s="702" t="s">
        <v>14</v>
      </c>
      <c r="S32" s="703">
        <f t="shared" si="12"/>
        <v>100</v>
      </c>
      <c r="T32" s="702" t="s">
        <v>14</v>
      </c>
      <c r="U32" s="703">
        <f t="shared" si="13"/>
        <v>100</v>
      </c>
      <c r="V32" s="702" t="s">
        <v>14</v>
      </c>
      <c r="W32" s="703">
        <f t="shared" si="14"/>
        <v>100</v>
      </c>
      <c r="X32" s="1352"/>
      <c r="Y32" s="3674"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74"/>
      <c r="Q33" s="1349">
        <f t="shared" si="11"/>
        <v>111</v>
      </c>
      <c r="R33" s="702" t="s">
        <v>14</v>
      </c>
      <c r="S33" s="703">
        <f t="shared" si="12"/>
        <v>100</v>
      </c>
      <c r="T33" s="702" t="s">
        <v>14</v>
      </c>
      <c r="U33" s="703">
        <f t="shared" si="13"/>
        <v>100</v>
      </c>
      <c r="V33" s="702" t="s">
        <v>14</v>
      </c>
      <c r="W33" s="703">
        <f t="shared" si="14"/>
        <v>100</v>
      </c>
      <c r="X33" s="1352"/>
      <c r="Y33" s="3674"/>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674"/>
      <c r="Q34" s="1349">
        <f t="shared" si="11"/>
        <v>111</v>
      </c>
      <c r="R34" s="702" t="s">
        <v>14</v>
      </c>
      <c r="S34" s="703">
        <f t="shared" si="12"/>
        <v>100</v>
      </c>
      <c r="T34" s="702" t="s">
        <v>14</v>
      </c>
      <c r="U34" s="703">
        <f t="shared" si="13"/>
        <v>100</v>
      </c>
      <c r="V34" s="702" t="s">
        <v>14</v>
      </c>
      <c r="W34" s="703">
        <f t="shared" si="14"/>
        <v>100</v>
      </c>
      <c r="X34" s="1352"/>
      <c r="Y34" s="3674"/>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0"/>
      <c r="M35" s="2721"/>
      <c r="N35" s="2712"/>
      <c r="O35" s="2721"/>
      <c r="P35" s="3662" t="str">
        <f>A35</f>
        <v>成交单价（元/平方米）</v>
      </c>
      <c r="Q35" s="3662"/>
      <c r="R35" s="3663">
        <f>E35</f>
        <v>0</v>
      </c>
      <c r="S35" s="3663"/>
      <c r="T35" s="3663">
        <f>G35</f>
        <v>0</v>
      </c>
      <c r="U35" s="3663"/>
      <c r="V35" s="3663">
        <f>I35</f>
        <v>0</v>
      </c>
      <c r="W35" s="3663"/>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0"/>
      <c r="M36" s="2721"/>
      <c r="N36" s="2712"/>
      <c r="O36" s="2721"/>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0"/>
      <c r="M37" s="2721"/>
      <c r="N37" s="2721"/>
      <c r="O37" s="2721"/>
      <c r="P37" s="3734" t="str">
        <f>A37</f>
        <v>估价对象XX用房的比较价值（楼面单价，元/平方米）</v>
      </c>
      <c r="Q37" s="3735"/>
      <c r="R37" s="3746" t="e">
        <f>IF(F1="售价",ROUND(IF(D36="简单平均",AVERAGE(R36:W36),R36*F36+T36*H36+V36*J36),0),ROUND(IF(D36="简单平均",AVERAGE(R36:V36),R36*F36+T36*H36+V36*J36),1))</f>
        <v>#DIV/0!</v>
      </c>
      <c r="S37" s="3746"/>
      <c r="T37" s="3746"/>
      <c r="U37" s="3746"/>
      <c r="V37" s="3746"/>
      <c r="W37" s="3746"/>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2025-3</v>
      </c>
      <c r="D46" s="1182">
        <f>EDATE(C46,-1)</f>
        <v>45689</v>
      </c>
      <c r="E46" s="1182">
        <f t="shared" ref="E46:O46" si="16">EDATE(D46,-1)</f>
        <v>45658</v>
      </c>
      <c r="F46" s="1182">
        <f t="shared" si="16"/>
        <v>45627</v>
      </c>
      <c r="G46" s="1182">
        <f t="shared" si="16"/>
        <v>45597</v>
      </c>
      <c r="H46" s="1182">
        <f t="shared" si="16"/>
        <v>45566</v>
      </c>
      <c r="I46" s="1182">
        <f t="shared" si="16"/>
        <v>45536</v>
      </c>
      <c r="J46" s="1182">
        <f t="shared" si="16"/>
        <v>45505</v>
      </c>
      <c r="K46" s="1182">
        <f t="shared" si="16"/>
        <v>45474</v>
      </c>
      <c r="L46" s="1182">
        <f t="shared" si="16"/>
        <v>45444</v>
      </c>
      <c r="M46" s="1182">
        <f t="shared" si="16"/>
        <v>45413</v>
      </c>
      <c r="N46" s="1182">
        <f t="shared" si="16"/>
        <v>45383</v>
      </c>
      <c r="O46" s="1182">
        <f t="shared" si="16"/>
        <v>45352</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30"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30"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710"/>
      <c r="AC6" s="3710"/>
    </row>
    <row r="7" spans="1:30" s="108" customFormat="1" ht="15.75" thickBot="1">
      <c r="A7" s="361" t="s">
        <v>1679</v>
      </c>
      <c r="B7" s="362"/>
      <c r="C7" s="363">
        <f>'数据-取费表'!B2</f>
        <v>45726</v>
      </c>
      <c r="D7" s="364">
        <v>100</v>
      </c>
      <c r="E7" s="365"/>
      <c r="F7" s="366">
        <f>SUMIF(69:69,YEAR(E7)&amp;"-"&amp;INT((MONTH(E7)+2)/3),70:70)</f>
        <v>0</v>
      </c>
      <c r="G7" s="1971"/>
      <c r="H7" s="364">
        <f>SUMIF(69:69,YEAR(G7)&amp;"-"&amp;INT((MONTH(G7)+2)/3),70:70)</f>
        <v>0</v>
      </c>
      <c r="I7" s="1971"/>
      <c r="J7" s="364">
        <f>SUMIF(69:69,YEAR(I7)&amp;"-"&amp;INT((MONTH(I7)+2)/3),70:70)</f>
        <v>0</v>
      </c>
      <c r="K7" s="559"/>
      <c r="L7" s="2713"/>
      <c r="M7" s="2714"/>
      <c r="N7" s="2714"/>
      <c r="O7" s="2714"/>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03" t="s">
        <v>1683</v>
      </c>
      <c r="Q8" s="3702"/>
      <c r="R8" s="698" t="s">
        <v>14</v>
      </c>
      <c r="S8" s="699">
        <f t="shared" si="0"/>
        <v>0</v>
      </c>
      <c r="T8" s="698" t="s">
        <v>14</v>
      </c>
      <c r="U8" s="699">
        <f t="shared" si="1"/>
        <v>0</v>
      </c>
      <c r="V8" s="698" t="s">
        <v>14</v>
      </c>
      <c r="W8" s="699">
        <f t="shared" si="2"/>
        <v>0</v>
      </c>
      <c r="X8" s="700"/>
      <c r="Y8" s="3703" t="s">
        <v>1683</v>
      </c>
      <c r="Z8" s="3702"/>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3"/>
      <c r="M9" s="2714"/>
      <c r="N9" s="2714"/>
      <c r="O9" s="2768"/>
      <c r="P9" s="3662"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110</v>
      </c>
      <c r="G10" s="413"/>
      <c r="H10" s="126">
        <f>ROUND(100/'数据-取费表'!G16,0)</f>
        <v>110</v>
      </c>
      <c r="I10" s="413"/>
      <c r="J10" s="126">
        <f>ROUND(100/'数据-取费表'!G16,0)</f>
        <v>110</v>
      </c>
      <c r="K10" s="619"/>
      <c r="L10" s="2715"/>
      <c r="M10" s="2716"/>
      <c r="N10" s="2716"/>
      <c r="O10" s="2769"/>
      <c r="P10" s="3662"/>
      <c r="Q10" s="1340" t="str">
        <f t="shared" si="6"/>
        <v>土地使用年限（年）</v>
      </c>
      <c r="R10" s="698" t="s">
        <v>14</v>
      </c>
      <c r="S10" s="699">
        <f t="shared" si="0"/>
        <v>110</v>
      </c>
      <c r="T10" s="698" t="s">
        <v>14</v>
      </c>
      <c r="U10" s="699">
        <f t="shared" si="1"/>
        <v>110</v>
      </c>
      <c r="V10" s="698" t="s">
        <v>14</v>
      </c>
      <c r="W10" s="699">
        <f t="shared" si="2"/>
        <v>110</v>
      </c>
      <c r="X10" s="700"/>
      <c r="Y10" s="3554"/>
      <c r="Z10" s="52" t="str">
        <f t="shared" si="7"/>
        <v>土地使用年限（年）</v>
      </c>
      <c r="AA10" s="701">
        <f t="shared" si="3"/>
        <v>0.90909090909090906</v>
      </c>
      <c r="AB10" s="701">
        <f t="shared" si="4"/>
        <v>0.90909090909090906</v>
      </c>
      <c r="AC10" s="701">
        <f t="shared" si="5"/>
        <v>0.90909090909090906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62"/>
      <c r="Q11" s="1340" t="str">
        <f t="shared" si="6"/>
        <v>容积率</v>
      </c>
      <c r="R11" s="698" t="s">
        <v>14</v>
      </c>
      <c r="S11" s="699" t="e">
        <f t="shared" si="0"/>
        <v>#N/A</v>
      </c>
      <c r="T11" s="698" t="s">
        <v>14</v>
      </c>
      <c r="U11" s="699" t="e">
        <f t="shared" si="1"/>
        <v>#N/A</v>
      </c>
      <c r="V11" s="698" t="s">
        <v>14</v>
      </c>
      <c r="W11" s="699" t="e">
        <f t="shared" si="2"/>
        <v>#N/A</v>
      </c>
      <c r="X11" s="700"/>
      <c r="Y11" s="3554"/>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62"/>
      <c r="Q12" s="1340" t="str">
        <f t="shared" si="6"/>
        <v>配建</v>
      </c>
      <c r="R12" s="698" t="s">
        <v>14</v>
      </c>
      <c r="S12" s="699">
        <f t="shared" si="0"/>
        <v>100</v>
      </c>
      <c r="T12" s="698" t="s">
        <v>14</v>
      </c>
      <c r="U12" s="699">
        <f t="shared" si="1"/>
        <v>100</v>
      </c>
      <c r="V12" s="698" t="s">
        <v>14</v>
      </c>
      <c r="W12" s="699">
        <f t="shared" si="2"/>
        <v>100</v>
      </c>
      <c r="X12" s="700"/>
      <c r="Y12" s="3554"/>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62"/>
      <c r="Q14" s="1340">
        <f t="shared" si="6"/>
        <v>111</v>
      </c>
      <c r="R14" s="698" t="s">
        <v>14</v>
      </c>
      <c r="S14" s="699">
        <f t="shared" si="0"/>
        <v>100</v>
      </c>
      <c r="T14" s="698" t="s">
        <v>14</v>
      </c>
      <c r="U14" s="699">
        <f t="shared" si="1"/>
        <v>100</v>
      </c>
      <c r="V14" s="698" t="s">
        <v>14</v>
      </c>
      <c r="W14" s="699">
        <f t="shared" si="2"/>
        <v>100</v>
      </c>
      <c r="X14" s="700"/>
      <c r="Y14" s="3554"/>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69" t="s">
        <v>1691</v>
      </c>
      <c r="Q15" s="1349" t="str">
        <f t="shared" si="6"/>
        <v>居住社区成熟度</v>
      </c>
      <c r="R15" s="702" t="s">
        <v>14</v>
      </c>
      <c r="S15" s="703">
        <f t="shared" si="0"/>
        <v>100</v>
      </c>
      <c r="T15" s="702" t="s">
        <v>14</v>
      </c>
      <c r="U15" s="703">
        <f t="shared" si="1"/>
        <v>100</v>
      </c>
      <c r="V15" s="702" t="s">
        <v>14</v>
      </c>
      <c r="W15" s="703">
        <f t="shared" si="2"/>
        <v>100</v>
      </c>
      <c r="X15" s="1352"/>
      <c r="Y15" s="3669"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8"/>
      <c r="M16" s="2712"/>
      <c r="N16" s="2712"/>
      <c r="O16" s="2770"/>
      <c r="P16" s="3670"/>
      <c r="Q16" s="1349"/>
      <c r="R16" s="702"/>
      <c r="S16" s="703"/>
      <c r="T16" s="702"/>
      <c r="U16" s="703"/>
      <c r="V16" s="702"/>
      <c r="W16" s="703"/>
      <c r="X16" s="1352"/>
      <c r="Y16" s="3670"/>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70"/>
      <c r="Q17" s="1349" t="str">
        <f>B17</f>
        <v>商业繁华度</v>
      </c>
      <c r="R17" s="702" t="s">
        <v>14</v>
      </c>
      <c r="S17" s="703">
        <f>F17</f>
        <v>100</v>
      </c>
      <c r="T17" s="702" t="s">
        <v>14</v>
      </c>
      <c r="U17" s="703">
        <f>H17</f>
        <v>100</v>
      </c>
      <c r="V17" s="702" t="s">
        <v>14</v>
      </c>
      <c r="W17" s="703">
        <f>J17</f>
        <v>100</v>
      </c>
      <c r="X17" s="1352"/>
      <c r="Y17" s="3670"/>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8"/>
      <c r="M18" s="2712"/>
      <c r="N18" s="2712"/>
      <c r="O18" s="2770"/>
      <c r="P18" s="3670"/>
      <c r="Q18" s="1349"/>
      <c r="R18" s="702"/>
      <c r="S18" s="703"/>
      <c r="T18" s="702"/>
      <c r="U18" s="703"/>
      <c r="V18" s="702"/>
      <c r="W18" s="703"/>
      <c r="X18" s="1352"/>
      <c r="Y18" s="3670"/>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70"/>
      <c r="Q19" s="1349" t="str">
        <f>B19</f>
        <v>办公集聚程度</v>
      </c>
      <c r="R19" s="702" t="s">
        <v>14</v>
      </c>
      <c r="S19" s="703">
        <f>F19</f>
        <v>100</v>
      </c>
      <c r="T19" s="702" t="s">
        <v>14</v>
      </c>
      <c r="U19" s="703">
        <f>H19</f>
        <v>100</v>
      </c>
      <c r="V19" s="702" t="s">
        <v>14</v>
      </c>
      <c r="W19" s="703">
        <f>J19</f>
        <v>100</v>
      </c>
      <c r="X19" s="1352"/>
      <c r="Y19" s="3670"/>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8"/>
      <c r="M20" s="2712"/>
      <c r="N20" s="2712"/>
      <c r="O20" s="2770"/>
      <c r="P20" s="3670"/>
      <c r="Q20" s="1349"/>
      <c r="R20" s="702"/>
      <c r="S20" s="703"/>
      <c r="T20" s="702"/>
      <c r="U20" s="703"/>
      <c r="V20" s="702"/>
      <c r="W20" s="703"/>
      <c r="X20" s="1352"/>
      <c r="Y20" s="3670"/>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70"/>
      <c r="Q21" s="1349" t="str">
        <f>B21</f>
        <v>交通便捷度</v>
      </c>
      <c r="R21" s="702" t="s">
        <v>14</v>
      </c>
      <c r="S21" s="703">
        <f>F21</f>
        <v>100</v>
      </c>
      <c r="T21" s="702" t="s">
        <v>14</v>
      </c>
      <c r="U21" s="703">
        <f>H21</f>
        <v>100</v>
      </c>
      <c r="V21" s="702" t="s">
        <v>14</v>
      </c>
      <c r="W21" s="703">
        <f>J21</f>
        <v>100</v>
      </c>
      <c r="X21" s="1352"/>
      <c r="Y21" s="3670"/>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8"/>
      <c r="M22" s="2712"/>
      <c r="N22" s="2712"/>
      <c r="O22" s="2770"/>
      <c r="P22" s="3670"/>
      <c r="Q22" s="1349"/>
      <c r="R22" s="702"/>
      <c r="S22" s="703"/>
      <c r="T22" s="702"/>
      <c r="U22" s="703"/>
      <c r="V22" s="702"/>
      <c r="W22" s="703"/>
      <c r="X22" s="1352"/>
      <c r="Y22" s="3670"/>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70"/>
      <c r="Q23" s="1349" t="str">
        <f t="shared" ref="Q23:Q37" si="8">B23</f>
        <v>区域土地利用方向</v>
      </c>
      <c r="R23" s="702" t="s">
        <v>14</v>
      </c>
      <c r="S23" s="703">
        <f>F23</f>
        <v>100</v>
      </c>
      <c r="T23" s="702" t="s">
        <v>14</v>
      </c>
      <c r="U23" s="703">
        <f>H23</f>
        <v>100</v>
      </c>
      <c r="V23" s="702" t="s">
        <v>14</v>
      </c>
      <c r="W23" s="703">
        <f>J23</f>
        <v>100</v>
      </c>
      <c r="X23" s="1352"/>
      <c r="Y23" s="3670"/>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8"/>
      <c r="M24" s="2712"/>
      <c r="N24" s="2712"/>
      <c r="O24" s="2770"/>
      <c r="P24" s="3670"/>
      <c r="Q24" s="1349"/>
      <c r="R24" s="702"/>
      <c r="S24" s="703"/>
      <c r="T24" s="702"/>
      <c r="U24" s="703"/>
      <c r="V24" s="702"/>
      <c r="W24" s="703"/>
      <c r="X24" s="1352"/>
      <c r="Y24" s="3670"/>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70"/>
      <c r="Q25" s="1349" t="str">
        <f t="shared" si="8"/>
        <v>自然及人文环境状况</v>
      </c>
      <c r="R25" s="702" t="s">
        <v>14</v>
      </c>
      <c r="S25" s="703">
        <f>F25</f>
        <v>100</v>
      </c>
      <c r="T25" s="702" t="s">
        <v>14</v>
      </c>
      <c r="U25" s="703">
        <f>H25</f>
        <v>100</v>
      </c>
      <c r="V25" s="702" t="s">
        <v>14</v>
      </c>
      <c r="W25" s="703">
        <f>J25</f>
        <v>100</v>
      </c>
      <c r="X25" s="1352"/>
      <c r="Y25" s="3670"/>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8"/>
      <c r="M26" s="2712"/>
      <c r="N26" s="2712"/>
      <c r="O26" s="2770"/>
      <c r="P26" s="3670"/>
      <c r="Q26" s="1349"/>
      <c r="R26" s="702"/>
      <c r="S26" s="703"/>
      <c r="T26" s="702"/>
      <c r="U26" s="703"/>
      <c r="V26" s="702"/>
      <c r="W26" s="703"/>
      <c r="X26" s="1352"/>
      <c r="Y26" s="3670"/>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70"/>
      <c r="Q27" s="1340" t="str">
        <f t="shared" si="8"/>
        <v>公共配套设施</v>
      </c>
      <c r="R27" s="698" t="s">
        <v>14</v>
      </c>
      <c r="S27" s="699">
        <f>F27</f>
        <v>100</v>
      </c>
      <c r="T27" s="698" t="s">
        <v>14</v>
      </c>
      <c r="U27" s="699">
        <f>H27</f>
        <v>100</v>
      </c>
      <c r="V27" s="698" t="s">
        <v>14</v>
      </c>
      <c r="W27" s="699">
        <f>J27</f>
        <v>100</v>
      </c>
      <c r="X27" s="700"/>
      <c r="Y27" s="3670"/>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3"/>
      <c r="M28" s="2714"/>
      <c r="N28" s="2714"/>
      <c r="O28" s="2768"/>
      <c r="P28" s="3670"/>
      <c r="Q28" s="1340"/>
      <c r="R28" s="698"/>
      <c r="S28" s="699"/>
      <c r="T28" s="698"/>
      <c r="U28" s="699"/>
      <c r="V28" s="698"/>
      <c r="W28" s="699"/>
      <c r="X28" s="700"/>
      <c r="Y28" s="3670"/>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70"/>
      <c r="Q29" s="1340" t="str">
        <f t="shared" ref="Q29" si="9">B29</f>
        <v>基础设施水平</v>
      </c>
      <c r="R29" s="698" t="s">
        <v>14</v>
      </c>
      <c r="S29" s="699">
        <f>F29</f>
        <v>100</v>
      </c>
      <c r="T29" s="698" t="s">
        <v>14</v>
      </c>
      <c r="U29" s="699">
        <f>H29</f>
        <v>100</v>
      </c>
      <c r="V29" s="698" t="s">
        <v>14</v>
      </c>
      <c r="W29" s="699">
        <f>J29</f>
        <v>100</v>
      </c>
      <c r="X29" s="700"/>
      <c r="Y29" s="3670"/>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3"/>
      <c r="M30" s="2714"/>
      <c r="N30" s="2714"/>
      <c r="O30" s="2768"/>
      <c r="P30" s="3670"/>
      <c r="Q30" s="1340"/>
      <c r="R30" s="698"/>
      <c r="S30" s="699"/>
      <c r="T30" s="698"/>
      <c r="U30" s="699"/>
      <c r="V30" s="698"/>
      <c r="W30" s="699"/>
      <c r="X30" s="700"/>
      <c r="Y30" s="3670"/>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70"/>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0"/>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70"/>
      <c r="Q32" s="1349" t="str">
        <f t="shared" si="8"/>
        <v>毗邻道路的类型与等级</v>
      </c>
      <c r="R32" s="702" t="s">
        <v>14</v>
      </c>
      <c r="S32" s="703">
        <f t="shared" si="10"/>
        <v>100</v>
      </c>
      <c r="T32" s="702" t="s">
        <v>14</v>
      </c>
      <c r="U32" s="703">
        <f t="shared" si="11"/>
        <v>100</v>
      </c>
      <c r="V32" s="702" t="s">
        <v>14</v>
      </c>
      <c r="W32" s="703">
        <f t="shared" si="12"/>
        <v>100</v>
      </c>
      <c r="X32" s="1352"/>
      <c r="Y32" s="3670"/>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8"/>
      <c r="M33" s="2712"/>
      <c r="N33" s="2712"/>
      <c r="O33" s="2770"/>
      <c r="P33" s="3670"/>
      <c r="Q33" s="1349"/>
      <c r="R33" s="702"/>
      <c r="S33" s="703"/>
      <c r="T33" s="702"/>
      <c r="U33" s="703"/>
      <c r="V33" s="702"/>
      <c r="W33" s="703"/>
      <c r="X33" s="1352"/>
      <c r="Y33" s="3670"/>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70"/>
      <c r="Q34" s="1349" t="str">
        <f t="shared" si="8"/>
        <v>土地级别</v>
      </c>
      <c r="R34" s="702" t="s">
        <v>14</v>
      </c>
      <c r="S34" s="703">
        <f t="shared" si="10"/>
        <v>100</v>
      </c>
      <c r="T34" s="702" t="s">
        <v>14</v>
      </c>
      <c r="U34" s="703">
        <f t="shared" si="11"/>
        <v>100</v>
      </c>
      <c r="V34" s="702" t="s">
        <v>14</v>
      </c>
      <c r="W34" s="703">
        <f t="shared" si="12"/>
        <v>100</v>
      </c>
      <c r="X34" s="1352"/>
      <c r="Y34" s="3670"/>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70"/>
      <c r="Q35" s="1349">
        <f t="shared" si="8"/>
        <v>111</v>
      </c>
      <c r="R35" s="702" t="s">
        <v>14</v>
      </c>
      <c r="S35" s="703">
        <f t="shared" si="10"/>
        <v>100</v>
      </c>
      <c r="T35" s="702" t="s">
        <v>14</v>
      </c>
      <c r="U35" s="703">
        <f t="shared" si="11"/>
        <v>100</v>
      </c>
      <c r="V35" s="702" t="s">
        <v>14</v>
      </c>
      <c r="W35" s="703">
        <f t="shared" si="12"/>
        <v>100</v>
      </c>
      <c r="X35" s="1352"/>
      <c r="Y35" s="3670"/>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5" t="s">
        <v>1696</v>
      </c>
      <c r="Q36" s="1349">
        <f t="shared" si="8"/>
        <v>111</v>
      </c>
      <c r="R36" s="702" t="s">
        <v>14</v>
      </c>
      <c r="S36" s="703">
        <f t="shared" si="10"/>
        <v>100</v>
      </c>
      <c r="T36" s="702" t="s">
        <v>14</v>
      </c>
      <c r="U36" s="703">
        <f t="shared" si="11"/>
        <v>100</v>
      </c>
      <c r="V36" s="702" t="s">
        <v>14</v>
      </c>
      <c r="W36" s="703">
        <f t="shared" si="12"/>
        <v>100</v>
      </c>
      <c r="X36" s="1352"/>
      <c r="Y36" s="3674"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74"/>
      <c r="Q37" s="1349">
        <f t="shared" si="8"/>
        <v>111</v>
      </c>
      <c r="R37" s="705" t="s">
        <v>14</v>
      </c>
      <c r="S37" s="706">
        <f t="shared" si="10"/>
        <v>100</v>
      </c>
      <c r="T37" s="705" t="s">
        <v>14</v>
      </c>
      <c r="U37" s="706">
        <f t="shared" si="11"/>
        <v>100</v>
      </c>
      <c r="V37" s="705" t="s">
        <v>14</v>
      </c>
      <c r="W37" s="706">
        <f t="shared" si="12"/>
        <v>100</v>
      </c>
      <c r="X37" s="707"/>
      <c r="Y37" s="3674"/>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74"/>
      <c r="Q38" s="1349" t="str">
        <f>B38</f>
        <v>宗地面积</v>
      </c>
      <c r="R38" s="702" t="s">
        <v>14</v>
      </c>
      <c r="S38" s="703" t="e">
        <f t="shared" si="10"/>
        <v>#N/A</v>
      </c>
      <c r="T38" s="702" t="s">
        <v>14</v>
      </c>
      <c r="U38" s="703" t="e">
        <f t="shared" si="11"/>
        <v>#N/A</v>
      </c>
      <c r="V38" s="702" t="s">
        <v>14</v>
      </c>
      <c r="W38" s="703" t="e">
        <f t="shared" si="12"/>
        <v>#N/A</v>
      </c>
      <c r="X38" s="1352"/>
      <c r="Y38" s="3674"/>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8"/>
      <c r="M39" s="2712"/>
      <c r="N39" s="2712"/>
      <c r="O39" s="2770"/>
      <c r="P39" s="3674"/>
      <c r="Q39" s="1349" t="str">
        <f t="shared" ref="Q39:Q45" si="14">B39</f>
        <v>宗地形状</v>
      </c>
      <c r="R39" s="702" t="s">
        <v>14</v>
      </c>
      <c r="S39" s="703">
        <f t="shared" si="10"/>
        <v>100</v>
      </c>
      <c r="T39" s="702" t="s">
        <v>14</v>
      </c>
      <c r="U39" s="703">
        <f t="shared" si="11"/>
        <v>100</v>
      </c>
      <c r="V39" s="702" t="s">
        <v>14</v>
      </c>
      <c r="W39" s="703">
        <f t="shared" si="12"/>
        <v>100</v>
      </c>
      <c r="X39" s="1352"/>
      <c r="Y39" s="3674"/>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8"/>
      <c r="M40" s="2712"/>
      <c r="N40" s="2712"/>
      <c r="O40" s="2770"/>
      <c r="P40" s="3674"/>
      <c r="Q40" s="1349" t="str">
        <f t="shared" si="14"/>
        <v>临街宽度及深度</v>
      </c>
      <c r="R40" s="702" t="s">
        <v>14</v>
      </c>
      <c r="S40" s="703">
        <f t="shared" si="10"/>
        <v>100</v>
      </c>
      <c r="T40" s="702" t="s">
        <v>14</v>
      </c>
      <c r="U40" s="703">
        <f t="shared" si="11"/>
        <v>100</v>
      </c>
      <c r="V40" s="702" t="s">
        <v>14</v>
      </c>
      <c r="W40" s="703">
        <f t="shared" si="12"/>
        <v>100</v>
      </c>
      <c r="X40" s="1352"/>
      <c r="Y40" s="3674"/>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674"/>
      <c r="Q41" s="1349" t="str">
        <f t="shared" si="14"/>
        <v>宗地开发程度</v>
      </c>
      <c r="R41" s="698" t="s">
        <v>14</v>
      </c>
      <c r="S41" s="699">
        <f t="shared" si="10"/>
        <v>100</v>
      </c>
      <c r="T41" s="698" t="s">
        <v>14</v>
      </c>
      <c r="U41" s="699">
        <f t="shared" si="11"/>
        <v>100</v>
      </c>
      <c r="V41" s="698" t="s">
        <v>14</v>
      </c>
      <c r="W41" s="699">
        <f t="shared" si="12"/>
        <v>100</v>
      </c>
      <c r="X41" s="700"/>
      <c r="Y41" s="3674"/>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8"/>
      <c r="M42" s="2712"/>
      <c r="N42" s="2712"/>
      <c r="O42" s="2770"/>
      <c r="P42" s="3674" t="s">
        <v>1696</v>
      </c>
      <c r="Q42" s="1349" t="str">
        <f t="shared" si="14"/>
        <v>工程地质条件</v>
      </c>
      <c r="R42" s="702" t="s">
        <v>14</v>
      </c>
      <c r="S42" s="703">
        <f t="shared" si="10"/>
        <v>100</v>
      </c>
      <c r="T42" s="702" t="s">
        <v>14</v>
      </c>
      <c r="U42" s="703">
        <f t="shared" si="11"/>
        <v>100</v>
      </c>
      <c r="V42" s="702" t="s">
        <v>14</v>
      </c>
      <c r="W42" s="703">
        <f t="shared" si="12"/>
        <v>100</v>
      </c>
      <c r="X42" s="1352"/>
      <c r="Y42" s="3674"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74"/>
      <c r="Q43" s="1349">
        <f t="shared" si="14"/>
        <v>111</v>
      </c>
      <c r="R43" s="702" t="s">
        <v>14</v>
      </c>
      <c r="S43" s="703">
        <f t="shared" si="10"/>
        <v>100</v>
      </c>
      <c r="T43" s="702" t="s">
        <v>14</v>
      </c>
      <c r="U43" s="703">
        <f t="shared" si="11"/>
        <v>100</v>
      </c>
      <c r="V43" s="702" t="s">
        <v>14</v>
      </c>
      <c r="W43" s="703">
        <f t="shared" si="12"/>
        <v>100</v>
      </c>
      <c r="X43" s="1352"/>
      <c r="Y43" s="3674"/>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74"/>
      <c r="Q44" s="1349">
        <f t="shared" si="14"/>
        <v>111</v>
      </c>
      <c r="R44" s="702" t="s">
        <v>14</v>
      </c>
      <c r="S44" s="703">
        <f t="shared" si="10"/>
        <v>100</v>
      </c>
      <c r="T44" s="702" t="s">
        <v>14</v>
      </c>
      <c r="U44" s="703">
        <f t="shared" si="11"/>
        <v>100</v>
      </c>
      <c r="V44" s="702" t="s">
        <v>14</v>
      </c>
      <c r="W44" s="703">
        <f t="shared" si="12"/>
        <v>100</v>
      </c>
      <c r="X44" s="1352"/>
      <c r="Y44" s="3674"/>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74"/>
      <c r="Q45" s="1349">
        <f t="shared" si="14"/>
        <v>111</v>
      </c>
      <c r="R45" s="705" t="s">
        <v>14</v>
      </c>
      <c r="S45" s="706">
        <f t="shared" si="10"/>
        <v>100</v>
      </c>
      <c r="T45" s="705" t="s">
        <v>14</v>
      </c>
      <c r="U45" s="706">
        <f t="shared" si="11"/>
        <v>100</v>
      </c>
      <c r="V45" s="705" t="s">
        <v>14</v>
      </c>
      <c r="W45" s="706">
        <f t="shared" si="12"/>
        <v>100</v>
      </c>
      <c r="X45" s="707"/>
      <c r="Y45" s="3674"/>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0"/>
      <c r="M46" s="2721"/>
      <c r="N46" s="2712"/>
      <c r="O46" s="2721"/>
      <c r="P46" s="3662" t="str">
        <f>A46</f>
        <v>成交单价</v>
      </c>
      <c r="Q46" s="3662"/>
      <c r="R46" s="3696">
        <f>E46</f>
        <v>0</v>
      </c>
      <c r="S46" s="3696"/>
      <c r="T46" s="3696">
        <f>G46</f>
        <v>0</v>
      </c>
      <c r="U46" s="3696"/>
      <c r="V46" s="3696">
        <f>I46</f>
        <v>0</v>
      </c>
      <c r="W46" s="3696"/>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0"/>
      <c r="M47" s="2721"/>
      <c r="N47" s="2721"/>
      <c r="O47" s="2721"/>
      <c r="P47" s="3662" t="str">
        <f>A47</f>
        <v>比较价值（元/平方米）</v>
      </c>
      <c r="Q47" s="3662"/>
      <c r="R47" s="3747" t="e">
        <f>ROUND(PRODUCT(R46,AA7:AA45),0)</f>
        <v>#DIV/0!</v>
      </c>
      <c r="S47" s="3747"/>
      <c r="T47" s="3747" t="e">
        <f>ROUND(PRODUCT(T46,AB7:AB45),0)</f>
        <v>#DIV/0!</v>
      </c>
      <c r="U47" s="3747"/>
      <c r="V47" s="3747" t="e">
        <f>ROUND(PRODUCT(V46,AC7:AC45),0)</f>
        <v>#DIV/0!</v>
      </c>
      <c r="W47" s="3747"/>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0"/>
      <c r="M48" s="2721"/>
      <c r="N48" s="2721"/>
      <c r="O48" s="2721"/>
      <c r="P48" s="3734" t="str">
        <f>A48</f>
        <v>估价对象XX用房的比较价值（楼面单价，元/平方米）</v>
      </c>
      <c r="Q48" s="3735"/>
      <c r="R48" s="3748" t="e">
        <f>ROUND(IF(D47="简单平均",AVERAGE(R47:W47),R47*F47+T47*H47+V47*J47),0)</f>
        <v>#DIV/0!</v>
      </c>
      <c r="S48" s="3748"/>
      <c r="T48" s="3748"/>
      <c r="U48" s="3748"/>
      <c r="V48" s="3748"/>
      <c r="W48" s="3748"/>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7" t="s">
        <v>1886</v>
      </c>
      <c r="G55" s="3679" t="s">
        <v>1887</v>
      </c>
      <c r="H55" s="3749"/>
      <c r="I55" s="134"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1">
        <v>1</v>
      </c>
      <c r="E56" s="637">
        <f>'数据-汇总表'!E8+'数据-汇总表'!E9</f>
        <v>817.51</v>
      </c>
      <c r="F56" s="883" t="e">
        <f t="shared" ref="F56:F64" si="15">ROUND(B56*E56/10000,0)</f>
        <v>#DIV/0!</v>
      </c>
      <c r="G56" s="3661"/>
      <c r="H56" s="3662"/>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v>
      </c>
      <c r="D57" s="942">
        <v>0.25</v>
      </c>
      <c r="E57" s="641"/>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v>
      </c>
      <c r="D58" s="942">
        <v>0.25</v>
      </c>
      <c r="E58" s="641"/>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v>
      </c>
      <c r="D59" s="942">
        <v>0.25</v>
      </c>
      <c r="E59" s="641"/>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817.51</v>
      </c>
      <c r="F65" s="644"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2025-3-1</v>
      </c>
      <c r="D67" s="689">
        <f>EDATE(C67,-3)</f>
        <v>45627</v>
      </c>
      <c r="E67" s="689">
        <f>EDATE(D67,-3)</f>
        <v>45536</v>
      </c>
      <c r="F67" s="689">
        <f t="shared" ref="F67:O67" si="18">EDATE(E67,-3)</f>
        <v>45444</v>
      </c>
      <c r="G67" s="689">
        <f t="shared" si="18"/>
        <v>45352</v>
      </c>
      <c r="H67" s="689">
        <f t="shared" si="18"/>
        <v>45261</v>
      </c>
      <c r="I67" s="689">
        <f t="shared" si="18"/>
        <v>45170</v>
      </c>
      <c r="J67" s="689">
        <f t="shared" si="18"/>
        <v>45078</v>
      </c>
      <c r="K67" s="689">
        <f t="shared" si="18"/>
        <v>44986</v>
      </c>
      <c r="L67" s="689">
        <f t="shared" si="18"/>
        <v>44896</v>
      </c>
      <c r="M67" s="689">
        <f t="shared" si="18"/>
        <v>44805</v>
      </c>
      <c r="N67" s="689">
        <f t="shared" si="18"/>
        <v>44713</v>
      </c>
      <c r="O67" s="689">
        <f t="shared" si="18"/>
        <v>44621</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6" customFormat="1" ht="15">
      <c r="A69" s="1986" t="s">
        <v>1904</v>
      </c>
      <c r="B69" s="1106"/>
      <c r="C69" s="1179" t="str">
        <f>YEAR(C67)&amp;"-"&amp;ROUNDUP(MONTH(C67)/3,0)</f>
        <v>2025-1</v>
      </c>
      <c r="D69" s="1179" t="str">
        <f>YEAR(D67)&amp;"-"&amp;ROUNDUP(MONTH(D67)/3,0)</f>
        <v>2024-4</v>
      </c>
      <c r="E69" s="1179" t="str">
        <f t="shared" ref="E69:O69" si="19">YEAR(E67)&amp;"-"&amp;ROUNDUP(MONTH(E67)/3,0)</f>
        <v>2024-3</v>
      </c>
      <c r="F69" s="1179" t="str">
        <f t="shared" si="19"/>
        <v>2024-2</v>
      </c>
      <c r="G69" s="1179" t="str">
        <f t="shared" si="19"/>
        <v>2024-1</v>
      </c>
      <c r="H69" s="1179" t="str">
        <f t="shared" si="19"/>
        <v>2023-4</v>
      </c>
      <c r="I69" s="1179" t="str">
        <f t="shared" si="19"/>
        <v>2023-3</v>
      </c>
      <c r="J69" s="1179" t="str">
        <f t="shared" si="19"/>
        <v>2023-2</v>
      </c>
      <c r="K69" s="1179" t="str">
        <f t="shared" si="19"/>
        <v>2023-1</v>
      </c>
      <c r="L69" s="1179" t="str">
        <f t="shared" si="19"/>
        <v>2022-4</v>
      </c>
      <c r="M69" s="1179" t="str">
        <f t="shared" si="19"/>
        <v>2022-3</v>
      </c>
      <c r="N69" s="1179" t="str">
        <f t="shared" si="19"/>
        <v>2022-2</v>
      </c>
      <c r="O69" s="1179" t="str">
        <f t="shared" si="19"/>
        <v>2022-1</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0"/>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750" t="s">
        <v>1919</v>
      </c>
      <c r="D6" s="3751"/>
      <c r="E6" s="3752" t="s">
        <v>1919</v>
      </c>
      <c r="F6" s="3753"/>
      <c r="G6" s="3750" t="s">
        <v>1919</v>
      </c>
      <c r="H6" s="3751"/>
      <c r="I6" s="3750" t="s">
        <v>1919</v>
      </c>
      <c r="J6" s="3751"/>
      <c r="K6" s="558"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45726</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03" t="s">
        <v>1683</v>
      </c>
      <c r="Q8" s="3702"/>
      <c r="R8" s="698" t="s">
        <v>14</v>
      </c>
      <c r="S8" s="699">
        <f t="shared" si="0"/>
        <v>0</v>
      </c>
      <c r="T8" s="698" t="s">
        <v>14</v>
      </c>
      <c r="U8" s="699">
        <f t="shared" si="1"/>
        <v>0</v>
      </c>
      <c r="V8" s="698" t="s">
        <v>14</v>
      </c>
      <c r="W8" s="699">
        <f t="shared" si="2"/>
        <v>0</v>
      </c>
      <c r="X8" s="700"/>
      <c r="Y8" s="3703" t="s">
        <v>1683</v>
      </c>
      <c r="Z8" s="3702"/>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662"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110</v>
      </c>
      <c r="G10" s="382"/>
      <c r="H10" s="126">
        <f>ROUND(100/'数据-取费表'!G16,0)</f>
        <v>110</v>
      </c>
      <c r="I10" s="382"/>
      <c r="J10" s="126">
        <f>ROUND(100/'数据-取费表'!G16,0)</f>
        <v>110</v>
      </c>
      <c r="K10" s="619"/>
      <c r="L10" s="2715"/>
      <c r="M10" s="2716"/>
      <c r="N10" s="2716"/>
      <c r="O10" s="2769"/>
      <c r="P10" s="3662"/>
      <c r="Q10" s="1340" t="str">
        <f t="shared" si="6"/>
        <v>土地使用年限（年）</v>
      </c>
      <c r="R10" s="698" t="s">
        <v>14</v>
      </c>
      <c r="S10" s="699">
        <f t="shared" si="0"/>
        <v>110</v>
      </c>
      <c r="T10" s="698" t="s">
        <v>14</v>
      </c>
      <c r="U10" s="699">
        <f t="shared" si="1"/>
        <v>110</v>
      </c>
      <c r="V10" s="698" t="s">
        <v>14</v>
      </c>
      <c r="W10" s="699">
        <f t="shared" si="2"/>
        <v>110</v>
      </c>
      <c r="X10" s="700"/>
      <c r="Y10" s="3554"/>
      <c r="Z10" s="52" t="str">
        <f t="shared" si="7"/>
        <v>土地使用年限（年）</v>
      </c>
      <c r="AA10" s="701">
        <f t="shared" si="3"/>
        <v>0.90909090909090906</v>
      </c>
      <c r="AB10" s="701">
        <f t="shared" si="4"/>
        <v>0.90909090909090906</v>
      </c>
      <c r="AC10" s="701">
        <f t="shared" si="5"/>
        <v>0.90909090909090906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62"/>
      <c r="Q11" s="1340" t="str">
        <f t="shared" si="6"/>
        <v>容积率</v>
      </c>
      <c r="R11" s="698" t="s">
        <v>14</v>
      </c>
      <c r="S11" s="699" t="e">
        <f t="shared" si="0"/>
        <v>#N/A</v>
      </c>
      <c r="T11" s="698" t="s">
        <v>14</v>
      </c>
      <c r="U11" s="699" t="e">
        <f t="shared" si="1"/>
        <v>#N/A</v>
      </c>
      <c r="V11" s="698" t="s">
        <v>14</v>
      </c>
      <c r="W11" s="699" t="e">
        <f t="shared" si="2"/>
        <v>#N/A</v>
      </c>
      <c r="X11" s="700"/>
      <c r="Y11" s="3554"/>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62"/>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69" t="s">
        <v>1691</v>
      </c>
      <c r="Q15" s="1349" t="str">
        <f t="shared" si="6"/>
        <v>产业集聚程度</v>
      </c>
      <c r="R15" s="702" t="s">
        <v>14</v>
      </c>
      <c r="S15" s="703">
        <f t="shared" si="0"/>
        <v>100</v>
      </c>
      <c r="T15" s="702" t="s">
        <v>14</v>
      </c>
      <c r="U15" s="703">
        <f t="shared" si="1"/>
        <v>100</v>
      </c>
      <c r="V15" s="702" t="s">
        <v>14</v>
      </c>
      <c r="W15" s="703">
        <f t="shared" si="2"/>
        <v>100</v>
      </c>
      <c r="X15" s="1352"/>
      <c r="Y15" s="3669"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8"/>
      <c r="M16" s="2712"/>
      <c r="N16" s="2712"/>
      <c r="O16" s="2770"/>
      <c r="P16" s="3670"/>
      <c r="Q16" s="1349"/>
      <c r="R16" s="702"/>
      <c r="S16" s="703"/>
      <c r="T16" s="702"/>
      <c r="U16" s="703"/>
      <c r="V16" s="702"/>
      <c r="W16" s="703"/>
      <c r="X16" s="1352"/>
      <c r="Y16" s="3670"/>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70"/>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8"/>
      <c r="M18" s="2712"/>
      <c r="N18" s="2712"/>
      <c r="O18" s="2770"/>
      <c r="P18" s="3670"/>
      <c r="Q18" s="1349"/>
      <c r="R18" s="702"/>
      <c r="S18" s="703"/>
      <c r="T18" s="702"/>
      <c r="U18" s="703"/>
      <c r="V18" s="702"/>
      <c r="W18" s="703"/>
      <c r="X18" s="1352"/>
      <c r="Y18" s="3670"/>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70"/>
      <c r="Q19" s="1349" t="str">
        <f t="shared" ref="Q19:Q33" si="8">B19</f>
        <v>区域土地利用方向</v>
      </c>
      <c r="R19" s="702" t="s">
        <v>14</v>
      </c>
      <c r="S19" s="703">
        <f>F19</f>
        <v>100</v>
      </c>
      <c r="T19" s="702" t="s">
        <v>14</v>
      </c>
      <c r="U19" s="703">
        <f>H19</f>
        <v>100</v>
      </c>
      <c r="V19" s="702" t="s">
        <v>14</v>
      </c>
      <c r="W19" s="703">
        <f>J19</f>
        <v>100</v>
      </c>
      <c r="X19" s="1352"/>
      <c r="Y19" s="3670"/>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8"/>
      <c r="M20" s="2712"/>
      <c r="N20" s="2712"/>
      <c r="O20" s="2770"/>
      <c r="P20" s="3670"/>
      <c r="Q20" s="1349"/>
      <c r="R20" s="702"/>
      <c r="S20" s="703"/>
      <c r="T20" s="702"/>
      <c r="U20" s="703"/>
      <c r="V20" s="702"/>
      <c r="W20" s="703"/>
      <c r="X20" s="1352"/>
      <c r="Y20" s="3670"/>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70"/>
      <c r="Q21" s="1349" t="str">
        <f t="shared" si="8"/>
        <v>环境状况</v>
      </c>
      <c r="R21" s="702" t="s">
        <v>14</v>
      </c>
      <c r="S21" s="703">
        <f>F21</f>
        <v>100</v>
      </c>
      <c r="T21" s="702" t="s">
        <v>14</v>
      </c>
      <c r="U21" s="703">
        <f>H21</f>
        <v>100</v>
      </c>
      <c r="V21" s="702" t="s">
        <v>14</v>
      </c>
      <c r="W21" s="703">
        <f>J21</f>
        <v>100</v>
      </c>
      <c r="X21" s="1352"/>
      <c r="Y21" s="3670"/>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8"/>
      <c r="M22" s="2712"/>
      <c r="N22" s="2712"/>
      <c r="O22" s="2770"/>
      <c r="P22" s="3670"/>
      <c r="Q22" s="1349"/>
      <c r="R22" s="702"/>
      <c r="S22" s="703"/>
      <c r="T22" s="702"/>
      <c r="U22" s="703"/>
      <c r="V22" s="702"/>
      <c r="W22" s="703"/>
      <c r="X22" s="1352"/>
      <c r="Y22" s="3670"/>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70"/>
      <c r="Q23" s="1340" t="str">
        <f t="shared" si="8"/>
        <v>公共配套设施</v>
      </c>
      <c r="R23" s="698" t="s">
        <v>14</v>
      </c>
      <c r="S23" s="699">
        <f>F23</f>
        <v>100</v>
      </c>
      <c r="T23" s="698" t="s">
        <v>14</v>
      </c>
      <c r="U23" s="699">
        <f>H23</f>
        <v>100</v>
      </c>
      <c r="V23" s="698" t="s">
        <v>14</v>
      </c>
      <c r="W23" s="699">
        <f>J23</f>
        <v>100</v>
      </c>
      <c r="X23" s="700"/>
      <c r="Y23" s="3670"/>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3"/>
      <c r="M24" s="2714"/>
      <c r="N24" s="2714"/>
      <c r="O24" s="2768"/>
      <c r="P24" s="3670"/>
      <c r="Q24" s="1340"/>
      <c r="R24" s="698"/>
      <c r="S24" s="699"/>
      <c r="T24" s="698"/>
      <c r="U24" s="699"/>
      <c r="V24" s="698"/>
      <c r="W24" s="699"/>
      <c r="X24" s="700"/>
      <c r="Y24" s="3670"/>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70"/>
      <c r="Q25" s="1340" t="str">
        <f t="shared" ref="Q25" si="9">B25</f>
        <v>基础设施水平</v>
      </c>
      <c r="R25" s="698" t="s">
        <v>14</v>
      </c>
      <c r="S25" s="699">
        <f>F25</f>
        <v>100</v>
      </c>
      <c r="T25" s="698" t="s">
        <v>14</v>
      </c>
      <c r="U25" s="699">
        <f>H25</f>
        <v>100</v>
      </c>
      <c r="V25" s="698" t="s">
        <v>14</v>
      </c>
      <c r="W25" s="699">
        <f>J25</f>
        <v>100</v>
      </c>
      <c r="X25" s="700"/>
      <c r="Y25" s="3670"/>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3"/>
      <c r="M26" s="2714"/>
      <c r="N26" s="2714"/>
      <c r="O26" s="2768"/>
      <c r="P26" s="3670"/>
      <c r="Q26" s="1340"/>
      <c r="R26" s="698"/>
      <c r="S26" s="699"/>
      <c r="T26" s="698"/>
      <c r="U26" s="699"/>
      <c r="V26" s="698"/>
      <c r="W26" s="699"/>
      <c r="X26" s="700"/>
      <c r="Y26" s="3670"/>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70"/>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0"/>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70"/>
      <c r="Q28" s="1349" t="str">
        <f t="shared" si="8"/>
        <v>毗邻道路的类型与等级</v>
      </c>
      <c r="R28" s="702" t="s">
        <v>14</v>
      </c>
      <c r="S28" s="703">
        <f t="shared" si="10"/>
        <v>100</v>
      </c>
      <c r="T28" s="702" t="s">
        <v>14</v>
      </c>
      <c r="U28" s="703">
        <f t="shared" si="11"/>
        <v>100</v>
      </c>
      <c r="V28" s="702" t="s">
        <v>14</v>
      </c>
      <c r="W28" s="703">
        <f t="shared" si="12"/>
        <v>100</v>
      </c>
      <c r="X28" s="1352"/>
      <c r="Y28" s="3670"/>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8"/>
      <c r="M29" s="2712"/>
      <c r="N29" s="2712"/>
      <c r="O29" s="2770"/>
      <c r="P29" s="3670"/>
      <c r="Q29" s="1349"/>
      <c r="R29" s="702"/>
      <c r="S29" s="703"/>
      <c r="T29" s="702"/>
      <c r="U29" s="703"/>
      <c r="V29" s="702"/>
      <c r="W29" s="703"/>
      <c r="X29" s="1352"/>
      <c r="Y29" s="3670"/>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70"/>
      <c r="Q30" s="1349" t="str">
        <f t="shared" si="8"/>
        <v>土地级别</v>
      </c>
      <c r="R30" s="702" t="s">
        <v>14</v>
      </c>
      <c r="S30" s="703">
        <f t="shared" si="10"/>
        <v>100</v>
      </c>
      <c r="T30" s="702" t="s">
        <v>14</v>
      </c>
      <c r="U30" s="703">
        <f t="shared" si="11"/>
        <v>100</v>
      </c>
      <c r="V30" s="702" t="s">
        <v>14</v>
      </c>
      <c r="W30" s="703">
        <f t="shared" si="12"/>
        <v>100</v>
      </c>
      <c r="X30" s="1352"/>
      <c r="Y30" s="3670"/>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70"/>
      <c r="Q31" s="1349">
        <f t="shared" si="8"/>
        <v>111</v>
      </c>
      <c r="R31" s="702" t="s">
        <v>14</v>
      </c>
      <c r="S31" s="703">
        <f t="shared" si="10"/>
        <v>100</v>
      </c>
      <c r="T31" s="702" t="s">
        <v>14</v>
      </c>
      <c r="U31" s="703">
        <f t="shared" si="11"/>
        <v>100</v>
      </c>
      <c r="V31" s="702" t="s">
        <v>14</v>
      </c>
      <c r="W31" s="703">
        <f t="shared" si="12"/>
        <v>100</v>
      </c>
      <c r="X31" s="1352"/>
      <c r="Y31" s="3670"/>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5" t="s">
        <v>1696</v>
      </c>
      <c r="Q32" s="1349">
        <f t="shared" si="8"/>
        <v>111</v>
      </c>
      <c r="R32" s="702" t="s">
        <v>14</v>
      </c>
      <c r="S32" s="703">
        <f t="shared" si="10"/>
        <v>100</v>
      </c>
      <c r="T32" s="702" t="s">
        <v>14</v>
      </c>
      <c r="U32" s="703">
        <f t="shared" si="11"/>
        <v>100</v>
      </c>
      <c r="V32" s="702" t="s">
        <v>14</v>
      </c>
      <c r="W32" s="703">
        <f t="shared" si="12"/>
        <v>100</v>
      </c>
      <c r="X32" s="1352"/>
      <c r="Y32" s="3674"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74"/>
      <c r="Q33" s="1349">
        <f t="shared" si="8"/>
        <v>111</v>
      </c>
      <c r="R33" s="705" t="s">
        <v>14</v>
      </c>
      <c r="S33" s="706">
        <f t="shared" si="10"/>
        <v>100</v>
      </c>
      <c r="T33" s="705" t="s">
        <v>14</v>
      </c>
      <c r="U33" s="706">
        <f t="shared" si="11"/>
        <v>100</v>
      </c>
      <c r="V33" s="705" t="s">
        <v>14</v>
      </c>
      <c r="W33" s="706">
        <f t="shared" si="12"/>
        <v>100</v>
      </c>
      <c r="X33" s="707"/>
      <c r="Y33" s="3674"/>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74"/>
      <c r="Q34" s="1349" t="str">
        <f>B34</f>
        <v>宗地面积</v>
      </c>
      <c r="R34" s="702" t="s">
        <v>14</v>
      </c>
      <c r="S34" s="703" t="e">
        <f t="shared" si="10"/>
        <v>#N/A</v>
      </c>
      <c r="T34" s="702" t="s">
        <v>14</v>
      </c>
      <c r="U34" s="703" t="e">
        <f t="shared" si="11"/>
        <v>#N/A</v>
      </c>
      <c r="V34" s="702" t="s">
        <v>14</v>
      </c>
      <c r="W34" s="703" t="e">
        <f t="shared" si="12"/>
        <v>#N/A</v>
      </c>
      <c r="X34" s="1352"/>
      <c r="Y34" s="3674"/>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8"/>
      <c r="M35" s="2712"/>
      <c r="N35" s="2712"/>
      <c r="O35" s="2770"/>
      <c r="P35" s="3674"/>
      <c r="Q35" s="1349" t="str">
        <f t="shared" ref="Q35:Q40" si="14">B35</f>
        <v>宗地形状</v>
      </c>
      <c r="R35" s="702" t="s">
        <v>14</v>
      </c>
      <c r="S35" s="703">
        <f t="shared" si="10"/>
        <v>100</v>
      </c>
      <c r="T35" s="702" t="s">
        <v>14</v>
      </c>
      <c r="U35" s="703">
        <f t="shared" si="11"/>
        <v>100</v>
      </c>
      <c r="V35" s="702" t="s">
        <v>14</v>
      </c>
      <c r="W35" s="703">
        <f t="shared" si="12"/>
        <v>100</v>
      </c>
      <c r="X35" s="1352"/>
      <c r="Y35" s="3674"/>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674"/>
      <c r="Q36" s="1349" t="str">
        <f t="shared" si="14"/>
        <v>宗地开发程度</v>
      </c>
      <c r="R36" s="698" t="s">
        <v>14</v>
      </c>
      <c r="S36" s="699">
        <f t="shared" si="10"/>
        <v>100</v>
      </c>
      <c r="T36" s="698" t="s">
        <v>14</v>
      </c>
      <c r="U36" s="699">
        <f t="shared" si="11"/>
        <v>100</v>
      </c>
      <c r="V36" s="698" t="s">
        <v>14</v>
      </c>
      <c r="W36" s="699">
        <f t="shared" si="12"/>
        <v>100</v>
      </c>
      <c r="X36" s="700"/>
      <c r="Y36" s="3674"/>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8"/>
      <c r="M37" s="2712"/>
      <c r="N37" s="2712"/>
      <c r="O37" s="2770"/>
      <c r="P37" s="3674" t="s">
        <v>1696</v>
      </c>
      <c r="Q37" s="1349" t="str">
        <f t="shared" si="14"/>
        <v>工程地质条件</v>
      </c>
      <c r="R37" s="702" t="s">
        <v>14</v>
      </c>
      <c r="S37" s="703">
        <f t="shared" si="10"/>
        <v>100</v>
      </c>
      <c r="T37" s="702" t="s">
        <v>14</v>
      </c>
      <c r="U37" s="703">
        <f t="shared" si="11"/>
        <v>100</v>
      </c>
      <c r="V37" s="702" t="s">
        <v>14</v>
      </c>
      <c r="W37" s="703">
        <f t="shared" si="12"/>
        <v>100</v>
      </c>
      <c r="X37" s="1352"/>
      <c r="Y37" s="3674"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74"/>
      <c r="Q38" s="1349">
        <f t="shared" si="14"/>
        <v>111</v>
      </c>
      <c r="R38" s="702" t="s">
        <v>14</v>
      </c>
      <c r="S38" s="703">
        <f t="shared" si="10"/>
        <v>100</v>
      </c>
      <c r="T38" s="702" t="s">
        <v>14</v>
      </c>
      <c r="U38" s="703">
        <f t="shared" si="11"/>
        <v>100</v>
      </c>
      <c r="V38" s="702" t="s">
        <v>14</v>
      </c>
      <c r="W38" s="703">
        <f t="shared" si="12"/>
        <v>100</v>
      </c>
      <c r="X38" s="1352"/>
      <c r="Y38" s="3674"/>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74"/>
      <c r="Q39" s="1349">
        <f t="shared" si="14"/>
        <v>111</v>
      </c>
      <c r="R39" s="702" t="s">
        <v>14</v>
      </c>
      <c r="S39" s="703">
        <f t="shared" si="10"/>
        <v>100</v>
      </c>
      <c r="T39" s="702" t="s">
        <v>14</v>
      </c>
      <c r="U39" s="703">
        <f t="shared" si="11"/>
        <v>100</v>
      </c>
      <c r="V39" s="702" t="s">
        <v>14</v>
      </c>
      <c r="W39" s="703">
        <f t="shared" si="12"/>
        <v>100</v>
      </c>
      <c r="X39" s="1352"/>
      <c r="Y39" s="3674"/>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74"/>
      <c r="Q40" s="1349">
        <f t="shared" si="14"/>
        <v>111</v>
      </c>
      <c r="R40" s="705" t="s">
        <v>14</v>
      </c>
      <c r="S40" s="706">
        <f t="shared" si="10"/>
        <v>100</v>
      </c>
      <c r="T40" s="705" t="s">
        <v>14</v>
      </c>
      <c r="U40" s="706">
        <f t="shared" si="11"/>
        <v>100</v>
      </c>
      <c r="V40" s="705" t="s">
        <v>14</v>
      </c>
      <c r="W40" s="706">
        <f t="shared" si="12"/>
        <v>100</v>
      </c>
      <c r="X40" s="707"/>
      <c r="Y40" s="3674"/>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0"/>
      <c r="M41" s="2712"/>
      <c r="N41" s="2712"/>
      <c r="O41" s="2721"/>
      <c r="P41" s="3662" t="str">
        <f>A41</f>
        <v>成交单价</v>
      </c>
      <c r="Q41" s="3662"/>
      <c r="R41" s="3696">
        <f>E41</f>
        <v>0</v>
      </c>
      <c r="S41" s="3696"/>
      <c r="T41" s="3696">
        <f>G41</f>
        <v>0</v>
      </c>
      <c r="U41" s="3696"/>
      <c r="V41" s="3696">
        <f>I41</f>
        <v>0</v>
      </c>
      <c r="W41" s="3696"/>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0"/>
      <c r="M42" s="2712"/>
      <c r="N42" s="2712"/>
      <c r="O42" s="2721"/>
      <c r="P42" s="3662" t="str">
        <f>A42</f>
        <v>比较价值（元/平方米）</v>
      </c>
      <c r="Q42" s="3662"/>
      <c r="R42" s="3747" t="e">
        <f>ROUND(PRODUCT(R41,AA7:AA40),0)</f>
        <v>#DIV/0!</v>
      </c>
      <c r="S42" s="3747"/>
      <c r="T42" s="3747" t="e">
        <f>ROUND(PRODUCT(T41,AB7:AB40),0)</f>
        <v>#DIV/0!</v>
      </c>
      <c r="U42" s="3747"/>
      <c r="V42" s="3747" t="e">
        <f>ROUND(PRODUCT(V41,AC7:AC40),0)</f>
        <v>#DIV/0!</v>
      </c>
      <c r="W42" s="3747"/>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0"/>
      <c r="M43" s="2712"/>
      <c r="N43" s="2712"/>
      <c r="O43" s="2721"/>
      <c r="P43" s="3734" t="str">
        <f>A43</f>
        <v>估价对象XX用房的比较价值（楼面单价，元/平方米）</v>
      </c>
      <c r="Q43" s="3735"/>
      <c r="R43" s="3748" t="e">
        <f>ROUND(IF(D42="简单平均",AVERAGE(R42:W42),R42*F42+T42*H42+V42*J42),0)</f>
        <v>#DIV/0!</v>
      </c>
      <c r="S43" s="3748"/>
      <c r="T43" s="3748"/>
      <c r="U43" s="3748"/>
      <c r="V43" s="3748"/>
      <c r="W43" s="3748"/>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679" t="s">
        <v>1887</v>
      </c>
      <c r="H50" s="3749"/>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1">
        <v>1</v>
      </c>
      <c r="E51" s="637">
        <f>'数据-汇总表'!E8+'数据-汇总表'!E9</f>
        <v>817.51</v>
      </c>
      <c r="F51" s="638" t="e">
        <f t="shared" ref="F51:F60" si="15">ROUND(B51*E51/10000,0)</f>
        <v>#DIV/0!</v>
      </c>
      <c r="G51" s="3661"/>
      <c r="H51" s="3662"/>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v>
      </c>
      <c r="D52" s="942">
        <v>0.25</v>
      </c>
      <c r="E52" s="641"/>
      <c r="F52" s="638"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v>
      </c>
      <c r="D53" s="942">
        <v>0.25</v>
      </c>
      <c r="E53" s="641"/>
      <c r="F53" s="638"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v>
      </c>
      <c r="D54" s="942">
        <v>0.25</v>
      </c>
      <c r="E54" s="641"/>
      <c r="F54" s="638"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2"/>
      <c r="E55" s="641"/>
      <c r="F55" s="638"/>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2025-3-1</v>
      </c>
      <c r="D63" s="689">
        <f>EDATE(C63,-3)</f>
        <v>45627</v>
      </c>
      <c r="E63" s="689">
        <f>EDATE(D63,-3)</f>
        <v>45536</v>
      </c>
      <c r="F63" s="689">
        <f t="shared" ref="F63:O63" si="18">EDATE(E63,-3)</f>
        <v>45444</v>
      </c>
      <c r="G63" s="689">
        <f t="shared" si="18"/>
        <v>45352</v>
      </c>
      <c r="H63" s="689">
        <f t="shared" si="18"/>
        <v>45261</v>
      </c>
      <c r="I63" s="689">
        <f t="shared" si="18"/>
        <v>45170</v>
      </c>
      <c r="J63" s="689">
        <f t="shared" si="18"/>
        <v>45078</v>
      </c>
      <c r="K63" s="689">
        <f t="shared" si="18"/>
        <v>44986</v>
      </c>
      <c r="L63" s="689">
        <f t="shared" si="18"/>
        <v>44896</v>
      </c>
      <c r="M63" s="689">
        <f t="shared" si="18"/>
        <v>44805</v>
      </c>
      <c r="N63" s="689">
        <f t="shared" si="18"/>
        <v>44713</v>
      </c>
      <c r="O63" s="689">
        <f t="shared" si="18"/>
        <v>44621</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6" customFormat="1" ht="15">
      <c r="A65" s="1986" t="s">
        <v>1904</v>
      </c>
      <c r="B65" s="1106"/>
      <c r="C65" s="1179" t="str">
        <f>YEAR(C63)&amp;"-"&amp;ROUNDUP(MONTH(C63)/3,0)</f>
        <v>2025-1</v>
      </c>
      <c r="D65" s="1179" t="str">
        <f t="shared" ref="D65:O65" si="19">YEAR(D63)&amp;"-"&amp;ROUNDUP(MONTH(D63)/3,0)</f>
        <v>2024-4</v>
      </c>
      <c r="E65" s="1179" t="str">
        <f t="shared" si="19"/>
        <v>2024-3</v>
      </c>
      <c r="F65" s="1179" t="str">
        <f t="shared" si="19"/>
        <v>2024-2</v>
      </c>
      <c r="G65" s="1179" t="str">
        <f t="shared" si="19"/>
        <v>2024-1</v>
      </c>
      <c r="H65" s="1179" t="str">
        <f t="shared" si="19"/>
        <v>2023-4</v>
      </c>
      <c r="I65" s="1179" t="str">
        <f t="shared" si="19"/>
        <v>2023-3</v>
      </c>
      <c r="J65" s="1179" t="str">
        <f t="shared" si="19"/>
        <v>2023-2</v>
      </c>
      <c r="K65" s="1179" t="str">
        <f t="shared" si="19"/>
        <v>2023-1</v>
      </c>
      <c r="L65" s="1179" t="str">
        <f t="shared" si="19"/>
        <v>2022-4</v>
      </c>
      <c r="M65" s="1179" t="str">
        <f t="shared" si="19"/>
        <v>2022-3</v>
      </c>
      <c r="N65" s="1179" t="str">
        <f t="shared" si="19"/>
        <v>2022-2</v>
      </c>
      <c r="O65" s="1179" t="str">
        <f t="shared" si="19"/>
        <v>2022-1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273</v>
      </c>
      <c r="C2" s="2142" t="s">
        <v>2074</v>
      </c>
      <c r="D2" s="2142" t="s">
        <v>2075</v>
      </c>
      <c r="E2" s="2608">
        <f ca="1">SUMIF(E6:E13,"&lt;&gt;#ref!",E6:E13)</f>
        <v>817.51</v>
      </c>
      <c r="F2" s="2789"/>
      <c r="G2" s="2789"/>
      <c r="H2" s="2789"/>
      <c r="I2" s="2789"/>
      <c r="J2" s="2789"/>
      <c r="K2" s="2789"/>
      <c r="L2" s="2789"/>
      <c r="M2" s="2789"/>
      <c r="N2" s="2789"/>
      <c r="O2" s="2789"/>
      <c r="P2" s="2789"/>
    </row>
    <row r="3" spans="1:16" ht="15.75">
      <c r="A3" s="2142" t="s">
        <v>2076</v>
      </c>
      <c r="B3" s="2598">
        <f ca="1">ROUND(B2*10000/E2,0)</f>
        <v>3339</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273</v>
      </c>
      <c r="C6" s="2142" t="s">
        <v>2074</v>
      </c>
      <c r="D6" s="2789"/>
      <c r="E6" s="2608">
        <f ca="1">SUMIF(INDIRECT("'"&amp;A6&amp;"'"&amp;"!C:C"),"建筑面积",INDIRECT("'"&amp;A6&amp;"'"&amp;"!D:D"))</f>
        <v>817.51</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817.51</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273</v>
      </c>
      <c r="C2" s="1996" t="s">
        <v>1935</v>
      </c>
      <c r="D2" s="1997" t="s">
        <v>1936</v>
      </c>
      <c r="E2" s="3418" t="s">
        <v>3</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Ⅶ-石龙开发区</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1.5019</v>
      </c>
      <c r="T2" s="3357">
        <f t="shared" ref="T2:T16" si="0">ROUND($C$5*$C$22*$C$23*$C$24*S2*$C$28,0)</f>
        <v>5009</v>
      </c>
      <c r="U2" s="1210"/>
      <c r="V2" s="3357">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3339</v>
      </c>
      <c r="C3" s="1996" t="s">
        <v>1941</v>
      </c>
      <c r="D3" s="1997" t="s">
        <v>1942</v>
      </c>
      <c r="E3" s="3416" t="s">
        <v>3451</v>
      </c>
      <c r="F3" s="2001" t="s">
        <v>3452</v>
      </c>
      <c r="G3" s="749">
        <f>IF(F3="宗地容积率",'数据-汇总表'!I4,IF(F3="估价对象容积率",'数据-汇总表'!I6,'数据-汇总表'!I7))</f>
        <v>2</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1.1838</v>
      </c>
      <c r="T3" s="3357">
        <f t="shared" si="0"/>
        <v>3948</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761"/>
      <c r="B4" s="3762"/>
      <c r="C4" s="3762"/>
      <c r="D4" s="3763"/>
      <c r="E4" s="3763"/>
      <c r="F4" s="3763"/>
      <c r="G4" s="3763"/>
      <c r="H4" s="3763"/>
      <c r="I4" s="3763"/>
      <c r="J4" s="3764"/>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1.0004999999999999</v>
      </c>
      <c r="T4" s="3357">
        <f t="shared" si="0"/>
        <v>3337</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1655</v>
      </c>
      <c r="D5" s="1336">
        <f>ROUND(C6*C17+C20,0)</f>
        <v>1655</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0.88239999999999996</v>
      </c>
      <c r="T5" s="3357">
        <f t="shared" si="0"/>
        <v>2943</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1700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0.84799999999999998</v>
      </c>
      <c r="T6" s="3357">
        <f t="shared" si="0"/>
        <v>2828</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3236</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1700</v>
      </c>
      <c r="N7" s="863">
        <f>SUMPRODUCT((因素修正幅度!B190:B233=I2)*(因素修正幅度!C3:G3=E2)*(因素修正幅度!C190:G233))</f>
        <v>0.05</v>
      </c>
      <c r="O7" s="1116"/>
      <c r="P7" s="1116"/>
      <c r="Q7" s="1116"/>
      <c r="R7" s="1209">
        <v>6</v>
      </c>
      <c r="S7" s="3415"/>
      <c r="T7" s="3357">
        <f t="shared" si="0"/>
        <v>0</v>
      </c>
      <c r="U7" s="1210"/>
      <c r="V7" s="3357">
        <f t="shared" si="1"/>
        <v>0</v>
      </c>
      <c r="W7" s="1355" t="s">
        <v>1955</v>
      </c>
      <c r="X7" s="1211" t="str">
        <f>G2</f>
        <v>七级</v>
      </c>
      <c r="Y7" s="1211" t="s">
        <v>1956</v>
      </c>
      <c r="Z7" s="1212">
        <f>G3</f>
        <v>2</v>
      </c>
      <c r="AA7" s="1213"/>
      <c r="AB7" s="1213"/>
      <c r="AC7" s="1214"/>
      <c r="AD7" s="1215"/>
      <c r="AE7" s="1215"/>
      <c r="AF7" s="1215"/>
      <c r="AG7" s="1215"/>
      <c r="AH7" s="1215"/>
      <c r="AI7" s="1215"/>
      <c r="AJ7" s="1216"/>
    </row>
    <row r="8" spans="1:36" ht="15">
      <c r="A8" s="3295"/>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f t="shared" si="0"/>
        <v>0</v>
      </c>
      <c r="U8" s="1210"/>
      <c r="V8" s="3357">
        <f t="shared" si="1"/>
        <v>0</v>
      </c>
      <c r="W8" s="3758" t="s">
        <v>1960</v>
      </c>
      <c r="X8" s="3759"/>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760"/>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76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3247</v>
      </c>
      <c r="E18" s="3325"/>
      <c r="F18" s="3320" t="s">
        <v>3250</v>
      </c>
      <c r="G18" s="3324">
        <f>ROUND(1-(1/(POWER(1+G24,E18))),4)</f>
        <v>0</v>
      </c>
      <c r="H18" s="3320" t="s">
        <v>3252</v>
      </c>
      <c r="I18" s="3324">
        <f>ROUND(1-(1/(POWER(1+G24,J24))),4)</f>
        <v>0.91279999999999994</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3248</v>
      </c>
      <c r="E19" s="3334"/>
      <c r="F19" s="3335" t="s">
        <v>3251</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765" t="s">
        <v>3253</v>
      </c>
      <c r="B20" s="166" t="s">
        <v>1994</v>
      </c>
      <c r="C20" s="3321">
        <f>ROUND(IF(F21="与级别开发程度一致",0,(G21-E21)/C21),0)</f>
        <v>-45</v>
      </c>
      <c r="D20" s="3337" t="s">
        <v>1998</v>
      </c>
      <c r="E20" s="3338"/>
      <c r="F20" s="3771" t="s">
        <v>1995</v>
      </c>
      <c r="G20" s="3772"/>
      <c r="H20" s="3322" t="s">
        <v>3455</v>
      </c>
      <c r="I20" s="3322" t="s">
        <v>3456</v>
      </c>
      <c r="J20" s="3323" t="s">
        <v>3457</v>
      </c>
      <c r="K20" s="2044" t="s">
        <v>3458</v>
      </c>
      <c r="L20" s="2044" t="s">
        <v>3459</v>
      </c>
      <c r="M20" s="2044" t="s">
        <v>3460</v>
      </c>
      <c r="N20" s="2044" t="s">
        <v>43</v>
      </c>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26.25" thickBot="1">
      <c r="A21" s="3766"/>
      <c r="B21" s="2161" t="s">
        <v>1997</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3454</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2</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1" t="s">
        <v>2002</v>
      </c>
      <c r="E23" s="758">
        <v>44197</v>
      </c>
      <c r="F23" s="2051" t="s">
        <v>2003</v>
      </c>
      <c r="G23" s="759">
        <f>'数据-取费表'!B2</f>
        <v>45726</v>
      </c>
      <c r="H23" s="3339" t="s">
        <v>3255</v>
      </c>
      <c r="I23" s="3340" t="str">
        <f>IF(H23="季度增幅（自定义）",SUMIF(N25:N28,E2,O25:O28),"")</f>
        <v/>
      </c>
      <c r="J23" s="3442" t="s">
        <v>3254</v>
      </c>
      <c r="K23" s="1122"/>
      <c r="L23" s="2052" t="s">
        <v>2004</v>
      </c>
      <c r="M23" s="1325">
        <f>ROUND(SUMIF(地价!B2:G2,E2,地价!B16:G16),0)</f>
        <v>318</v>
      </c>
      <c r="N23" s="2053" t="s">
        <v>2005</v>
      </c>
      <c r="O23" s="760">
        <f>ROUNDDOWN(DATEDIF(E23,G23,"M")/3,0)</f>
        <v>16</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0.90639999999999998</v>
      </c>
      <c r="D24" s="2057" t="s">
        <v>2007</v>
      </c>
      <c r="E24" s="1332">
        <f>存贷款利率!E27/100</f>
        <v>4.3499999999999997E-2</v>
      </c>
      <c r="F24" s="2057" t="s">
        <v>1999</v>
      </c>
      <c r="G24" s="765">
        <f>SUMIF(M30:Q30,E2,M33:Q33)</f>
        <v>0.05</v>
      </c>
      <c r="H24" s="2057" t="s">
        <v>2008</v>
      </c>
      <c r="I24" s="766">
        <f>SUMIF('数据-取费表'!C6:C15,E2,'数据-取费表'!F6:F15)/COUNTIF('数据-取费表'!C6:C15,E2)</f>
        <v>36</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3334</v>
      </c>
      <c r="C25" s="768">
        <f>IF(B25="容积率修正",IF(G3&lt;10,D26,J26),C27)</f>
        <v>1</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3256</v>
      </c>
      <c r="D26" s="1349">
        <f>IF(E26=G26,F26,IF(G3&lt;10,ROUND(F26+(H26-F26)*(G3-E26)/(G26-E26),4),"——"))</f>
        <v>1</v>
      </c>
      <c r="E26" s="749">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69" t="str">
        <f>IF(G3&gt;=10,D115,"——")</f>
        <v>——</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1.0266999999999999</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273</v>
      </c>
      <c r="D30" s="2080"/>
      <c r="E30" s="2043"/>
      <c r="F30" s="2081"/>
      <c r="G30" s="2043"/>
      <c r="H30" s="2043"/>
      <c r="I30" s="2043"/>
      <c r="J30" s="2082"/>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7">
        <f>ROUND($E$24*(1+M31),3)</f>
        <v>5.3999999999999999E-2</v>
      </c>
      <c r="N32" s="2567">
        <f>ROUND($E$24*(1+N31),3)</f>
        <v>5.1999999999999998E-2</v>
      </c>
      <c r="O32" s="2567">
        <f>ROUND($E$24*(1+O31),3)</f>
        <v>0.05</v>
      </c>
      <c r="P32" s="2567">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f>ROUND(C5*C22*C23*C24*C25*C28,0)</f>
        <v>3335</v>
      </c>
      <c r="D33" s="2095">
        <f>'数据-汇总表'!E19</f>
        <v>817.51</v>
      </c>
      <c r="E33" s="770">
        <f>ROUND(C33*D33/10000,0)</f>
        <v>273</v>
      </c>
      <c r="F33" s="3342" t="s">
        <v>3259</v>
      </c>
      <c r="G33" s="2096"/>
      <c r="H33" s="2096"/>
      <c r="I33" s="2096"/>
      <c r="J33" s="2097"/>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f>ROUND(IF(E2="工业",C33*M42,IF(B25="楼层修正",SUM(V2:V16)*M41*10000/D34,C33*M41)),0)</f>
        <v>500</v>
      </c>
      <c r="D34" s="2100"/>
      <c r="E34" s="770">
        <f>ROUND(IF(B25="楼层修正",SUM(V2:V16)*M40,C34*D34/10000),0)</f>
        <v>0</v>
      </c>
      <c r="F34" s="2101" t="s">
        <v>2032</v>
      </c>
      <c r="G34" s="2102"/>
      <c r="H34" s="2102"/>
      <c r="I34" s="2102"/>
      <c r="J34" s="2103"/>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3" t="s">
        <v>3264</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9"/>
      <c r="B37" s="2110" t="s">
        <v>2036</v>
      </c>
      <c r="C37" s="174">
        <f>ROUND(D5*C22*C23*C24*C28*F37,0)</f>
        <v>2001</v>
      </c>
      <c r="D37" s="2095"/>
      <c r="E37" s="170">
        <f>ROUND(C37*D37/10000,0)</f>
        <v>0</v>
      </c>
      <c r="F37" s="170">
        <f>SUMIF(修正!A57:A68,G2,修正!B57:B68)</f>
        <v>0.6</v>
      </c>
      <c r="G37" s="170">
        <f>ROUND(IF(E2="工业",C37*$M$42,C37*$M$41),0)</f>
        <v>300</v>
      </c>
      <c r="H37" s="170">
        <f>D37</f>
        <v>0</v>
      </c>
      <c r="I37" s="170">
        <f>ROUND(G37*H37/10000,0)</f>
        <v>0</v>
      </c>
      <c r="J37" s="3008"/>
      <c r="K37" s="3355" t="s">
        <v>3265</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0"/>
      <c r="B38" s="2038" t="s">
        <v>2037</v>
      </c>
      <c r="C38" s="174">
        <f>ROUND(D5*C22*C23*C24*C28*F38,0)</f>
        <v>1001</v>
      </c>
      <c r="D38" s="2095"/>
      <c r="E38" s="170">
        <f t="shared" ref="E38:E42" si="4">ROUND(C38*D38/10000,0)</f>
        <v>0</v>
      </c>
      <c r="F38" s="170">
        <f>SUMIF(修正!A57:A68,G2,修正!C57:C68)</f>
        <v>0.3</v>
      </c>
      <c r="G38" s="170">
        <f>ROUND(IF(E2="工业",C38*$M$42,C38*$M$41),0)</f>
        <v>150</v>
      </c>
      <c r="H38" s="170">
        <f t="shared" ref="H38:H42" si="5">D38</f>
        <v>0</v>
      </c>
      <c r="I38" s="170">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70"/>
      <c r="B39" s="2038" t="s">
        <v>3258</v>
      </c>
      <c r="C39" s="174">
        <f>ROUND(D5*C22*C23*C24*C28*F39,0)</f>
        <v>834</v>
      </c>
      <c r="D39" s="2095"/>
      <c r="E39" s="170">
        <f t="shared" si="4"/>
        <v>0</v>
      </c>
      <c r="F39" s="170">
        <f>SUMIF(修正!A57:A68,G2,修正!D57:D68)</f>
        <v>0.25</v>
      </c>
      <c r="G39" s="170">
        <f>ROUND(IF(E2="工业",C39*$M$42,C39*$M$41),0)</f>
        <v>125</v>
      </c>
      <c r="H39" s="170">
        <f t="shared" si="5"/>
        <v>0</v>
      </c>
      <c r="I39" s="170">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f>ROUND(D5*C22*C23*C24*C28*F40,0)</f>
        <v>834</v>
      </c>
      <c r="D40" s="2095"/>
      <c r="E40" s="170">
        <f t="shared" si="4"/>
        <v>0</v>
      </c>
      <c r="F40" s="174">
        <f>SUMIF(修正!A57:A68,G2,修正!E57:E68)</f>
        <v>0.25</v>
      </c>
      <c r="G40" s="170">
        <f>ROUND(IF(E2="工业",C40*$M$42,C40*$M$41),0)</f>
        <v>125</v>
      </c>
      <c r="H40" s="170">
        <f t="shared" si="5"/>
        <v>0</v>
      </c>
      <c r="I40" s="170">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f>ROUND(D5*C22*C23*C44*C28*F41,0)</f>
        <v>0</v>
      </c>
      <c r="D41" s="2095"/>
      <c r="E41" s="170">
        <f t="shared" si="4"/>
        <v>0</v>
      </c>
      <c r="F41" s="174">
        <f>SUMIF(修正!A57:A68,G2,修正!F57:F68)</f>
        <v>0.25</v>
      </c>
      <c r="G41" s="170">
        <f>ROUND(IF(E2="工业",C41*$M$42,C41*$M$41),0)</f>
        <v>0</v>
      </c>
      <c r="H41" s="170">
        <f t="shared" si="5"/>
        <v>0</v>
      </c>
      <c r="I41" s="170">
        <f t="shared" si="6"/>
        <v>0</v>
      </c>
      <c r="J41" s="2111"/>
      <c r="L41" s="3356"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f>ROUND(D5*C22*C23*C44*C28*F42,0)</f>
        <v>0</v>
      </c>
      <c r="D42" s="2100"/>
      <c r="E42" s="186">
        <f t="shared" si="4"/>
        <v>0</v>
      </c>
      <c r="F42" s="764">
        <f>SUMIF(修正!A57:A68,G2,修正!G57:G68)</f>
        <v>0.15</v>
      </c>
      <c r="G42" s="186">
        <f>ROUND(IF(E2="工业",C42*$M$42,C42*$M$41),0)</f>
        <v>0</v>
      </c>
      <c r="H42" s="186">
        <f t="shared" si="5"/>
        <v>0</v>
      </c>
      <c r="I42" s="186">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f>ROUND(POWER(1+E44,H44-G44)*(POWER(1+E44,G44)-1)/(POWER(1+E44,H44)-1),4)</f>
        <v>0</v>
      </c>
      <c r="D44" s="170" t="s">
        <v>1999</v>
      </c>
      <c r="E44" s="2150">
        <f>G24</f>
        <v>0.05</v>
      </c>
      <c r="F44" s="170" t="s">
        <v>2008</v>
      </c>
      <c r="G44" s="182"/>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3268</v>
      </c>
      <c r="B52" s="2131">
        <f>估价对象房地状况!C19</f>
        <v>0</v>
      </c>
      <c r="C52" s="2041"/>
      <c r="D52" s="1062">
        <f t="shared" si="7"/>
        <v>0</v>
      </c>
      <c r="E52" s="742"/>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3268</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1.0266999999999999</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t="s">
        <v>3423</v>
      </c>
      <c r="D83" s="1062">
        <f t="shared" ref="D83:D90" si="22">SUMIF($J$82:$N$82,C83,J83:N83)</f>
        <v>6.4999999999999997E-3</v>
      </c>
      <c r="E83" s="741">
        <f>ROUND(SUM(D83:D90),4)</f>
        <v>2.6700000000000002E-2</v>
      </c>
      <c r="F83" s="1811">
        <f>IF(E2="工业",SUMIF(L1:L12,G2,N1:N12),"——")</f>
        <v>0.05</v>
      </c>
      <c r="G83" s="1060">
        <f>H83</f>
        <v>6.4999999999999997E-3</v>
      </c>
      <c r="H83" s="1063">
        <f t="shared" ref="H83:H90" si="23">IFERROR(ROUNDDOWN($F$83*I83/2,4),"——")</f>
        <v>6.4999999999999997E-3</v>
      </c>
      <c r="I83" s="3363">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3423</v>
      </c>
      <c r="D84" s="1062">
        <f t="shared" si="22"/>
        <v>7.4999999999999997E-3</v>
      </c>
      <c r="E84" s="744"/>
      <c r="F84" s="1811"/>
      <c r="G84" s="1060">
        <f t="shared" ref="G84:G90" si="27">H84</f>
        <v>7.4999999999999997E-3</v>
      </c>
      <c r="H84" s="1063">
        <f t="shared" si="23"/>
        <v>7.4999999999999997E-3</v>
      </c>
      <c r="I84" s="3363">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5" t="s">
        <v>3269</v>
      </c>
      <c r="B85" s="2131">
        <f>估价对象房地状况!G17</f>
        <v>0</v>
      </c>
      <c r="C85" s="2041" t="s">
        <v>3423</v>
      </c>
      <c r="D85" s="1062">
        <f t="shared" si="22"/>
        <v>2.5000000000000001E-3</v>
      </c>
      <c r="E85" s="744"/>
      <c r="F85" s="1811"/>
      <c r="G85" s="1060">
        <f t="shared" si="27"/>
        <v>2.5000000000000001E-3</v>
      </c>
      <c r="H85" s="1063">
        <f t="shared" si="23"/>
        <v>2.5000000000000001E-3</v>
      </c>
      <c r="I85" s="3363">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2067</v>
      </c>
      <c r="B86" s="2131">
        <f>估价对象房地状况!G22</f>
        <v>0</v>
      </c>
      <c r="C86" s="2041" t="s">
        <v>3462</v>
      </c>
      <c r="D86" s="1062">
        <f t="shared" si="22"/>
        <v>0</v>
      </c>
      <c r="E86" s="744"/>
      <c r="F86" s="1811"/>
      <c r="G86" s="1060">
        <f t="shared" si="27"/>
        <v>1.1999999999999999E-3</v>
      </c>
      <c r="H86" s="1063">
        <f t="shared" si="23"/>
        <v>1.1999999999999999E-3</v>
      </c>
      <c r="I86" s="3363">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2059</v>
      </c>
      <c r="B87" s="1323" t="str">
        <f>估价对象房地状况!G19</f>
        <v>估价对象所在区域公共配套设施齐备情况</v>
      </c>
      <c r="C87" s="2041" t="s">
        <v>3423</v>
      </c>
      <c r="D87" s="1062">
        <f t="shared" si="22"/>
        <v>1.5E-3</v>
      </c>
      <c r="E87" s="744"/>
      <c r="F87" s="1811"/>
      <c r="G87" s="1060">
        <f t="shared" si="27"/>
        <v>1.5E-3</v>
      </c>
      <c r="H87" s="1063">
        <f t="shared" si="23"/>
        <v>1.5E-3</v>
      </c>
      <c r="I87" s="3363">
        <v>0.06</v>
      </c>
      <c r="J87" s="1061">
        <f t="shared" si="24"/>
        <v>3.0000000000000001E-3</v>
      </c>
      <c r="K87" s="1061">
        <f t="shared" si="25"/>
        <v>1.5E-3</v>
      </c>
      <c r="L87" s="1061">
        <v>0</v>
      </c>
      <c r="M87" s="1061">
        <f t="shared" si="26"/>
        <v>-1.5E-3</v>
      </c>
      <c r="N87" s="1061">
        <f t="shared" si="26"/>
        <v>-3.0000000000000001E-3</v>
      </c>
    </row>
    <row r="88" spans="1:37" ht="25.5">
      <c r="A88" s="2127" t="s">
        <v>2060</v>
      </c>
      <c r="B88" s="1323" t="str">
        <f>估价对象房地状况!G20</f>
        <v>估价对象所在区域基础设施水平</v>
      </c>
      <c r="C88" s="2041" t="s">
        <v>3463</v>
      </c>
      <c r="D88" s="1062">
        <f t="shared" si="22"/>
        <v>6.0000000000000001E-3</v>
      </c>
      <c r="E88" s="744"/>
      <c r="F88" s="1811"/>
      <c r="G88" s="1060">
        <f t="shared" si="27"/>
        <v>3.0000000000000001E-3</v>
      </c>
      <c r="H88" s="1063">
        <f t="shared" si="23"/>
        <v>3.0000000000000001E-3</v>
      </c>
      <c r="I88" s="3363">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2057</v>
      </c>
      <c r="B89" s="2133" t="s">
        <v>2071</v>
      </c>
      <c r="C89" s="2041" t="s">
        <v>3423</v>
      </c>
      <c r="D89" s="1062">
        <f t="shared" si="22"/>
        <v>1.5E-3</v>
      </c>
      <c r="E89" s="744"/>
      <c r="F89" s="1811"/>
      <c r="G89" s="1060">
        <f t="shared" si="27"/>
        <v>1.5E-3</v>
      </c>
      <c r="H89" s="1063">
        <f t="shared" si="23"/>
        <v>1.5E-3</v>
      </c>
      <c r="I89" s="3363">
        <v>0.06</v>
      </c>
      <c r="J89" s="1061">
        <f t="shared" si="24"/>
        <v>3.0000000000000001E-3</v>
      </c>
      <c r="K89" s="1061">
        <f t="shared" si="25"/>
        <v>1.5E-3</v>
      </c>
      <c r="L89" s="1061">
        <v>0</v>
      </c>
      <c r="M89" s="1061">
        <f t="shared" si="26"/>
        <v>-1.5E-3</v>
      </c>
      <c r="N89" s="1061">
        <f t="shared" si="26"/>
        <v>-3.0000000000000001E-3</v>
      </c>
    </row>
    <row r="90" spans="1:37" ht="39" thickBot="1">
      <c r="A90" s="2135" t="s">
        <v>2072</v>
      </c>
      <c r="B90" s="2140" t="str">
        <f>估价对象房地状况!G18</f>
        <v>该园区内是否有污染型企业，绿化情况，卫生条件，整体环境状况判断</v>
      </c>
      <c r="C90" s="2041" t="s">
        <v>3423</v>
      </c>
      <c r="D90" s="1062">
        <f t="shared" si="22"/>
        <v>1.1999999999999999E-3</v>
      </c>
      <c r="E90" s="745"/>
      <c r="F90" s="1811"/>
      <c r="G90" s="1060">
        <f t="shared" si="27"/>
        <v>1.1999999999999999E-3</v>
      </c>
      <c r="H90" s="1063">
        <f t="shared" si="23"/>
        <v>1.1999999999999999E-3</v>
      </c>
      <c r="I90" s="3364">
        <v>0.05</v>
      </c>
      <c r="J90" s="1061">
        <f t="shared" si="24"/>
        <v>2.3999999999999998E-3</v>
      </c>
      <c r="K90" s="1061">
        <f t="shared" si="25"/>
        <v>1.1999999999999999E-3</v>
      </c>
      <c r="L90" s="1061">
        <v>0</v>
      </c>
      <c r="M90" s="1061">
        <f t="shared" si="26"/>
        <v>-1.1999999999999999E-3</v>
      </c>
      <c r="N90" s="1061">
        <f t="shared" si="26"/>
        <v>-2.3999999999999998E-3</v>
      </c>
    </row>
    <row r="91" spans="1:37" ht="15">
      <c r="A91" s="3373" t="s">
        <v>2611</v>
      </c>
      <c r="B91" s="3374">
        <f>1+E93</f>
        <v>1</v>
      </c>
      <c r="C91" s="3367"/>
      <c r="D91" s="3368"/>
      <c r="E91" s="1811"/>
      <c r="F91" s="1811"/>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3272</v>
      </c>
      <c r="B94" s="3366" t="str">
        <f>估价对象房地状况!C18</f>
        <v>估价对象周边道路状况、公共交通通达情况、停车便捷程度，综合评价交通便捷度较好</v>
      </c>
      <c r="C94" s="2041"/>
      <c r="D94" s="3362">
        <f t="shared" ref="D94:D101" si="31">SUMIF($J$60:$N$60,C94,J94:N94)</f>
        <v>0</v>
      </c>
      <c r="E94" s="3379"/>
      <c r="F94" s="1811"/>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3268</v>
      </c>
      <c r="B95" s="3366">
        <f>估价对象房地状况!C19</f>
        <v>0</v>
      </c>
      <c r="C95" s="2041"/>
      <c r="D95" s="3362">
        <f t="shared" si="31"/>
        <v>0</v>
      </c>
      <c r="E95" s="3379"/>
      <c r="F95" s="1811"/>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3273</v>
      </c>
      <c r="B96" s="3381" t="s">
        <v>3284</v>
      </c>
      <c r="C96" s="2041"/>
      <c r="D96" s="3362">
        <f t="shared" si="31"/>
        <v>0</v>
      </c>
      <c r="E96" s="3379"/>
      <c r="F96" s="1811"/>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1"/>
      <c r="D97" s="3362">
        <f t="shared" si="31"/>
        <v>0</v>
      </c>
      <c r="E97" s="3379"/>
      <c r="F97" s="1811"/>
      <c r="G97" s="3369"/>
      <c r="H97" s="3417" t="str">
        <f t="shared" si="32"/>
        <v>——</v>
      </c>
      <c r="I97" s="3363">
        <v>0.05</v>
      </c>
      <c r="J97" s="3341">
        <f t="shared" si="28"/>
        <v>0</v>
      </c>
      <c r="K97" s="3341">
        <f t="shared" si="29"/>
        <v>0</v>
      </c>
      <c r="L97" s="3341">
        <v>0</v>
      </c>
      <c r="M97" s="3341">
        <f t="shared" si="30"/>
        <v>0</v>
      </c>
      <c r="N97" s="3341">
        <f t="shared" si="30"/>
        <v>0</v>
      </c>
    </row>
    <row r="98" spans="1:14" ht="24">
      <c r="A98" s="3375" t="s">
        <v>3275</v>
      </c>
      <c r="B98" s="3382" t="s">
        <v>3285</v>
      </c>
      <c r="C98" s="2041"/>
      <c r="D98" s="3362">
        <f t="shared" si="31"/>
        <v>0</v>
      </c>
      <c r="E98" s="3379"/>
      <c r="F98" s="1811"/>
      <c r="G98" s="3369"/>
      <c r="H98" s="3417" t="str">
        <f t="shared" si="32"/>
        <v>——</v>
      </c>
      <c r="I98" s="3363">
        <v>0.06</v>
      </c>
      <c r="J98" s="3341">
        <f t="shared" si="28"/>
        <v>0</v>
      </c>
      <c r="K98" s="3341">
        <f t="shared" si="29"/>
        <v>0</v>
      </c>
      <c r="L98" s="3341">
        <v>0</v>
      </c>
      <c r="M98" s="3341">
        <f t="shared" si="30"/>
        <v>0</v>
      </c>
      <c r="N98" s="3341">
        <f t="shared" si="30"/>
        <v>0</v>
      </c>
    </row>
    <row r="99" spans="1:14" ht="25.5">
      <c r="A99" s="3375" t="s">
        <v>3276</v>
      </c>
      <c r="B99" s="3366" t="str">
        <f>估价对象房地状况!C21</f>
        <v>估价对象所在区域公共配套设施齐备情况</v>
      </c>
      <c r="C99" s="2041"/>
      <c r="D99" s="3362">
        <f t="shared" si="31"/>
        <v>0</v>
      </c>
      <c r="E99" s="3379"/>
      <c r="F99" s="1811"/>
      <c r="G99" s="3369"/>
      <c r="H99" s="3417" t="str">
        <f t="shared" si="32"/>
        <v>——</v>
      </c>
      <c r="I99" s="3363">
        <v>0.06</v>
      </c>
      <c r="J99" s="3341">
        <f t="shared" si="28"/>
        <v>0</v>
      </c>
      <c r="K99" s="3341">
        <f t="shared" si="29"/>
        <v>0</v>
      </c>
      <c r="L99" s="3341">
        <v>0</v>
      </c>
      <c r="M99" s="3341">
        <f t="shared" si="30"/>
        <v>0</v>
      </c>
      <c r="N99" s="3341">
        <f t="shared" si="30"/>
        <v>0</v>
      </c>
    </row>
    <row r="100" spans="1:14" ht="25.5">
      <c r="A100" s="3375" t="s">
        <v>3277</v>
      </c>
      <c r="B100" s="3366" t="str">
        <f>估价对象房地状况!C22</f>
        <v>估价对象所在区域基础设施水平</v>
      </c>
      <c r="C100" s="2041"/>
      <c r="D100" s="3362">
        <f t="shared" si="31"/>
        <v>0</v>
      </c>
      <c r="E100" s="3379"/>
      <c r="F100" s="1811"/>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3278</v>
      </c>
      <c r="B101" s="3383" t="str">
        <f>估价对象房地状况!C20</f>
        <v>区域自然环境：；人文环境；综合评价环境状况一般</v>
      </c>
      <c r="C101" s="2041"/>
      <c r="D101" s="3362">
        <f t="shared" si="31"/>
        <v>0</v>
      </c>
      <c r="E101" s="3380"/>
      <c r="F101" s="1811"/>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67" t="s">
        <v>3293</v>
      </c>
      <c r="B103" s="3767"/>
      <c r="C103" s="3767"/>
      <c r="D103" s="3767"/>
      <c r="E103" s="3767"/>
      <c r="F103" s="3767"/>
      <c r="G103" s="3767"/>
      <c r="H103" s="3767"/>
      <c r="I103" s="3767"/>
      <c r="J103" s="3767"/>
      <c r="K103" s="3386"/>
      <c r="L103" s="3386"/>
      <c r="M103" s="3386"/>
      <c r="N103" s="3386"/>
    </row>
    <row r="104" spans="1:14">
      <c r="A104" s="3768" t="s">
        <v>3294</v>
      </c>
      <c r="B104" s="3768" t="s">
        <v>3295</v>
      </c>
      <c r="C104" s="3387" t="s">
        <v>3296</v>
      </c>
      <c r="D104" s="3388"/>
      <c r="E104" s="3388"/>
      <c r="F104" s="3388"/>
      <c r="G104" s="3388"/>
      <c r="H104" s="3388"/>
      <c r="I104" s="3388"/>
      <c r="J104" s="3389"/>
      <c r="K104" s="3390"/>
      <c r="L104" s="3390"/>
      <c r="M104" s="3390"/>
      <c r="N104" s="3390"/>
    </row>
    <row r="105" spans="1:14">
      <c r="A105" s="3768"/>
      <c r="B105" s="3768"/>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54"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5"/>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56"/>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57" t="s">
        <v>3310</v>
      </c>
      <c r="B113" s="3757"/>
      <c r="C113" s="3757"/>
      <c r="D113" s="3757"/>
      <c r="E113" s="3757"/>
      <c r="F113" s="3757"/>
      <c r="G113" s="3757"/>
      <c r="H113" s="3757"/>
      <c r="I113" s="3757"/>
      <c r="J113" s="375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v>
      </c>
      <c r="C116" s="3396" t="s">
        <v>3312</v>
      </c>
      <c r="D116" s="3397">
        <f>SUMPRODUCT((A118:A122=F116)*(B117:M117=H116)*B118:M122)</f>
        <v>0.62519999999999998</v>
      </c>
      <c r="E116" s="1997" t="s">
        <v>3313</v>
      </c>
      <c r="F116" s="3398" t="str">
        <f>E2</f>
        <v>工业</v>
      </c>
      <c r="G116" s="1997" t="s">
        <v>3314</v>
      </c>
      <c r="H116" s="3398" t="str">
        <f>G2</f>
        <v>七级</v>
      </c>
      <c r="I116" s="1997"/>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6">I118</f>
        <v>0.81259999999999999</v>
      </c>
      <c r="K118" s="3384">
        <f t="shared" si="36"/>
        <v>0.81259999999999999</v>
      </c>
      <c r="L118" s="3384">
        <f t="shared" si="36"/>
        <v>0.81259999999999999</v>
      </c>
      <c r="M118" s="3407">
        <f t="shared" si="36"/>
        <v>0.81259999999999999</v>
      </c>
      <c r="N118" s="3394"/>
    </row>
    <row r="119" spans="1:14">
      <c r="A119" s="3406" t="s">
        <v>3328</v>
      </c>
      <c r="B119" s="3384">
        <f>ROUND(0.993-0.0112*B116,4)</f>
        <v>0.97060000000000002</v>
      </c>
      <c r="C119" s="3384">
        <f>B119</f>
        <v>0.97060000000000002</v>
      </c>
      <c r="D119" s="3384">
        <f>ROUND(0.9415-0.0142*B116,4)</f>
        <v>0.91310000000000002</v>
      </c>
      <c r="E119" s="3384">
        <f t="shared" ref="E119:H120" si="37">D119</f>
        <v>0.91310000000000002</v>
      </c>
      <c r="F119" s="3384">
        <f t="shared" si="37"/>
        <v>0.91310000000000002</v>
      </c>
      <c r="G119" s="3384">
        <f t="shared" si="37"/>
        <v>0.91310000000000002</v>
      </c>
      <c r="H119" s="3384">
        <f t="shared" si="37"/>
        <v>0.91310000000000002</v>
      </c>
      <c r="I119" s="3384">
        <f>ROUND(0.838-0.0182*B116,4)</f>
        <v>0.80159999999999998</v>
      </c>
      <c r="J119" s="3384">
        <f t="shared" si="36"/>
        <v>0.80159999999999998</v>
      </c>
      <c r="K119" s="3384">
        <f t="shared" si="36"/>
        <v>0.80159999999999998</v>
      </c>
      <c r="L119" s="3384">
        <f t="shared" si="36"/>
        <v>0.80159999999999998</v>
      </c>
      <c r="M119" s="3407">
        <f t="shared" si="36"/>
        <v>0.80159999999999998</v>
      </c>
      <c r="N119" s="3394"/>
    </row>
    <row r="120" spans="1:14">
      <c r="A120" s="3406" t="s">
        <v>3329</v>
      </c>
      <c r="B120" s="3384">
        <f>ROUND(0.9448-0.0115*B116,4)</f>
        <v>0.92179999999999995</v>
      </c>
      <c r="C120" s="3384">
        <f>B120</f>
        <v>0.92179999999999995</v>
      </c>
      <c r="D120" s="3384">
        <f>ROUND(0.937-0.0145*B116,4)</f>
        <v>0.90800000000000003</v>
      </c>
      <c r="E120" s="3384">
        <f t="shared" si="37"/>
        <v>0.90800000000000003</v>
      </c>
      <c r="F120" s="3384">
        <f t="shared" si="37"/>
        <v>0.90800000000000003</v>
      </c>
      <c r="G120" s="3384">
        <f t="shared" si="37"/>
        <v>0.90800000000000003</v>
      </c>
      <c r="H120" s="3384">
        <f t="shared" si="37"/>
        <v>0.90800000000000003</v>
      </c>
      <c r="I120" s="3384">
        <f>ROUND(0.7965-0.0185*B116,4)</f>
        <v>0.75949999999999995</v>
      </c>
      <c r="J120" s="3384">
        <f t="shared" si="36"/>
        <v>0.75949999999999995</v>
      </c>
      <c r="K120" s="3384">
        <f t="shared" si="36"/>
        <v>0.75949999999999995</v>
      </c>
      <c r="L120" s="3384">
        <f t="shared" si="36"/>
        <v>0.75949999999999995</v>
      </c>
      <c r="M120" s="3407">
        <f t="shared" si="36"/>
        <v>0.75949999999999995</v>
      </c>
      <c r="N120" s="3394"/>
    </row>
    <row r="121" spans="1:14" ht="13.5" thickBot="1">
      <c r="A121" s="3408" t="s">
        <v>3330</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6"/>
        <v>0.55249999999999999</v>
      </c>
      <c r="K121" s="3409">
        <f t="shared" si="36"/>
        <v>0.55249999999999999</v>
      </c>
      <c r="L121" s="3409">
        <f t="shared" si="36"/>
        <v>0.55249999999999999</v>
      </c>
      <c r="M121" s="3410">
        <f t="shared" si="36"/>
        <v>0.55249999999999999</v>
      </c>
      <c r="N121" s="3394"/>
    </row>
    <row r="122" spans="1:14">
      <c r="A122" s="3411" t="s">
        <v>2611</v>
      </c>
      <c r="B122" s="3384">
        <f>ROUND(0.9404-0.0106*B116,4)</f>
        <v>0.91920000000000002</v>
      </c>
      <c r="C122" s="3384">
        <f>B122</f>
        <v>0.91920000000000002</v>
      </c>
      <c r="D122" s="3384">
        <f>ROUND(0.8955-0.0135*B116,4)</f>
        <v>0.86850000000000005</v>
      </c>
      <c r="E122" s="3384">
        <f t="shared" ref="E122:H122" si="38">D122</f>
        <v>0.86850000000000005</v>
      </c>
      <c r="F122" s="3384">
        <f t="shared" si="38"/>
        <v>0.86850000000000005</v>
      </c>
      <c r="G122" s="3384">
        <f t="shared" si="38"/>
        <v>0.86850000000000005</v>
      </c>
      <c r="H122" s="3384">
        <f t="shared" si="38"/>
        <v>0.86850000000000005</v>
      </c>
      <c r="I122" s="3384">
        <f>ROUND(0.7632-0.0166*B116,4)</f>
        <v>0.73</v>
      </c>
      <c r="J122" s="3384">
        <f t="shared" si="36"/>
        <v>0.73</v>
      </c>
      <c r="K122" s="3384">
        <f t="shared" si="36"/>
        <v>0.73</v>
      </c>
      <c r="L122" s="3384">
        <f t="shared" si="36"/>
        <v>0.73</v>
      </c>
      <c r="M122" s="3407">
        <f t="shared" si="36"/>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2" t="s">
        <v>2606</v>
      </c>
      <c r="B20" s="3777" t="s">
        <v>2627</v>
      </c>
      <c r="C20" s="3099" t="s">
        <v>2438</v>
      </c>
      <c r="D20" s="3100"/>
      <c r="E20" s="3101">
        <v>1</v>
      </c>
      <c r="F20" s="3102" t="s">
        <v>2439</v>
      </c>
      <c r="G20" s="3102"/>
    </row>
    <row r="21" spans="1:13" ht="19.5" customHeight="1">
      <c r="A21" s="3783"/>
      <c r="B21" s="3776"/>
      <c r="C21" s="3103" t="s">
        <v>2440</v>
      </c>
      <c r="D21" s="3104"/>
      <c r="E21" s="3105">
        <v>1</v>
      </c>
      <c r="F21" s="3102" t="s">
        <v>2441</v>
      </c>
      <c r="G21" s="3102"/>
    </row>
    <row r="22" spans="1:13" ht="19.5" customHeight="1">
      <c r="A22" s="3783"/>
      <c r="B22" s="3776"/>
      <c r="C22" s="3103" t="s">
        <v>2442</v>
      </c>
      <c r="D22" s="3104"/>
      <c r="E22" s="3105">
        <v>0.9</v>
      </c>
      <c r="F22" s="3102" t="s">
        <v>2443</v>
      </c>
      <c r="G22" s="3102"/>
    </row>
    <row r="23" spans="1:13" ht="19.5" customHeight="1">
      <c r="A23" s="3783"/>
      <c r="B23" s="3776"/>
      <c r="C23" s="3103" t="s">
        <v>2444</v>
      </c>
      <c r="D23" s="3104"/>
      <c r="E23" s="3105">
        <v>0.9</v>
      </c>
      <c r="F23" s="3102" t="s">
        <v>2445</v>
      </c>
      <c r="G23" s="3102"/>
    </row>
    <row r="24" spans="1:13" ht="19.5" customHeight="1">
      <c r="A24" s="3783"/>
      <c r="B24" s="3776"/>
      <c r="C24" s="3103" t="s">
        <v>2446</v>
      </c>
      <c r="D24" s="3104"/>
      <c r="E24" s="3105">
        <v>0.8</v>
      </c>
      <c r="F24" s="3102" t="s">
        <v>2447</v>
      </c>
      <c r="G24" s="3102"/>
    </row>
    <row r="25" spans="1:13" ht="19.5" customHeight="1" thickBot="1">
      <c r="A25" s="3784"/>
      <c r="B25" s="3778"/>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79" t="s">
        <v>2630</v>
      </c>
      <c r="B27" s="3777" t="s">
        <v>2611</v>
      </c>
      <c r="C27" s="3099" t="s">
        <v>2451</v>
      </c>
      <c r="D27" s="3100"/>
      <c r="E27" s="3101">
        <v>1</v>
      </c>
      <c r="F27" s="3102" t="s">
        <v>2452</v>
      </c>
      <c r="G27" s="3102"/>
    </row>
    <row r="28" spans="1:13" ht="19.5" customHeight="1">
      <c r="A28" s="3780"/>
      <c r="B28" s="3776"/>
      <c r="C28" s="3103" t="s">
        <v>2453</v>
      </c>
      <c r="D28" s="3104"/>
      <c r="E28" s="3105">
        <v>1</v>
      </c>
      <c r="F28" s="3102" t="s">
        <v>2454</v>
      </c>
      <c r="G28" s="3102"/>
    </row>
    <row r="29" spans="1:13" ht="19.5" customHeight="1">
      <c r="A29" s="3780"/>
      <c r="B29" s="3776"/>
      <c r="C29" s="3103" t="s">
        <v>2455</v>
      </c>
      <c r="D29" s="3104"/>
      <c r="E29" s="3105">
        <v>0.8</v>
      </c>
      <c r="F29" s="3102" t="s">
        <v>2456</v>
      </c>
      <c r="G29" s="3102"/>
    </row>
    <row r="30" spans="1:13" ht="19.5" customHeight="1">
      <c r="A30" s="3780"/>
      <c r="B30" s="3776"/>
      <c r="C30" s="3103" t="s">
        <v>2457</v>
      </c>
      <c r="D30" s="3104"/>
      <c r="E30" s="3105">
        <v>0.8</v>
      </c>
      <c r="F30" s="3102" t="s">
        <v>2458</v>
      </c>
      <c r="G30" s="3102"/>
    </row>
    <row r="31" spans="1:13" ht="19.5" customHeight="1">
      <c r="A31" s="3780"/>
      <c r="B31" s="3776"/>
      <c r="C31" s="3103" t="s">
        <v>2459</v>
      </c>
      <c r="D31" s="3104"/>
      <c r="E31" s="3105">
        <v>0.8</v>
      </c>
      <c r="F31" s="3102" t="s">
        <v>2460</v>
      </c>
      <c r="G31" s="3102"/>
    </row>
    <row r="32" spans="1:13" ht="19.5" customHeight="1">
      <c r="A32" s="3780"/>
      <c r="B32" s="3776"/>
      <c r="C32" s="3103" t="s">
        <v>2461</v>
      </c>
      <c r="D32" s="3104"/>
      <c r="E32" s="3105">
        <v>0.7</v>
      </c>
      <c r="F32" s="3102" t="s">
        <v>2462</v>
      </c>
      <c r="G32" s="3102"/>
    </row>
    <row r="33" spans="1:7" ht="19.5" customHeight="1">
      <c r="A33" s="3780"/>
      <c r="B33" s="3776"/>
      <c r="C33" s="3103" t="s">
        <v>2463</v>
      </c>
      <c r="D33" s="3104"/>
      <c r="E33" s="3105">
        <v>0.8</v>
      </c>
      <c r="F33" s="3102" t="s">
        <v>2464</v>
      </c>
      <c r="G33" s="3102"/>
    </row>
    <row r="34" spans="1:7" ht="19.5" customHeight="1">
      <c r="A34" s="3780"/>
      <c r="B34" s="3776"/>
      <c r="C34" s="3103" t="s">
        <v>2465</v>
      </c>
      <c r="D34" s="3104"/>
      <c r="E34" s="3105">
        <v>0.6</v>
      </c>
      <c r="F34" s="3102" t="s">
        <v>2466</v>
      </c>
      <c r="G34" s="3102"/>
    </row>
    <row r="35" spans="1:7" ht="19.5" customHeight="1">
      <c r="A35" s="3780"/>
      <c r="B35" s="3776"/>
      <c r="C35" s="3103" t="s">
        <v>2467</v>
      </c>
      <c r="D35" s="3104"/>
      <c r="E35" s="3105">
        <v>0.2</v>
      </c>
      <c r="F35" s="3102" t="s">
        <v>2468</v>
      </c>
      <c r="G35" s="3102"/>
    </row>
    <row r="36" spans="1:7" ht="19.5" customHeight="1">
      <c r="A36" s="3780"/>
      <c r="B36" s="3776"/>
      <c r="C36" s="3103" t="s">
        <v>2469</v>
      </c>
      <c r="D36" s="3104"/>
      <c r="E36" s="3105">
        <v>0.2</v>
      </c>
      <c r="F36" s="3102" t="s">
        <v>2470</v>
      </c>
      <c r="G36" s="3102"/>
    </row>
    <row r="37" spans="1:7" ht="19.5" customHeight="1">
      <c r="A37" s="3780"/>
      <c r="B37" s="3774" t="s">
        <v>2631</v>
      </c>
      <c r="C37" s="3103" t="s">
        <v>2471</v>
      </c>
      <c r="D37" s="3104"/>
      <c r="E37" s="3105">
        <v>0.6</v>
      </c>
      <c r="F37" s="3102" t="s">
        <v>2472</v>
      </c>
      <c r="G37" s="3102"/>
    </row>
    <row r="38" spans="1:7" ht="19.5" customHeight="1">
      <c r="A38" s="3780"/>
      <c r="B38" s="3776"/>
      <c r="C38" s="3103" t="s">
        <v>2473</v>
      </c>
      <c r="D38" s="3104"/>
      <c r="E38" s="3105">
        <v>0.6</v>
      </c>
      <c r="F38" s="3102" t="s">
        <v>2474</v>
      </c>
      <c r="G38" s="3102"/>
    </row>
    <row r="39" spans="1:7" ht="19.5" customHeight="1" thickBot="1">
      <c r="A39" s="3781"/>
      <c r="B39" s="3778"/>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2" t="s">
        <v>2609</v>
      </c>
      <c r="B41" s="3777" t="s">
        <v>2633</v>
      </c>
      <c r="C41" s="3099" t="s">
        <v>2478</v>
      </c>
      <c r="D41" s="3100"/>
      <c r="E41" s="3101">
        <v>1</v>
      </c>
      <c r="F41" s="3102" t="s">
        <v>2479</v>
      </c>
      <c r="G41" s="3102"/>
    </row>
    <row r="42" spans="1:7" ht="19.5" customHeight="1">
      <c r="A42" s="3783"/>
      <c r="B42" s="3776"/>
      <c r="C42" s="3103" t="s">
        <v>2480</v>
      </c>
      <c r="D42" s="3104"/>
      <c r="E42" s="3105">
        <v>1</v>
      </c>
      <c r="F42" s="3102" t="s">
        <v>2481</v>
      </c>
      <c r="G42" s="3102"/>
    </row>
    <row r="43" spans="1:7" ht="19.5" customHeight="1">
      <c r="A43" s="3783"/>
      <c r="B43" s="3775"/>
      <c r="C43" s="3103" t="s">
        <v>2482</v>
      </c>
      <c r="D43" s="3104"/>
      <c r="E43" s="3105">
        <v>1.5</v>
      </c>
      <c r="F43" s="3102" t="s">
        <v>2483</v>
      </c>
      <c r="G43" s="3102"/>
    </row>
    <row r="44" spans="1:7" ht="19.5" customHeight="1">
      <c r="A44" s="3783"/>
      <c r="B44" s="3114" t="s">
        <v>2634</v>
      </c>
      <c r="C44" s="3103" t="s">
        <v>2635</v>
      </c>
      <c r="D44" s="3104"/>
      <c r="E44" s="3105">
        <v>2</v>
      </c>
      <c r="F44" s="3102" t="s">
        <v>2484</v>
      </c>
      <c r="G44" s="3102"/>
    </row>
    <row r="45" spans="1:7" ht="19.5" customHeight="1">
      <c r="A45" s="3783"/>
      <c r="B45" s="3774" t="s">
        <v>2636</v>
      </c>
      <c r="C45" s="3103" t="s">
        <v>2485</v>
      </c>
      <c r="D45" s="3104"/>
      <c r="E45" s="3105">
        <v>1</v>
      </c>
      <c r="F45" s="3102" t="s">
        <v>2486</v>
      </c>
      <c r="G45" s="3102"/>
    </row>
    <row r="46" spans="1:7" ht="19.5" customHeight="1">
      <c r="A46" s="3783"/>
      <c r="B46" s="3776"/>
      <c r="C46" s="3103" t="s">
        <v>2487</v>
      </c>
      <c r="D46" s="3104"/>
      <c r="E46" s="3105">
        <v>1</v>
      </c>
      <c r="F46" s="3102" t="s">
        <v>2488</v>
      </c>
      <c r="G46" s="3102"/>
    </row>
    <row r="47" spans="1:7" ht="19.5" customHeight="1">
      <c r="A47" s="3783"/>
      <c r="B47" s="3776"/>
      <c r="C47" s="3103" t="s">
        <v>2489</v>
      </c>
      <c r="D47" s="3104"/>
      <c r="E47" s="3105">
        <v>1</v>
      </c>
      <c r="F47" s="3102" t="s">
        <v>2490</v>
      </c>
      <c r="G47" s="3102"/>
    </row>
    <row r="48" spans="1:7" ht="19.5" customHeight="1">
      <c r="A48" s="3783"/>
      <c r="B48" s="3776"/>
      <c r="C48" s="3103" t="s">
        <v>2491</v>
      </c>
      <c r="D48" s="3104"/>
      <c r="E48" s="3105">
        <v>1</v>
      </c>
      <c r="F48" s="3102" t="s">
        <v>2492</v>
      </c>
      <c r="G48" s="3102"/>
    </row>
    <row r="49" spans="1:7" ht="19.5" customHeight="1">
      <c r="A49" s="3783"/>
      <c r="B49" s="3776"/>
      <c r="C49" s="3103" t="s">
        <v>2493</v>
      </c>
      <c r="D49" s="3104"/>
      <c r="E49" s="3105">
        <v>1</v>
      </c>
      <c r="F49" s="3102" t="s">
        <v>2494</v>
      </c>
      <c r="G49" s="3102"/>
    </row>
    <row r="50" spans="1:7" ht="19.5" customHeight="1">
      <c r="A50" s="3783"/>
      <c r="B50" s="3776"/>
      <c r="C50" s="3103" t="s">
        <v>2495</v>
      </c>
      <c r="D50" s="3104"/>
      <c r="E50" s="3105">
        <v>1</v>
      </c>
      <c r="F50" s="3102" t="s">
        <v>2496</v>
      </c>
      <c r="G50" s="3102"/>
    </row>
    <row r="51" spans="1:7" ht="19.5" customHeight="1" thickBot="1">
      <c r="A51" s="3784"/>
      <c r="B51" s="3778"/>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74" t="s">
        <v>2650</v>
      </c>
      <c r="C73" s="3088" t="s">
        <v>2651</v>
      </c>
      <c r="D73" s="3088" t="s">
        <v>2652</v>
      </c>
      <c r="E73" s="3114">
        <v>0.2</v>
      </c>
      <c r="F73" s="3114">
        <v>25</v>
      </c>
    </row>
    <row r="74" spans="1:7" ht="24">
      <c r="A74" s="3114">
        <v>2</v>
      </c>
      <c r="B74" s="3776"/>
      <c r="C74" s="3088" t="s">
        <v>2653</v>
      </c>
      <c r="D74" s="3088" t="s">
        <v>2654</v>
      </c>
      <c r="E74" s="3114">
        <v>0.2</v>
      </c>
      <c r="F74" s="3114">
        <v>25</v>
      </c>
    </row>
    <row r="75" spans="1:7" ht="24">
      <c r="A75" s="3114">
        <v>3</v>
      </c>
      <c r="B75" s="3776"/>
      <c r="C75" s="3088" t="s">
        <v>2655</v>
      </c>
      <c r="D75" s="3088" t="s">
        <v>2656</v>
      </c>
      <c r="E75" s="3114">
        <v>0.2</v>
      </c>
      <c r="F75" s="3114">
        <v>25</v>
      </c>
    </row>
    <row r="76" spans="1:7" ht="13.5">
      <c r="A76" s="3114">
        <v>4</v>
      </c>
      <c r="B76" s="3776"/>
      <c r="C76" s="3088" t="s">
        <v>2657</v>
      </c>
      <c r="D76" s="3088" t="s">
        <v>2658</v>
      </c>
      <c r="E76" s="3114">
        <v>0.15</v>
      </c>
      <c r="F76" s="3114">
        <v>20</v>
      </c>
    </row>
    <row r="77" spans="1:7" ht="24">
      <c r="A77" s="3114">
        <v>5</v>
      </c>
      <c r="B77" s="3776"/>
      <c r="C77" s="3088" t="s">
        <v>2659</v>
      </c>
      <c r="D77" s="3088" t="s">
        <v>2660</v>
      </c>
      <c r="E77" s="3114">
        <v>0.15</v>
      </c>
      <c r="F77" s="3114">
        <v>20</v>
      </c>
    </row>
    <row r="78" spans="1:7" ht="24">
      <c r="A78" s="3114">
        <v>6</v>
      </c>
      <c r="B78" s="3776"/>
      <c r="C78" s="3088" t="s">
        <v>2661</v>
      </c>
      <c r="D78" s="3088" t="s">
        <v>2662</v>
      </c>
      <c r="E78" s="3114">
        <v>0.15</v>
      </c>
      <c r="F78" s="3114">
        <v>20</v>
      </c>
    </row>
    <row r="79" spans="1:7" ht="24">
      <c r="A79" s="3114">
        <v>7</v>
      </c>
      <c r="B79" s="3776"/>
      <c r="C79" s="3088" t="s">
        <v>2663</v>
      </c>
      <c r="D79" s="3088" t="s">
        <v>2664</v>
      </c>
      <c r="E79" s="3114">
        <v>0.15</v>
      </c>
      <c r="F79" s="3114">
        <v>20</v>
      </c>
    </row>
    <row r="80" spans="1:7" ht="24">
      <c r="A80" s="3114">
        <v>8</v>
      </c>
      <c r="B80" s="3776"/>
      <c r="C80" s="3088" t="s">
        <v>2665</v>
      </c>
      <c r="D80" s="3088" t="s">
        <v>2666</v>
      </c>
      <c r="E80" s="3114">
        <v>0.1</v>
      </c>
      <c r="F80" s="3114">
        <v>15</v>
      </c>
    </row>
    <row r="81" spans="1:6" ht="24">
      <c r="A81" s="3114">
        <v>9</v>
      </c>
      <c r="B81" s="3776"/>
      <c r="C81" s="3088" t="s">
        <v>2667</v>
      </c>
      <c r="D81" s="3088" t="s">
        <v>2668</v>
      </c>
      <c r="E81" s="3114">
        <v>0.1</v>
      </c>
      <c r="F81" s="3114">
        <v>15</v>
      </c>
    </row>
    <row r="82" spans="1:6" ht="24">
      <c r="A82" s="3114">
        <v>10</v>
      </c>
      <c r="B82" s="3776"/>
      <c r="C82" s="3088" t="s">
        <v>2669</v>
      </c>
      <c r="D82" s="3088" t="s">
        <v>2670</v>
      </c>
      <c r="E82" s="3114">
        <v>0.1</v>
      </c>
      <c r="F82" s="3114">
        <v>15</v>
      </c>
    </row>
    <row r="83" spans="1:6" ht="24">
      <c r="A83" s="3114">
        <v>11</v>
      </c>
      <c r="B83" s="3776"/>
      <c r="C83" s="3088" t="s">
        <v>2671</v>
      </c>
      <c r="D83" s="3088" t="s">
        <v>2672</v>
      </c>
      <c r="E83" s="3114">
        <v>0.1</v>
      </c>
      <c r="F83" s="3114">
        <v>15</v>
      </c>
    </row>
    <row r="84" spans="1:6" ht="24">
      <c r="A84" s="3114">
        <v>12</v>
      </c>
      <c r="B84" s="3776"/>
      <c r="C84" s="3088" t="s">
        <v>2673</v>
      </c>
      <c r="D84" s="3088" t="s">
        <v>2674</v>
      </c>
      <c r="E84" s="3114">
        <v>0.1</v>
      </c>
      <c r="F84" s="3114">
        <v>15</v>
      </c>
    </row>
    <row r="85" spans="1:6" ht="13.5">
      <c r="A85" s="3114">
        <v>13</v>
      </c>
      <c r="B85" s="3776"/>
      <c r="C85" s="3088" t="s">
        <v>2675</v>
      </c>
      <c r="D85" s="3088" t="s">
        <v>2676</v>
      </c>
      <c r="E85" s="3114">
        <v>0.1</v>
      </c>
      <c r="F85" s="3114">
        <v>15</v>
      </c>
    </row>
    <row r="86" spans="1:6" ht="13.5">
      <c r="A86" s="3114">
        <v>14</v>
      </c>
      <c r="B86" s="3776"/>
      <c r="C86" s="3088" t="s">
        <v>2677</v>
      </c>
      <c r="D86" s="3088" t="s">
        <v>2678</v>
      </c>
      <c r="E86" s="3114">
        <v>0.1</v>
      </c>
      <c r="F86" s="3114">
        <v>15</v>
      </c>
    </row>
    <row r="87" spans="1:6" ht="13.5">
      <c r="A87" s="3114">
        <v>15</v>
      </c>
      <c r="B87" s="3776"/>
      <c r="C87" s="3088" t="s">
        <v>2679</v>
      </c>
      <c r="D87" s="3088" t="s">
        <v>2680</v>
      </c>
      <c r="E87" s="3114">
        <v>0.1</v>
      </c>
      <c r="F87" s="3114">
        <v>15</v>
      </c>
    </row>
    <row r="88" spans="1:6" ht="24">
      <c r="A88" s="3114">
        <v>16</v>
      </c>
      <c r="B88" s="3776"/>
      <c r="C88" s="3088" t="s">
        <v>2681</v>
      </c>
      <c r="D88" s="3088" t="s">
        <v>2682</v>
      </c>
      <c r="E88" s="3114">
        <v>0.1</v>
      </c>
      <c r="F88" s="3114">
        <v>15</v>
      </c>
    </row>
    <row r="89" spans="1:6" ht="24">
      <c r="A89" s="3114">
        <v>17</v>
      </c>
      <c r="B89" s="3775"/>
      <c r="C89" s="3088" t="s">
        <v>2683</v>
      </c>
      <c r="D89" s="3088" t="s">
        <v>2684</v>
      </c>
      <c r="E89" s="3114">
        <v>0.1</v>
      </c>
      <c r="F89" s="3114">
        <v>15</v>
      </c>
    </row>
    <row r="90" spans="1:6" ht="13.5">
      <c r="A90" s="3114">
        <v>18</v>
      </c>
      <c r="B90" s="3774" t="s">
        <v>2685</v>
      </c>
      <c r="C90" s="3088" t="s">
        <v>2686</v>
      </c>
      <c r="D90" s="3088" t="s">
        <v>2687</v>
      </c>
      <c r="E90" s="3114">
        <v>0.2</v>
      </c>
      <c r="F90" s="3114">
        <v>25</v>
      </c>
    </row>
    <row r="91" spans="1:6" ht="24">
      <c r="A91" s="3114">
        <v>19</v>
      </c>
      <c r="B91" s="3776"/>
      <c r="C91" s="3088" t="s">
        <v>2688</v>
      </c>
      <c r="D91" s="3088" t="s">
        <v>2689</v>
      </c>
      <c r="E91" s="3114">
        <v>0.2</v>
      </c>
      <c r="F91" s="3114">
        <v>25</v>
      </c>
    </row>
    <row r="92" spans="1:6" ht="13.5">
      <c r="A92" s="3114">
        <v>20</v>
      </c>
      <c r="B92" s="3776"/>
      <c r="C92" s="3088" t="s">
        <v>2690</v>
      </c>
      <c r="D92" s="3088" t="s">
        <v>2691</v>
      </c>
      <c r="E92" s="3114">
        <v>0.15</v>
      </c>
      <c r="F92" s="3114">
        <v>20</v>
      </c>
    </row>
    <row r="93" spans="1:6" ht="13.5">
      <c r="A93" s="3114">
        <v>21</v>
      </c>
      <c r="B93" s="3776"/>
      <c r="C93" s="3088" t="s">
        <v>2692</v>
      </c>
      <c r="D93" s="3088" t="s">
        <v>2693</v>
      </c>
      <c r="E93" s="3114">
        <v>0.15</v>
      </c>
      <c r="F93" s="3114">
        <v>20</v>
      </c>
    </row>
    <row r="94" spans="1:6" ht="13.5">
      <c r="A94" s="3114">
        <v>22</v>
      </c>
      <c r="B94" s="3776"/>
      <c r="C94" s="3088" t="s">
        <v>2694</v>
      </c>
      <c r="D94" s="3088" t="s">
        <v>2695</v>
      </c>
      <c r="E94" s="3114">
        <v>0.15</v>
      </c>
      <c r="F94" s="3114">
        <v>20</v>
      </c>
    </row>
    <row r="95" spans="1:6" ht="36">
      <c r="A95" s="3114">
        <v>23</v>
      </c>
      <c r="B95" s="3776"/>
      <c r="C95" s="3088" t="s">
        <v>2696</v>
      </c>
      <c r="D95" s="3088" t="s">
        <v>2697</v>
      </c>
      <c r="E95" s="3114">
        <v>0.15</v>
      </c>
      <c r="F95" s="3114">
        <v>20</v>
      </c>
    </row>
    <row r="96" spans="1:6" ht="13.5">
      <c r="A96" s="3114">
        <v>24</v>
      </c>
      <c r="B96" s="3776"/>
      <c r="C96" s="3088" t="s">
        <v>2698</v>
      </c>
      <c r="D96" s="3088" t="s">
        <v>2699</v>
      </c>
      <c r="E96" s="3114">
        <v>0.1</v>
      </c>
      <c r="F96" s="3114">
        <v>15</v>
      </c>
    </row>
    <row r="97" spans="1:6" ht="13.5">
      <c r="A97" s="3114">
        <v>25</v>
      </c>
      <c r="B97" s="3776"/>
      <c r="C97" s="3088" t="s">
        <v>2700</v>
      </c>
      <c r="D97" s="3088" t="s">
        <v>2701</v>
      </c>
      <c r="E97" s="3114">
        <v>0.1</v>
      </c>
      <c r="F97" s="3114">
        <v>15</v>
      </c>
    </row>
    <row r="98" spans="1:6" ht="24">
      <c r="A98" s="3114">
        <v>26</v>
      </c>
      <c r="B98" s="3776"/>
      <c r="C98" s="3088" t="s">
        <v>2702</v>
      </c>
      <c r="D98" s="3088" t="s">
        <v>2703</v>
      </c>
      <c r="E98" s="3114">
        <v>0.1</v>
      </c>
      <c r="F98" s="3114">
        <v>15</v>
      </c>
    </row>
    <row r="99" spans="1:6" ht="24">
      <c r="A99" s="3114">
        <v>27</v>
      </c>
      <c r="B99" s="3776"/>
      <c r="C99" s="3088" t="s">
        <v>2704</v>
      </c>
      <c r="D99" s="3088" t="s">
        <v>2705</v>
      </c>
      <c r="E99" s="3114">
        <v>0.1</v>
      </c>
      <c r="F99" s="3114">
        <v>15</v>
      </c>
    </row>
    <row r="100" spans="1:6" ht="13.5">
      <c r="A100" s="3114">
        <v>28</v>
      </c>
      <c r="B100" s="3776"/>
      <c r="C100" s="3088" t="s">
        <v>2706</v>
      </c>
      <c r="D100" s="3088" t="s">
        <v>2707</v>
      </c>
      <c r="E100" s="3114">
        <v>0.1</v>
      </c>
      <c r="F100" s="3114">
        <v>15</v>
      </c>
    </row>
    <row r="101" spans="1:6" ht="13.5">
      <c r="A101" s="3114">
        <v>29</v>
      </c>
      <c r="B101" s="3776"/>
      <c r="C101" s="3088" t="s">
        <v>2708</v>
      </c>
      <c r="D101" s="3088" t="s">
        <v>2709</v>
      </c>
      <c r="E101" s="3114">
        <v>0.1</v>
      </c>
      <c r="F101" s="3114">
        <v>15</v>
      </c>
    </row>
    <row r="102" spans="1:6" ht="13.5">
      <c r="A102" s="3114">
        <v>30</v>
      </c>
      <c r="B102" s="3776"/>
      <c r="C102" s="3088" t="s">
        <v>2710</v>
      </c>
      <c r="D102" s="3088" t="s">
        <v>2711</v>
      </c>
      <c r="E102" s="3114">
        <v>0.1</v>
      </c>
      <c r="F102" s="3114">
        <v>15</v>
      </c>
    </row>
    <row r="103" spans="1:6" ht="24">
      <c r="A103" s="3114">
        <v>31</v>
      </c>
      <c r="B103" s="3776"/>
      <c r="C103" s="3088" t="s">
        <v>2712</v>
      </c>
      <c r="D103" s="3088" t="s">
        <v>2713</v>
      </c>
      <c r="E103" s="3114">
        <v>0.1</v>
      </c>
      <c r="F103" s="3114">
        <v>15</v>
      </c>
    </row>
    <row r="104" spans="1:6" ht="24">
      <c r="A104" s="3114">
        <v>32</v>
      </c>
      <c r="B104" s="3776"/>
      <c r="C104" s="3088" t="s">
        <v>2714</v>
      </c>
      <c r="D104" s="3088" t="s">
        <v>2715</v>
      </c>
      <c r="E104" s="3114">
        <v>0.1</v>
      </c>
      <c r="F104" s="3114">
        <v>15</v>
      </c>
    </row>
    <row r="105" spans="1:6" ht="24">
      <c r="A105" s="3114">
        <v>33</v>
      </c>
      <c r="B105" s="3776"/>
      <c r="C105" s="3088" t="s">
        <v>2716</v>
      </c>
      <c r="D105" s="3088" t="s">
        <v>2717</v>
      </c>
      <c r="E105" s="3114">
        <v>0.1</v>
      </c>
      <c r="F105" s="3114">
        <v>15</v>
      </c>
    </row>
    <row r="106" spans="1:6" ht="24">
      <c r="A106" s="3114">
        <v>34</v>
      </c>
      <c r="B106" s="3775"/>
      <c r="C106" s="3088" t="s">
        <v>2718</v>
      </c>
      <c r="D106" s="3088" t="s">
        <v>2719</v>
      </c>
      <c r="E106" s="3114">
        <v>0.1</v>
      </c>
      <c r="F106" s="3114">
        <v>15</v>
      </c>
    </row>
    <row r="107" spans="1:6" ht="24">
      <c r="A107" s="3114">
        <v>35</v>
      </c>
      <c r="B107" s="3774" t="s">
        <v>2720</v>
      </c>
      <c r="C107" s="3114" t="s">
        <v>2721</v>
      </c>
      <c r="D107" s="3088" t="s">
        <v>2722</v>
      </c>
      <c r="E107" s="3114">
        <v>0.15</v>
      </c>
      <c r="F107" s="3114">
        <v>20</v>
      </c>
    </row>
    <row r="108" spans="1:6" ht="13.5">
      <c r="A108" s="3114">
        <v>36</v>
      </c>
      <c r="B108" s="3776"/>
      <c r="C108" s="3114" t="s">
        <v>2723</v>
      </c>
      <c r="D108" s="3088" t="s">
        <v>2724</v>
      </c>
      <c r="E108" s="3114">
        <v>0.15</v>
      </c>
      <c r="F108" s="3114">
        <v>20</v>
      </c>
    </row>
    <row r="109" spans="1:6" ht="13.5">
      <c r="A109" s="3114">
        <v>37</v>
      </c>
      <c r="B109" s="3776"/>
      <c r="C109" s="3114" t="s">
        <v>2725</v>
      </c>
      <c r="D109" s="3088" t="s">
        <v>2726</v>
      </c>
      <c r="E109" s="3114">
        <v>0.15</v>
      </c>
      <c r="F109" s="3114">
        <v>20</v>
      </c>
    </row>
    <row r="110" spans="1:6" ht="13.5">
      <c r="A110" s="3114">
        <v>38</v>
      </c>
      <c r="B110" s="3776"/>
      <c r="C110" s="3114" t="s">
        <v>2727</v>
      </c>
      <c r="D110" s="3088" t="s">
        <v>2728</v>
      </c>
      <c r="E110" s="3114">
        <v>0.1</v>
      </c>
      <c r="F110" s="3114">
        <v>15</v>
      </c>
    </row>
    <row r="111" spans="1:6" ht="24">
      <c r="A111" s="3114">
        <v>39</v>
      </c>
      <c r="B111" s="3776"/>
      <c r="C111" s="3114" t="s">
        <v>2729</v>
      </c>
      <c r="D111" s="3088" t="s">
        <v>2730</v>
      </c>
      <c r="E111" s="3114">
        <v>0.1</v>
      </c>
      <c r="F111" s="3114">
        <v>15</v>
      </c>
    </row>
    <row r="112" spans="1:6" ht="24">
      <c r="A112" s="3114">
        <v>40</v>
      </c>
      <c r="B112" s="3775"/>
      <c r="C112" s="3114" t="s">
        <v>2731</v>
      </c>
      <c r="D112" s="3088" t="s">
        <v>2732</v>
      </c>
      <c r="E112" s="3114">
        <v>0.1</v>
      </c>
      <c r="F112" s="3114">
        <v>15</v>
      </c>
    </row>
    <row r="113" spans="1:6" ht="13.5">
      <c r="A113" s="3114">
        <v>41</v>
      </c>
      <c r="B113" s="3773" t="s">
        <v>2733</v>
      </c>
      <c r="C113" s="3114" t="s">
        <v>2734</v>
      </c>
      <c r="D113" s="3088" t="s">
        <v>2735</v>
      </c>
      <c r="E113" s="3114">
        <v>0.1</v>
      </c>
      <c r="F113" s="3114">
        <v>15</v>
      </c>
    </row>
    <row r="114" spans="1:6" ht="13.5">
      <c r="A114" s="3114">
        <v>42</v>
      </c>
      <c r="B114" s="3773"/>
      <c r="C114" s="3114" t="s">
        <v>2736</v>
      </c>
      <c r="D114" s="3088" t="s">
        <v>2737</v>
      </c>
      <c r="E114" s="3114">
        <v>0.1</v>
      </c>
      <c r="F114" s="3114">
        <v>15</v>
      </c>
    </row>
    <row r="115" spans="1:6" ht="24">
      <c r="A115" s="3114">
        <v>43</v>
      </c>
      <c r="B115" s="3773"/>
      <c r="C115" s="3114" t="s">
        <v>2738</v>
      </c>
      <c r="D115" s="3088" t="s">
        <v>2739</v>
      </c>
      <c r="E115" s="3114">
        <v>0.1</v>
      </c>
      <c r="F115" s="3114">
        <v>15</v>
      </c>
    </row>
    <row r="116" spans="1:6" ht="13.5">
      <c r="A116" s="3114">
        <v>44</v>
      </c>
      <c r="B116" s="3774" t="s">
        <v>2740</v>
      </c>
      <c r="C116" s="3114" t="s">
        <v>2741</v>
      </c>
      <c r="D116" s="3088" t="s">
        <v>2742</v>
      </c>
      <c r="E116" s="3114">
        <v>0.1</v>
      </c>
      <c r="F116" s="3114">
        <v>15</v>
      </c>
    </row>
    <row r="117" spans="1:6" ht="24">
      <c r="A117" s="3114">
        <v>45</v>
      </c>
      <c r="B117" s="3775"/>
      <c r="C117" s="3088" t="s">
        <v>2743</v>
      </c>
      <c r="D117" s="3088" t="s">
        <v>2744</v>
      </c>
      <c r="E117" s="3114">
        <v>0.1</v>
      </c>
      <c r="F117" s="3114">
        <v>15</v>
      </c>
    </row>
    <row r="118" spans="1:6" ht="24">
      <c r="A118" s="3114">
        <v>46</v>
      </c>
      <c r="B118" s="3774" t="s">
        <v>2745</v>
      </c>
      <c r="C118" s="3114" t="s">
        <v>2746</v>
      </c>
      <c r="D118" s="3088" t="s">
        <v>2747</v>
      </c>
      <c r="E118" s="3114">
        <v>0.1</v>
      </c>
      <c r="F118" s="3114">
        <v>15</v>
      </c>
    </row>
    <row r="119" spans="1:6" ht="24">
      <c r="A119" s="3114">
        <v>47</v>
      </c>
      <c r="B119" s="3775"/>
      <c r="C119" s="3114" t="s">
        <v>2748</v>
      </c>
      <c r="D119" s="3088" t="s">
        <v>2749</v>
      </c>
      <c r="E119" s="3114">
        <v>0.1</v>
      </c>
      <c r="F119" s="3114">
        <v>15</v>
      </c>
    </row>
    <row r="120" spans="1:6" ht="13.5">
      <c r="A120" s="3114">
        <v>48</v>
      </c>
      <c r="B120" s="3774" t="s">
        <v>2750</v>
      </c>
      <c r="C120" s="3114" t="s">
        <v>2751</v>
      </c>
      <c r="D120" s="3088" t="s">
        <v>2752</v>
      </c>
      <c r="E120" s="3114">
        <v>0.1</v>
      </c>
      <c r="F120" s="3114">
        <v>15</v>
      </c>
    </row>
    <row r="121" spans="1:6" ht="13.5">
      <c r="A121" s="3114">
        <v>49</v>
      </c>
      <c r="B121" s="3775"/>
      <c r="C121" s="3114" t="s">
        <v>2753</v>
      </c>
      <c r="D121" s="3088" t="s">
        <v>2754</v>
      </c>
      <c r="E121" s="3114">
        <v>0.1</v>
      </c>
      <c r="F121" s="3114">
        <v>15</v>
      </c>
    </row>
    <row r="122" spans="1:6" ht="24">
      <c r="A122" s="3114">
        <v>50</v>
      </c>
      <c r="B122" s="3773" t="s">
        <v>2755</v>
      </c>
      <c r="C122" s="3114" t="s">
        <v>2756</v>
      </c>
      <c r="D122" s="3088" t="s">
        <v>2757</v>
      </c>
      <c r="E122" s="3114">
        <v>0.1</v>
      </c>
      <c r="F122" s="3114">
        <v>15</v>
      </c>
    </row>
    <row r="123" spans="1:6" ht="24">
      <c r="A123" s="3114">
        <v>51</v>
      </c>
      <c r="B123" s="3773"/>
      <c r="C123" s="3114" t="s">
        <v>2758</v>
      </c>
      <c r="D123" s="3088" t="s">
        <v>2759</v>
      </c>
      <c r="E123" s="3114">
        <v>0.1</v>
      </c>
      <c r="F123" s="3114">
        <v>15</v>
      </c>
    </row>
    <row r="124" spans="1:6" ht="24">
      <c r="A124" s="3114">
        <v>52</v>
      </c>
      <c r="B124" s="3773" t="s">
        <v>2760</v>
      </c>
      <c r="C124" s="3114" t="s">
        <v>2761</v>
      </c>
      <c r="D124" s="3088" t="s">
        <v>2762</v>
      </c>
      <c r="E124" s="3114">
        <v>0.1</v>
      </c>
      <c r="F124" s="3114">
        <v>15</v>
      </c>
    </row>
    <row r="125" spans="1:6" ht="24">
      <c r="A125" s="3114">
        <v>53</v>
      </c>
      <c r="B125" s="3773"/>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73" t="s">
        <v>2768</v>
      </c>
      <c r="C127" s="3114" t="s">
        <v>2769</v>
      </c>
      <c r="D127" s="3088" t="s">
        <v>2770</v>
      </c>
      <c r="E127" s="3114">
        <v>0.1</v>
      </c>
      <c r="F127" s="3114">
        <v>15</v>
      </c>
    </row>
    <row r="128" spans="1:6" ht="13.5">
      <c r="A128" s="3114">
        <v>56</v>
      </c>
      <c r="B128" s="3773"/>
      <c r="C128" s="3114" t="s">
        <v>2771</v>
      </c>
      <c r="D128" s="3088" t="s">
        <v>2772</v>
      </c>
      <c r="E128" s="3114">
        <v>0.1</v>
      </c>
      <c r="F128" s="3114">
        <v>15</v>
      </c>
    </row>
    <row r="129" spans="1:6" ht="24">
      <c r="A129" s="3114">
        <v>57</v>
      </c>
      <c r="B129" s="3773"/>
      <c r="C129" s="3114" t="s">
        <v>2773</v>
      </c>
      <c r="D129" s="3088" t="s">
        <v>2774</v>
      </c>
      <c r="E129" s="3114">
        <v>0.1</v>
      </c>
      <c r="F129" s="3114">
        <v>15</v>
      </c>
    </row>
    <row r="130" spans="1:6" ht="24">
      <c r="A130" s="3114">
        <v>58</v>
      </c>
      <c r="B130" s="3773" t="s">
        <v>2775</v>
      </c>
      <c r="C130" s="3114" t="s">
        <v>2776</v>
      </c>
      <c r="D130" s="3088" t="s">
        <v>2777</v>
      </c>
      <c r="E130" s="3114">
        <v>0.1</v>
      </c>
      <c r="F130" s="3114">
        <v>15</v>
      </c>
    </row>
    <row r="131" spans="1:6" ht="13.5">
      <c r="A131" s="3114">
        <v>59</v>
      </c>
      <c r="B131" s="3773"/>
      <c r="C131" s="3114" t="s">
        <v>2778</v>
      </c>
      <c r="D131" s="3088" t="s">
        <v>2779</v>
      </c>
      <c r="E131" s="3114">
        <v>0.1</v>
      </c>
      <c r="F131" s="3114">
        <v>15</v>
      </c>
    </row>
    <row r="132" spans="1:6" ht="13.5">
      <c r="A132" s="3114">
        <v>60</v>
      </c>
      <c r="B132" s="3774" t="s">
        <v>2780</v>
      </c>
      <c r="C132" s="3114" t="s">
        <v>2781</v>
      </c>
      <c r="D132" s="3088" t="s">
        <v>2782</v>
      </c>
      <c r="E132" s="3114">
        <v>0.1</v>
      </c>
      <c r="F132" s="3114">
        <v>15</v>
      </c>
    </row>
    <row r="133" spans="1:6" ht="13.5">
      <c r="A133" s="3114">
        <v>61</v>
      </c>
      <c r="B133" s="377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73" t="s">
        <v>2788</v>
      </c>
      <c r="C135" s="3114" t="s">
        <v>2789</v>
      </c>
      <c r="D135" s="3088" t="s">
        <v>2790</v>
      </c>
      <c r="E135" s="3114">
        <v>0.1</v>
      </c>
      <c r="F135" s="3114">
        <v>15</v>
      </c>
    </row>
    <row r="136" spans="1:6" ht="13.5">
      <c r="A136" s="3114">
        <v>64</v>
      </c>
      <c r="B136" s="3773"/>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2797</v>
      </c>
      <c r="B1" s="3123"/>
      <c r="C1" s="3123"/>
      <c r="D1" s="3123"/>
      <c r="E1" s="3123"/>
      <c r="F1" s="3123"/>
      <c r="G1" s="3123"/>
      <c r="H1" s="3123"/>
      <c r="I1" s="3123"/>
      <c r="J1" s="3123"/>
      <c r="K1" s="3123"/>
      <c r="L1" s="3123"/>
      <c r="M1" s="3123"/>
      <c r="N1" s="746"/>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7">
        <f>SUMPRODUCT((A95:A184=ROUNDDOWN(基准地价修正!G3,1))*(B94:M94=基准地价修正!G2)*(B95:M184))</f>
        <v>1.0512999999999999</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7">
        <f>SUMPRODUCT((A371:A460=ROUNDDOWN(基准地价修正!G3,1))*(B370:M370=基准地价修正!G2)*(B371:M460))</f>
        <v>1</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0"/>
      <c r="B4" s="3468" t="s">
        <v>917</v>
      </c>
      <c r="C4" s="3468"/>
      <c r="D4" s="3468"/>
      <c r="E4" s="1490"/>
    </row>
    <row r="5" spans="1:5" ht="16.5" thickTop="1">
      <c r="A5" s="1488"/>
      <c r="B5" s="3466" t="s">
        <v>909</v>
      </c>
      <c r="C5" s="1491" t="s">
        <v>910</v>
      </c>
      <c r="D5" s="847">
        <f ca="1">结果表!H101</f>
        <v>1397</v>
      </c>
      <c r="E5" s="1488"/>
    </row>
    <row r="6" spans="1:5" ht="15.75">
      <c r="A6" s="1488"/>
      <c r="B6" s="3466"/>
      <c r="C6" s="1491" t="s">
        <v>911</v>
      </c>
      <c r="D6" s="847" t="str">
        <f ca="1">NUMBERSTRING(INT(D5*10000),2)&amp;"元整"</f>
        <v>壹仟叁佰玖拾柒万元整</v>
      </c>
      <c r="E6" s="1488"/>
    </row>
    <row r="7" spans="1:5" ht="15.75">
      <c r="A7" s="1488"/>
      <c r="B7" s="3471"/>
      <c r="C7" s="1492" t="s">
        <v>912</v>
      </c>
      <c r="D7" s="848">
        <f ca="1">结果表!H102</f>
        <v>17086</v>
      </c>
      <c r="E7" s="1488"/>
    </row>
    <row r="8" spans="1:5" ht="15.75">
      <c r="A8" s="1488"/>
      <c r="B8" s="3472" t="str">
        <f>结果表!E103</f>
        <v>2.估价师知悉的法定优先受偿款</v>
      </c>
      <c r="C8" s="1493" t="s">
        <v>913</v>
      </c>
      <c r="D8" s="848">
        <f>结果表!H103</f>
        <v>0</v>
      </c>
      <c r="E8" s="1488"/>
    </row>
    <row r="9" spans="1:5" ht="15.75">
      <c r="A9" s="1488"/>
      <c r="B9" s="3474"/>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5" t="str">
        <f>结果表!E107</f>
        <v>3.房地产抵押价值</v>
      </c>
      <c r="C13" s="1496" t="s">
        <v>910</v>
      </c>
      <c r="D13" s="850">
        <f ca="1">结果表!H107</f>
        <v>1397</v>
      </c>
      <c r="E13" s="1488"/>
    </row>
    <row r="14" spans="1:5" ht="15.75">
      <c r="A14" s="1488"/>
      <c r="B14" s="3466"/>
      <c r="C14" s="1491" t="s">
        <v>911</v>
      </c>
      <c r="D14" s="847" t="str">
        <f ca="1">NUMBERSTRING(INT(D13*10000),2)&amp;"元整"</f>
        <v>壹仟叁佰玖拾柒万元整</v>
      </c>
      <c r="E14" s="1488"/>
    </row>
    <row r="15" spans="1:5" ht="15">
      <c r="A15" s="1488"/>
      <c r="B15" s="3471"/>
      <c r="C15" s="1492" t="s">
        <v>921</v>
      </c>
      <c r="D15" s="856">
        <f ca="1">结果表!H108</f>
        <v>17086</v>
      </c>
      <c r="E15" s="1488"/>
    </row>
    <row r="16" spans="1:5" ht="15">
      <c r="A16" s="1488"/>
      <c r="B16" s="3472" t="str">
        <f>结果表!E109</f>
        <v>——</v>
      </c>
      <c r="C16" s="1496" t="s">
        <v>922</v>
      </c>
      <c r="D16" s="1497" t="str">
        <f>结果表!H109</f>
        <v>——</v>
      </c>
      <c r="E16" s="1488"/>
    </row>
    <row r="17" spans="1:5" ht="15.75">
      <c r="A17" s="1488"/>
      <c r="B17" s="3473"/>
      <c r="C17" s="1491" t="s">
        <v>923</v>
      </c>
      <c r="D17" s="847" t="e">
        <f>NUMBERSTRING(INT(D16*10000),2)&amp;"元整"</f>
        <v>#VALUE!</v>
      </c>
      <c r="E17" s="1488"/>
    </row>
    <row r="18" spans="1:5" ht="15">
      <c r="A18" s="1488"/>
      <c r="B18" s="3474"/>
      <c r="C18" s="1492" t="s">
        <v>912</v>
      </c>
      <c r="D18" s="856" t="str">
        <f>结果表!H110</f>
        <v>——</v>
      </c>
      <c r="E18" s="1488"/>
    </row>
    <row r="19" spans="1:5" ht="15.75">
      <c r="A19" s="1488"/>
      <c r="B19" s="3465" t="str">
        <f>结果表!E111</f>
        <v>4.抵押净值</v>
      </c>
      <c r="C19" s="1496" t="s">
        <v>910</v>
      </c>
      <c r="D19" s="848">
        <f ca="1">结果表!H111</f>
        <v>1076.3</v>
      </c>
      <c r="E19" s="1488"/>
    </row>
    <row r="20" spans="1:5" ht="15.75">
      <c r="A20" s="1488"/>
      <c r="B20" s="3466"/>
      <c r="C20" s="1491" t="s">
        <v>923</v>
      </c>
      <c r="D20" s="847" t="str">
        <f ca="1">NUMBERSTRING(INT(D19*10000),2)&amp;"元整"</f>
        <v>壹仟零柒拾陆万叁仟元整</v>
      </c>
      <c r="E20" s="1488"/>
    </row>
    <row r="21" spans="1:5" ht="15.75" thickBot="1">
      <c r="A21" s="1488"/>
      <c r="B21" s="3467"/>
      <c r="C21" s="1498" t="s">
        <v>921</v>
      </c>
      <c r="D21" s="857">
        <f ca="1">结果表!H112</f>
        <v>13166</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28281</v>
      </c>
      <c r="C2" s="2" t="s">
        <v>106</v>
      </c>
      <c r="D2" s="198"/>
      <c r="E2" s="198"/>
      <c r="F2" s="198"/>
      <c r="G2" s="198"/>
    </row>
    <row r="3" spans="1:7" s="199" customFormat="1" ht="18" customHeight="1" thickBot="1">
      <c r="A3" s="202" t="s">
        <v>58</v>
      </c>
      <c r="B3" s="203">
        <f ca="1">ROUND(B2*10000/'数据-汇总表'!E3,0)</f>
        <v>345941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16</v>
      </c>
      <c r="D10" s="842">
        <f>'数据-汇总表'!E6</f>
        <v>817.51</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16</v>
      </c>
      <c r="D19" s="846">
        <f>'数据-汇总表'!E3</f>
        <v>817.51</v>
      </c>
      <c r="E19" s="210">
        <f>'数据-取费表'!B31</f>
        <v>200</v>
      </c>
      <c r="F19" s="230"/>
      <c r="G19" s="1" t="s">
        <v>436</v>
      </c>
    </row>
    <row r="20" spans="1:7" s="213" customFormat="1" ht="13.5" customHeight="1">
      <c r="A20" s="774" t="s">
        <v>419</v>
      </c>
      <c r="B20" s="209" t="s">
        <v>77</v>
      </c>
      <c r="C20" s="231">
        <f>ROUND((C5+C19)*F20,0)</f>
        <v>619</v>
      </c>
      <c r="D20" s="231"/>
      <c r="E20" s="231"/>
      <c r="F20" s="232">
        <f>'数据-取费表'!B37</f>
        <v>0.03</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1318</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7" t="s">
        <v>348</v>
      </c>
      <c r="B25" s="214" t="s">
        <v>420</v>
      </c>
      <c r="C25" s="1102">
        <f ca="1">ROUND(IF('数据-取费表'!B22&lt;=1,C20*F22*'数据-取费表'!B23/2,C20*(POWER((1+F22),'数据-取费表'!B23/2)-1)),0)</f>
        <v>19</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3187</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3187</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27867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409</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368</v>
      </c>
      <c r="D34" s="216"/>
      <c r="E34" s="219"/>
      <c r="F34" s="256">
        <f>IF('数据-取费表'!B24=0,1,'数据-取费表'!N16)</f>
        <v>1</v>
      </c>
      <c r="G34" s="218" t="s">
        <v>89</v>
      </c>
    </row>
    <row r="35" spans="1:7" ht="13.5" customHeight="1">
      <c r="A35" s="777" t="s">
        <v>351</v>
      </c>
      <c r="B35" s="214" t="s">
        <v>33</v>
      </c>
      <c r="C35" s="219">
        <f>ROUND(C34*F35,0)</f>
        <v>18</v>
      </c>
      <c r="D35" s="219"/>
      <c r="E35" s="219"/>
      <c r="F35" s="258">
        <f>'数据-取费表'!B33</f>
        <v>0.05</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16</v>
      </c>
      <c r="D37" s="216">
        <f>'数据-汇总表'!E3</f>
        <v>817.51</v>
      </c>
      <c r="E37" s="248">
        <f>'数据-取费表'!B35</f>
        <v>200</v>
      </c>
      <c r="F37" s="258"/>
      <c r="G37" s="260" t="s">
        <v>92</v>
      </c>
    </row>
    <row r="38" spans="1:7" ht="13.5" customHeight="1">
      <c r="A38" s="777" t="s">
        <v>354</v>
      </c>
      <c r="B38" s="214" t="s">
        <v>36</v>
      </c>
      <c r="C38" s="219">
        <f>ROUND(C34*F38,0)</f>
        <v>7</v>
      </c>
      <c r="D38" s="219"/>
      <c r="E38" s="219"/>
      <c r="F38" s="258">
        <f>'数据-取费表'!B36</f>
        <v>0.02</v>
      </c>
      <c r="G38" s="218" t="s">
        <v>90</v>
      </c>
    </row>
    <row r="39" spans="1:7" s="213" customFormat="1" ht="13.5" customHeight="1">
      <c r="A39" s="774" t="s">
        <v>338</v>
      </c>
      <c r="B39" s="209" t="s">
        <v>77</v>
      </c>
      <c r="C39" s="231">
        <f>ROUND(C33*F20,0)</f>
        <v>12</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13</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13</v>
      </c>
      <c r="D42" s="237"/>
      <c r="E42" s="237"/>
      <c r="F42" s="238"/>
      <c r="G42" s="3647" t="s">
        <v>94</v>
      </c>
    </row>
    <row r="43" spans="1:7" ht="13.5" customHeight="1">
      <c r="A43" s="777" t="s">
        <v>347</v>
      </c>
      <c r="B43" s="214" t="s">
        <v>426</v>
      </c>
      <c r="C43" s="237">
        <f ca="1">ROUND(IF('数据-取费表'!B22&lt;=1,C39*F22*'数据-取费表'!B21/2,C39*(POWER((1+F22),'数据-取费表'!B21/2)-1)),0)</f>
        <v>0</v>
      </c>
      <c r="D43" s="237"/>
      <c r="E43" s="237"/>
      <c r="F43" s="238"/>
      <c r="G43" s="3648"/>
    </row>
    <row r="44" spans="1:7" ht="13.5" customHeight="1">
      <c r="A44" s="777" t="s">
        <v>348</v>
      </c>
      <c r="B44" s="214" t="s">
        <v>428</v>
      </c>
      <c r="C44" s="237">
        <f ca="1">ROUND(IF('数据-取费表'!B22&lt;=1,C40*F22*'数据-取费表'!B21/2,C40*(POWER((1+F22),'数据-取费表'!B21/2)-1)),4)</f>
        <v>5.9999999999999995E-4</v>
      </c>
      <c r="D44" s="237"/>
      <c r="E44" s="237"/>
      <c r="F44" s="238"/>
      <c r="G44" s="3649"/>
    </row>
    <row r="45" spans="1:7" s="213" customFormat="1" ht="13.5" customHeight="1">
      <c r="A45" s="774" t="s">
        <v>341</v>
      </c>
      <c r="B45" s="243" t="s">
        <v>85</v>
      </c>
      <c r="C45" s="244">
        <f>C46</f>
        <v>63</v>
      </c>
      <c r="D45" s="234">
        <f>C47</f>
        <v>3.0000000000000001E-3</v>
      </c>
      <c r="E45" s="235" t="s">
        <v>102</v>
      </c>
      <c r="F45" s="245"/>
      <c r="G45" s="246" t="s">
        <v>434</v>
      </c>
    </row>
    <row r="46" spans="1:7" s="213" customFormat="1" ht="13.5" customHeight="1">
      <c r="A46" s="777" t="s">
        <v>349</v>
      </c>
      <c r="B46" s="247" t="s">
        <v>427</v>
      </c>
      <c r="C46" s="248">
        <f>ROUND((C33+C39)*F27,0)</f>
        <v>63</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538</v>
      </c>
      <c r="D49" s="231"/>
      <c r="E49" s="231"/>
      <c r="F49" s="263"/>
      <c r="G49" s="233" t="s">
        <v>435</v>
      </c>
    </row>
    <row r="50" spans="1:7" s="257" customFormat="1" ht="24">
      <c r="A50" s="774" t="s">
        <v>344</v>
      </c>
      <c r="B50" s="209" t="s">
        <v>97</v>
      </c>
      <c r="C50" s="231"/>
      <c r="D50" s="231"/>
      <c r="E50" s="231"/>
      <c r="F50" s="263">
        <f>IF('数据-取费表'!B24=0,'数据-取费表'!N16,1)</f>
        <v>0.77</v>
      </c>
      <c r="G50" s="246" t="s">
        <v>98</v>
      </c>
    </row>
    <row r="51" spans="1:7" ht="16.5" customHeight="1">
      <c r="A51" s="774" t="s">
        <v>345</v>
      </c>
      <c r="B51" s="209" t="s">
        <v>105</v>
      </c>
      <c r="C51" s="231">
        <f ca="1">ROUND(C49*F50,0)</f>
        <v>414</v>
      </c>
      <c r="D51" s="231"/>
      <c r="E51" s="231"/>
      <c r="F51" s="263"/>
      <c r="G51" s="233" t="s">
        <v>37</v>
      </c>
    </row>
    <row r="52" spans="1:7" s="207" customFormat="1" ht="16.5" thickBot="1">
      <c r="A52" s="264" t="s">
        <v>38</v>
      </c>
      <c r="B52" s="265"/>
      <c r="C52" s="266">
        <f ca="1">C31+C51</f>
        <v>28281</v>
      </c>
      <c r="D52" s="265"/>
      <c r="E52" s="265"/>
      <c r="F52" s="265"/>
      <c r="G52" s="267"/>
    </row>
    <row r="55" spans="1:7" ht="15">
      <c r="B55" s="269" t="s">
        <v>39</v>
      </c>
      <c r="C55" s="270"/>
    </row>
    <row r="56" spans="1:7">
      <c r="B56" s="272" t="s">
        <v>40</v>
      </c>
      <c r="C56" s="273">
        <f ca="1">ROUND(C51/C52,3)</f>
        <v>1.4999999999999999E-2</v>
      </c>
    </row>
    <row r="57" spans="1:7">
      <c r="B57" s="272" t="s">
        <v>41</v>
      </c>
      <c r="C57" s="274">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H3" sqref="H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7" t="s">
        <v>2838</v>
      </c>
      <c r="B1" s="3787"/>
      <c r="C1" s="3787"/>
      <c r="D1" s="3787"/>
      <c r="E1" s="3787"/>
      <c r="F1" s="3787"/>
      <c r="G1" s="3788"/>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85"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86"/>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9" t="s">
        <v>3180</v>
      </c>
      <c r="B1" s="3789"/>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0" t="s">
        <v>3231</v>
      </c>
      <c r="B1" s="3790"/>
      <c r="C1" s="3790"/>
      <c r="D1" s="3790"/>
      <c r="E1" s="3790"/>
      <c r="F1" s="3791"/>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3217">
        <f>基准地价修正!G23</f>
        <v>45726</v>
      </c>
      <c r="B1" s="3206" t="s">
        <v>3379</v>
      </c>
      <c r="C1" s="3207"/>
      <c r="D1" s="3207"/>
      <c r="E1" s="3207"/>
      <c r="F1" s="3207"/>
      <c r="G1" s="3207"/>
      <c r="H1" s="3207"/>
      <c r="I1" s="3207"/>
      <c r="J1" s="3161"/>
      <c r="K1" s="3207" t="s">
        <v>454</v>
      </c>
      <c r="L1" s="3207"/>
      <c r="M1" s="3207"/>
      <c r="N1" s="3207"/>
      <c r="O1" s="3207"/>
      <c r="P1" s="3207"/>
      <c r="Q1" s="3161"/>
      <c r="R1" s="3792" t="s">
        <v>456</v>
      </c>
      <c r="S1" s="3793"/>
      <c r="T1" s="3793"/>
      <c r="U1" s="3793"/>
      <c r="V1" s="3793"/>
      <c r="W1" s="3793"/>
      <c r="X1" s="3161"/>
      <c r="Y1" s="3792" t="s">
        <v>457</v>
      </c>
      <c r="Z1" s="3793"/>
      <c r="AA1" s="3793"/>
      <c r="AB1" s="3793"/>
      <c r="AC1" s="3793"/>
      <c r="AD1" s="3793"/>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ROUND(AVERAGEIF(D4:D21,"&lt;&gt;0"),2)</f>
        <v>0.38</v>
      </c>
      <c r="E3" s="3147">
        <f t="shared" ref="E3:H3" si="0">ROUND(AVERAGEIF(E4:E21,"&lt;&gt;0"),2)</f>
        <v>0.26</v>
      </c>
      <c r="F3" s="3147">
        <f t="shared" si="0"/>
        <v>-0.01</v>
      </c>
      <c r="G3" s="3147">
        <f t="shared" si="0"/>
        <v>0.41</v>
      </c>
      <c r="H3" s="3147">
        <f t="shared" si="0"/>
        <v>0.52</v>
      </c>
      <c r="I3" s="3147">
        <f>F3</f>
        <v>-0.01</v>
      </c>
      <c r="J3" s="3148"/>
      <c r="K3" s="3149">
        <f>ROUND(AVERAGEIF(K4:K21,"&lt;&gt;0"),4)</f>
        <v>3.8E-3</v>
      </c>
      <c r="L3" s="3150">
        <f t="shared" ref="L3:O3" si="1">ROUND(AVERAGEIF(L4:L21,"&lt;&gt;0"),4)</f>
        <v>2.5999999999999999E-3</v>
      </c>
      <c r="M3" s="3150">
        <f t="shared" si="1"/>
        <v>-1E-4</v>
      </c>
      <c r="N3" s="3150">
        <f t="shared" si="1"/>
        <v>4.1000000000000003E-3</v>
      </c>
      <c r="O3" s="3150">
        <f t="shared" si="1"/>
        <v>5.1999999999999998E-3</v>
      </c>
      <c r="P3" s="3150">
        <f>M3</f>
        <v>-1E-4</v>
      </c>
      <c r="Q3" s="3148"/>
      <c r="R3" s="3151">
        <f>ROUND(SUMPRODUCT(PRODUCT(1+K4:K21)),4)</f>
        <v>1.0613999999999999</v>
      </c>
      <c r="S3" s="3152">
        <f t="shared" ref="S3:V3" si="2">ROUND(SUMPRODUCT(PRODUCT(1+L4:L21)),4)</f>
        <v>1.0415000000000001</v>
      </c>
      <c r="T3" s="3152">
        <f t="shared" si="2"/>
        <v>0.99780000000000002</v>
      </c>
      <c r="U3" s="3152">
        <f t="shared" si="2"/>
        <v>1.0678000000000001</v>
      </c>
      <c r="V3" s="3152">
        <f t="shared" si="2"/>
        <v>1.0866</v>
      </c>
      <c r="W3" s="3151">
        <f>T3</f>
        <v>0.99780000000000002</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3375</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1.0511999999999999</v>
      </c>
      <c r="S5" s="3179">
        <f>ROUND(IF(项目基本情况!$B$8="出让",SUMPRODUCT(PRODUCT(1+L5:$L$21)),SUMPRODUCT(PRODUCT(1+L5:$L$20))),4)</f>
        <v>1.0398000000000001</v>
      </c>
      <c r="T5" s="3179">
        <f>ROUND(IF(项目基本情况!$B$8="出让",SUMPRODUCT(PRODUCT(1+M5:$M$21)),SUMPRODUCT(PRODUCT(1+M5:$M$20))),4)</f>
        <v>1.0003</v>
      </c>
      <c r="U5" s="3179">
        <f>ROUND(IF(项目基本情况!$B$8="出让",SUMPRODUCT(PRODUCT(1+N5:$N$21)),SUMPRODUCT(PRODUCT(1+N5:$N$20))),4)</f>
        <v>1.0561</v>
      </c>
      <c r="V5" s="3179">
        <f>ROUND(IF(项目基本情况!$B$8="出让",SUMPRODUCT(PRODUCT(1+O5:$O$21)),SUMPRODUCT(PRODUCT(1+O5:$O$20))),4)</f>
        <v>1.0827</v>
      </c>
      <c r="W5" s="3179">
        <f>T5</f>
        <v>1.0003</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3384</v>
      </c>
      <c r="B6" s="3183">
        <v>2024</v>
      </c>
      <c r="C6" s="3184">
        <v>4</v>
      </c>
      <c r="D6" s="3185">
        <v>-1.02</v>
      </c>
      <c r="E6" s="3185">
        <v>-0.48</v>
      </c>
      <c r="F6" s="3185">
        <v>-0.75</v>
      </c>
      <c r="G6" s="3185">
        <v>-1.05</v>
      </c>
      <c r="H6" s="3186">
        <v>0.08</v>
      </c>
      <c r="I6" s="3187">
        <f t="shared" ref="I6" si="15">F6</f>
        <v>-0.75</v>
      </c>
      <c r="J6" s="3188"/>
      <c r="K6" s="3189">
        <f t="shared" ref="K6" si="16">D6/100</f>
        <v>-1.0200000000000001E-2</v>
      </c>
      <c r="L6" s="3190">
        <f t="shared" ref="L6" si="17">E6/100</f>
        <v>-4.7999999999999996E-3</v>
      </c>
      <c r="M6" s="3190">
        <f t="shared" ref="M6" si="18">F6/100</f>
        <v>-7.4999999999999997E-3</v>
      </c>
      <c r="N6" s="3190">
        <f t="shared" ref="N6" si="19">G6/100</f>
        <v>-1.0500000000000001E-2</v>
      </c>
      <c r="O6" s="3190">
        <f t="shared" ref="O6" si="20">H6/100</f>
        <v>8.0000000000000004E-4</v>
      </c>
      <c r="P6" s="3190">
        <f>M6</f>
        <v>-7.4999999999999997E-3</v>
      </c>
      <c r="Q6" s="3188"/>
      <c r="R6" s="3188">
        <f>ROUND(IF(项目基本情况!$B$8="出让",SUMPRODUCT(PRODUCT(1+K6:$K$21)),SUMPRODUCT(PRODUCT(1+K6:$K$20))),4)</f>
        <v>1.0511999999999999</v>
      </c>
      <c r="S6" s="3188">
        <f>ROUND(IF(项目基本情况!$B$8="出让",SUMPRODUCT(PRODUCT(1+L6:$L$21)),SUMPRODUCT(PRODUCT(1+L6:$L$20))),4)</f>
        <v>1.0398000000000001</v>
      </c>
      <c r="T6" s="3188">
        <f>ROUND(IF(项目基本情况!$B$8="出让",SUMPRODUCT(PRODUCT(1+M6:$M$21)),SUMPRODUCT(PRODUCT(1+M6:$M$20))),4)</f>
        <v>1.0003</v>
      </c>
      <c r="U6" s="3188">
        <f>ROUND(IF(项目基本情况!$B$8="出让",SUMPRODUCT(PRODUCT(1+N6:$N$21)),SUMPRODUCT(PRODUCT(1+N6:$N$20))),4)</f>
        <v>1.0561</v>
      </c>
      <c r="V6" s="3188">
        <f>ROUND(IF(项目基本情况!$B$8="出让",SUMPRODUCT(PRODUCT(1+O6:$O$21)),SUMPRODUCT(PRODUCT(1+O6:$O$20))),4)</f>
        <v>1.0827</v>
      </c>
      <c r="W6" s="3188">
        <f>T6</f>
        <v>1.0003</v>
      </c>
      <c r="X6" s="3188"/>
      <c r="Y6" s="3190">
        <f>IF(D6=0,0,ROUND(AVERAGE(D6:D19)/100,4))</f>
        <v>2.8999999999999998E-3</v>
      </c>
      <c r="Z6" s="3190">
        <f t="shared" ref="Z6" si="21">IF(E6=0,0,ROUND(AVERAGE(E6:E19)/100,4))</f>
        <v>2.3E-3</v>
      </c>
      <c r="AA6" s="3190">
        <f t="shared" ref="AA6" si="22">IF(F6=0,0,ROUND(AVERAGE(F6:F19)/100,4))</f>
        <v>-2.9999999999999997E-4</v>
      </c>
      <c r="AB6" s="3190">
        <f t="shared" ref="AB6" si="23">IF(G6=0,0,ROUND(AVERAGE(G6:G19)/100,4))</f>
        <v>3.3E-3</v>
      </c>
      <c r="AC6" s="3190">
        <f t="shared" ref="AC6" si="24">IF(H6=0,0,ROUND(AVERAGE(H6:H19)/100,4))</f>
        <v>5.0000000000000001E-3</v>
      </c>
      <c r="AD6" s="3190">
        <f t="shared" ref="AD6" si="25">AA6</f>
        <v>-2.9999999999999997E-4</v>
      </c>
    </row>
    <row r="7" spans="1:30" s="3181" customFormat="1" ht="12.75">
      <c r="A7" s="2202" t="s">
        <v>3383</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3376</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3374</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3370</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3369</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3367</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3366</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3365</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3363</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3354</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2819</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2820</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2821</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2822</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2823</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3382</v>
      </c>
    </row>
    <row r="24" spans="1:30" s="3005" customFormat="1">
      <c r="I24" s="3204" t="s">
        <v>2824</v>
      </c>
    </row>
    <row r="25" spans="1:30" s="3005" customFormat="1"/>
    <row r="26" spans="1:30" s="3205" customFormat="1" ht="12.75">
      <c r="B26" s="3206" t="s">
        <v>3380</v>
      </c>
      <c r="C26" s="3207"/>
      <c r="D26" s="3207"/>
      <c r="E26" s="3207"/>
      <c r="F26" s="3207"/>
      <c r="G26" s="3207"/>
      <c r="H26" s="3207"/>
      <c r="I26" s="3207"/>
      <c r="J26" s="3161"/>
      <c r="K26" s="3207" t="s">
        <v>2825</v>
      </c>
      <c r="L26" s="3207"/>
      <c r="M26" s="3207"/>
      <c r="N26" s="3207"/>
      <c r="O26" s="3207"/>
      <c r="P26" s="3207"/>
      <c r="Q26" s="3161"/>
      <c r="R26" s="3792" t="s">
        <v>2826</v>
      </c>
      <c r="S26" s="3793"/>
      <c r="T26" s="3793"/>
      <c r="U26" s="3793"/>
      <c r="V26" s="3793"/>
      <c r="W26" s="3793"/>
      <c r="X26" s="3161"/>
      <c r="Y26" s="3792" t="s">
        <v>2827</v>
      </c>
      <c r="Z26" s="3793"/>
      <c r="AA26" s="3793"/>
      <c r="AB26" s="3793"/>
      <c r="AC26" s="3793"/>
      <c r="AD26" s="3793"/>
    </row>
    <row r="27" spans="1:30" s="3139" customFormat="1" ht="14.25" thickBot="1">
      <c r="B27" s="3140"/>
      <c r="C27" s="3141"/>
      <c r="D27" s="3142" t="s">
        <v>2828</v>
      </c>
      <c r="E27" s="3143" t="s">
        <v>2829</v>
      </c>
      <c r="F27" s="3143" t="s">
        <v>2830</v>
      </c>
      <c r="G27" s="3143" t="s">
        <v>2831</v>
      </c>
      <c r="H27" s="3143"/>
      <c r="I27" s="3143" t="s">
        <v>2832</v>
      </c>
      <c r="J27" s="3144"/>
      <c r="K27" s="3142" t="s">
        <v>2828</v>
      </c>
      <c r="L27" s="3143" t="s">
        <v>2829</v>
      </c>
      <c r="M27" s="3143" t="s">
        <v>2830</v>
      </c>
      <c r="N27" s="3143" t="s">
        <v>2831</v>
      </c>
      <c r="O27" s="3143"/>
      <c r="P27" s="3143" t="s">
        <v>2832</v>
      </c>
      <c r="Q27" s="3144"/>
      <c r="R27" s="3142" t="s">
        <v>2828</v>
      </c>
      <c r="S27" s="3143" t="s">
        <v>2829</v>
      </c>
      <c r="T27" s="3143" t="s">
        <v>2830</v>
      </c>
      <c r="U27" s="3143" t="s">
        <v>2831</v>
      </c>
      <c r="V27" s="3143"/>
      <c r="W27" s="3143" t="s">
        <v>2832</v>
      </c>
      <c r="X27" s="3144"/>
      <c r="Y27" s="3142" t="s">
        <v>2828</v>
      </c>
      <c r="Z27" s="3143" t="s">
        <v>2829</v>
      </c>
      <c r="AA27" s="3143" t="s">
        <v>2830</v>
      </c>
      <c r="AB27" s="3143" t="s">
        <v>2831</v>
      </c>
      <c r="AC27" s="3143"/>
      <c r="AD27" s="3143" t="s">
        <v>2832</v>
      </c>
    </row>
    <row r="28" spans="1:30" s="3157" customFormat="1" ht="12.75">
      <c r="A28" s="3145" t="s">
        <v>2833</v>
      </c>
      <c r="B28" s="3146"/>
      <c r="C28" s="3147"/>
      <c r="D28" s="3147"/>
      <c r="E28" s="3147">
        <f t="shared" ref="E28:G28" si="65">ROUND(AVERAGEIF(E29:E46,"&lt;&gt;0"),2)</f>
        <v>0.21</v>
      </c>
      <c r="F28" s="3147">
        <f t="shared" si="65"/>
        <v>0.14000000000000001</v>
      </c>
      <c r="G28" s="3147">
        <f t="shared" si="65"/>
        <v>0.3</v>
      </c>
      <c r="H28" s="3147"/>
      <c r="I28" s="3147">
        <f>F28</f>
        <v>0.14000000000000001</v>
      </c>
      <c r="J28" s="3148"/>
      <c r="K28" s="3149"/>
      <c r="L28" s="3150">
        <f t="shared" ref="L28:N28" si="66">ROUND(AVERAGEIF(L29:L46,"&lt;&gt;0"),4)</f>
        <v>2.0999999999999999E-3</v>
      </c>
      <c r="M28" s="3150">
        <f t="shared" si="66"/>
        <v>1.4E-3</v>
      </c>
      <c r="N28" s="3150">
        <f t="shared" si="66"/>
        <v>3.0000000000000001E-3</v>
      </c>
      <c r="O28" s="3150"/>
      <c r="P28" s="3150">
        <f>M28</f>
        <v>1.4E-3</v>
      </c>
      <c r="Q28" s="3148"/>
      <c r="R28" s="3151"/>
      <c r="S28" s="3152">
        <f>ROUND(SUMPRODUCT(PRODUCT(1+L29:L46)),4)</f>
        <v>1.0337000000000001</v>
      </c>
      <c r="T28" s="3152">
        <f t="shared" ref="T28:U28" si="67">ROUND(SUMPRODUCT(PRODUCT(1+M29:M46)),4)</f>
        <v>1.022</v>
      </c>
      <c r="U28" s="3152">
        <f t="shared" si="67"/>
        <v>1.0489999999999999</v>
      </c>
      <c r="V28" s="3152"/>
      <c r="W28" s="3151">
        <f>T28</f>
        <v>1.022</v>
      </c>
      <c r="X28" s="3148"/>
      <c r="Y28" s="3153"/>
      <c r="Z28" s="3154">
        <f t="shared" ref="Z28:AB28" si="68">ROUND(AVERAGEIF(Z29:Z46,"&lt;&gt;0"),4)</f>
        <v>3.8E-3</v>
      </c>
      <c r="AA28" s="3155">
        <f t="shared" si="68"/>
        <v>3.0000000000000001E-3</v>
      </c>
      <c r="AB28" s="3153">
        <f t="shared" si="68"/>
        <v>7.4999999999999997E-3</v>
      </c>
      <c r="AC28" s="3156"/>
      <c r="AD28" s="3153">
        <f>AA28</f>
        <v>3.0000000000000001E-3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2" t="s">
        <v>3375</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1.0301</v>
      </c>
      <c r="T30" s="3179">
        <f>ROUND(IF(项目基本情况!$B$8="出让",SUMPRODUCT(PRODUCT(1+M30:M$46)),SUMPRODUCT(PRODUCT(1+M30:M$45))),4)</f>
        <v>1.0170999999999999</v>
      </c>
      <c r="U30" s="3179">
        <f>ROUND(IF(项目基本情况!$B$8="出让",SUMPRODUCT(PRODUCT(1+N30:N$46)),SUMPRODUCT(PRODUCT(1+N30:N$45))),4)</f>
        <v>1.0387999999999999</v>
      </c>
      <c r="V30" s="3179"/>
      <c r="W30" s="3179">
        <f>T30</f>
        <v>1.0170999999999999</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3377</v>
      </c>
      <c r="B31" s="3183">
        <v>2024</v>
      </c>
      <c r="C31" s="3184">
        <v>4</v>
      </c>
      <c r="D31" s="3185"/>
      <c r="E31" s="3185">
        <v>-0.61</v>
      </c>
      <c r="F31" s="3185">
        <v>-0.71</v>
      </c>
      <c r="G31" s="3185">
        <v>-0.88</v>
      </c>
      <c r="H31" s="3186"/>
      <c r="I31" s="3187">
        <f t="shared" ref="I31" si="76">F31</f>
        <v>-0.71</v>
      </c>
      <c r="J31" s="3188"/>
      <c r="K31" s="3189"/>
      <c r="L31" s="3190">
        <f t="shared" ref="L31" si="77">E31/100</f>
        <v>-6.0999999999999995E-3</v>
      </c>
      <c r="M31" s="3190">
        <f t="shared" ref="M31" si="78">F31/100</f>
        <v>-7.0999999999999995E-3</v>
      </c>
      <c r="N31" s="3190">
        <f t="shared" ref="N31" si="79">G31/100</f>
        <v>-8.8000000000000005E-3</v>
      </c>
      <c r="O31" s="3190"/>
      <c r="P31" s="3190">
        <f>M31</f>
        <v>-7.0999999999999995E-3</v>
      </c>
      <c r="Q31" s="3188"/>
      <c r="R31" s="3188"/>
      <c r="S31" s="3188">
        <f>ROUND(IF(项目基本情况!$B$8="出让",SUMPRODUCT(PRODUCT(1+L31:L$46)),SUMPRODUCT(PRODUCT(1+L31:L$45))),4)</f>
        <v>1.0301</v>
      </c>
      <c r="T31" s="3188">
        <f>ROUND(IF(项目基本情况!$B$8="出让",SUMPRODUCT(PRODUCT(1+M31:M$46)),SUMPRODUCT(PRODUCT(1+M31:M$45))),4)</f>
        <v>1.0170999999999999</v>
      </c>
      <c r="U31" s="3188">
        <f>ROUND(IF(项目基本情况!$B$8="出让",SUMPRODUCT(PRODUCT(1+N31:N$46)),SUMPRODUCT(PRODUCT(1+N31:N$45))),4)</f>
        <v>1.0387999999999999</v>
      </c>
      <c r="V31" s="3188"/>
      <c r="W31" s="3188">
        <f>T31</f>
        <v>1.0170999999999999</v>
      </c>
      <c r="X31" s="3188"/>
      <c r="Y31" s="3190"/>
      <c r="Z31" s="3211">
        <f t="shared" ref="Z31" si="80">IF(E31=0,0,ROUND(AVERAGE(E31:E44)/100,4))</f>
        <v>1.6999999999999999E-3</v>
      </c>
      <c r="AA31" s="3212">
        <f t="shared" ref="AA31" si="81">IF(F31=0,0,ROUND(AVERAGE(F31:F44)/100,4))</f>
        <v>8.9999999999999998E-4</v>
      </c>
      <c r="AB31" s="3190">
        <f t="shared" ref="AB31" si="82">IF(G31=0,0,ROUND(AVERAGE(G31:G44)/100,4))</f>
        <v>2E-3</v>
      </c>
      <c r="AC31" s="3213"/>
      <c r="AD31" s="3190">
        <f>IF(I31=0,0,ROUND(AVERAGE(I31:I44)/100,4))</f>
        <v>8.9999999999999998E-4</v>
      </c>
    </row>
    <row r="32" spans="1:30" s="3181" customFormat="1" ht="12.75">
      <c r="A32" s="2202" t="s">
        <v>3372</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3378</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3373</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3371</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3369</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3368</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3366</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3365</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3364</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3354</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2834</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2835</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2836</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2837</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2823</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H3" sqref="H3"/>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3" sqref="H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45726</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45586</v>
      </c>
      <c r="D13" s="2818">
        <v>3.1</v>
      </c>
      <c r="E13" s="2818">
        <f>D13</f>
        <v>3.1</v>
      </c>
      <c r="F13" s="2818">
        <f>D13</f>
        <v>3.1</v>
      </c>
      <c r="G13" s="2818">
        <f>D13</f>
        <v>3.1</v>
      </c>
      <c r="H13" s="2818">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45495</v>
      </c>
      <c r="D14" s="2813">
        <v>3.35</v>
      </c>
      <c r="E14" s="2813">
        <f>D14</f>
        <v>3.35</v>
      </c>
      <c r="F14" s="2813">
        <f>D14</f>
        <v>3.35</v>
      </c>
      <c r="G14" s="2813">
        <f>D14</f>
        <v>3.35</v>
      </c>
      <c r="H14" s="2813">
        <v>3.85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45342</v>
      </c>
      <c r="D15" s="2813">
        <v>3.45</v>
      </c>
      <c r="E15" s="2813">
        <f>D15</f>
        <v>3.45</v>
      </c>
      <c r="F15" s="2813">
        <f>D15</f>
        <v>3.45</v>
      </c>
      <c r="G15" s="2813">
        <f>D15</f>
        <v>3.45</v>
      </c>
      <c r="H15" s="2813">
        <v>3.95</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45159</v>
      </c>
      <c r="D16" s="2813">
        <v>3.45</v>
      </c>
      <c r="E16" s="2813">
        <f>D16</f>
        <v>3.45</v>
      </c>
      <c r="F16" s="2813">
        <f>D16</f>
        <v>3.45</v>
      </c>
      <c r="G16" s="2813">
        <f>D16</f>
        <v>3.45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45097</v>
      </c>
      <c r="D17" s="2813">
        <v>3.55</v>
      </c>
      <c r="E17" s="2813">
        <f>D17</f>
        <v>3.55</v>
      </c>
      <c r="F17" s="2813">
        <f>D17</f>
        <v>3.55</v>
      </c>
      <c r="G17" s="2813">
        <f>D17</f>
        <v>3.55</v>
      </c>
      <c r="H17" s="2813">
        <v>4.2</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44701</v>
      </c>
      <c r="D19" s="2813">
        <v>3.7</v>
      </c>
      <c r="E19" s="2813">
        <f>D19</f>
        <v>3.7</v>
      </c>
      <c r="F19" s="2813">
        <f>D19</f>
        <v>3.7</v>
      </c>
      <c r="G19" s="2813">
        <f>D19</f>
        <v>3.7</v>
      </c>
      <c r="H19" s="2813">
        <v>4.45</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4">
        <v>44581</v>
      </c>
      <c r="D20" s="2813">
        <v>3.7</v>
      </c>
      <c r="E20" s="2813">
        <f>D20</f>
        <v>3.7</v>
      </c>
      <c r="F20" s="2813">
        <f>D20</f>
        <v>3.7</v>
      </c>
      <c r="G20" s="2813">
        <f>D20</f>
        <v>3.7</v>
      </c>
      <c r="H20" s="2813">
        <v>4.5999999999999996</v>
      </c>
      <c r="I20" s="2818"/>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44550</v>
      </c>
      <c r="D21" s="2813">
        <v>3.8</v>
      </c>
      <c r="E21" s="2813">
        <f>D21</f>
        <v>3.8</v>
      </c>
      <c r="F21" s="2813">
        <f>D21</f>
        <v>3.8</v>
      </c>
      <c r="G21" s="2813">
        <f>D21</f>
        <v>3.8</v>
      </c>
      <c r="H21" s="2813">
        <v>4.6500000000000004</v>
      </c>
      <c r="I21" s="2813"/>
      <c r="J21" s="281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43941</v>
      </c>
      <c r="D22" s="2813">
        <v>3.85</v>
      </c>
      <c r="E22" s="2813">
        <v>3.85</v>
      </c>
      <c r="F22" s="2813">
        <v>3.85</v>
      </c>
      <c r="G22" s="2813">
        <v>3.85</v>
      </c>
      <c r="H22" s="2813">
        <v>4.6500000000000004</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43881</v>
      </c>
      <c r="D23" s="2813">
        <v>4.05</v>
      </c>
      <c r="E23" s="2813">
        <v>4.05</v>
      </c>
      <c r="F23" s="2813">
        <v>4.05</v>
      </c>
      <c r="G23" s="2813">
        <v>4.05</v>
      </c>
      <c r="H23" s="2813">
        <v>4.75</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43789</v>
      </c>
      <c r="D24" s="2813">
        <v>4.1500000000000004</v>
      </c>
      <c r="E24" s="2813">
        <v>4.1500000000000004</v>
      </c>
      <c r="F24" s="2813">
        <v>4.1500000000000004</v>
      </c>
      <c r="G24" s="2813">
        <v>4.1500000000000004</v>
      </c>
      <c r="H24" s="2813">
        <v>4.8</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3"/>
      <c r="C25" s="2814">
        <v>43728</v>
      </c>
      <c r="D25" s="2813">
        <v>4.2</v>
      </c>
      <c r="E25" s="2813">
        <v>4.2</v>
      </c>
      <c r="F25" s="2813">
        <v>4.2</v>
      </c>
      <c r="G25" s="2813">
        <v>4.2</v>
      </c>
      <c r="H25" s="2813">
        <v>4.8499999999999996</v>
      </c>
      <c r="I25" s="2813"/>
      <c r="J25" s="2813"/>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2" t="s">
        <v>2308</v>
      </c>
      <c r="C26" s="2815">
        <v>43697</v>
      </c>
      <c r="D26" s="2816">
        <v>4.25</v>
      </c>
      <c r="E26" s="2816">
        <v>4.25</v>
      </c>
      <c r="F26" s="2816">
        <v>4.25</v>
      </c>
      <c r="G26" s="2816">
        <v>4.25</v>
      </c>
      <c r="H26" s="2816">
        <v>4.8499999999999996</v>
      </c>
      <c r="I26" s="2816"/>
      <c r="J26" s="2816"/>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0"/>
      <c r="C27" s="2821">
        <v>42301</v>
      </c>
      <c r="D27" s="2822">
        <v>4.3499999999999996</v>
      </c>
      <c r="E27" s="2822">
        <v>4.3499999999999996</v>
      </c>
      <c r="F27" s="2822">
        <v>4.75</v>
      </c>
      <c r="G27" s="2822">
        <v>4.75</v>
      </c>
      <c r="H27" s="2822">
        <v>4.9000000000000004</v>
      </c>
      <c r="I27" s="2822"/>
      <c r="J27" s="2822"/>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 sqref="F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1" t="s">
        <v>925</v>
      </c>
      <c r="E3" s="851" t="s">
        <v>931</v>
      </c>
      <c r="F3" s="851" t="s">
        <v>925</v>
      </c>
      <c r="G3" s="851" t="s">
        <v>926</v>
      </c>
      <c r="H3" s="851" t="s">
        <v>925</v>
      </c>
      <c r="I3" s="851" t="s">
        <v>926</v>
      </c>
    </row>
    <row r="4" spans="1:9" ht="15">
      <c r="A4" s="1502" t="str">
        <f>项目基本情况!S2</f>
        <v>北京市房地产</v>
      </c>
      <c r="B4" s="851">
        <f>项目基本情况!C17</f>
        <v>817.51</v>
      </c>
      <c r="C4" s="851">
        <f>项目基本情况!C18</f>
        <v>0</v>
      </c>
      <c r="D4" s="851">
        <f>结果表!D118</f>
        <v>0</v>
      </c>
      <c r="E4" s="851">
        <f>结果表!E118</f>
        <v>0</v>
      </c>
      <c r="F4" s="851">
        <f>结果表!F118</f>
        <v>0</v>
      </c>
      <c r="G4" s="851">
        <f>结果表!G118</f>
        <v>0</v>
      </c>
      <c r="H4" s="851">
        <f ca="1">结果表!H118</f>
        <v>1397</v>
      </c>
      <c r="I4" s="851">
        <f ca="1">结果表!I118</f>
        <v>17086</v>
      </c>
    </row>
    <row r="5" spans="1:9" ht="30" customHeight="1">
      <c r="A5" s="3478" t="s">
        <v>927</v>
      </c>
      <c r="B5" s="3478"/>
      <c r="C5" s="3478"/>
      <c r="D5" s="3478" t="str">
        <f>结果表!D119</f>
        <v>零元整</v>
      </c>
      <c r="E5" s="3478"/>
      <c r="F5" s="3478" t="str">
        <f>结果表!F119</f>
        <v>零元整</v>
      </c>
      <c r="G5" s="3478"/>
      <c r="H5" s="3478" t="str">
        <f ca="1">结果表!H119</f>
        <v>壹仟叁佰玖拾柒万元整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1397</v>
      </c>
      <c r="E8" s="3477"/>
      <c r="F8" s="3477"/>
      <c r="G8" s="3477"/>
      <c r="H8" s="3477"/>
      <c r="I8" s="3477"/>
    </row>
    <row r="9" spans="1:9" ht="15">
      <c r="A9" s="3478" t="s">
        <v>927</v>
      </c>
      <c r="B9" s="3478"/>
      <c r="C9" s="3478"/>
      <c r="D9" s="3478" t="str">
        <f ca="1">结果表!D123</f>
        <v>壹仟叁佰玖拾柒万元整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抵押净值</v>
      </c>
      <c r="B12" s="3477"/>
      <c r="C12" s="3477"/>
      <c r="D12" s="3477">
        <f ca="1">结果表!D126</f>
        <v>1076.3</v>
      </c>
      <c r="E12" s="3477"/>
      <c r="F12" s="3477"/>
      <c r="G12" s="3477"/>
      <c r="H12" s="3477"/>
      <c r="I12" s="3477"/>
    </row>
    <row r="13" spans="1:9" ht="15.75" thickBot="1">
      <c r="A13" s="3475" t="s">
        <v>927</v>
      </c>
      <c r="B13" s="3475"/>
      <c r="C13" s="3475"/>
      <c r="D13" s="3475" t="str">
        <f ca="1">结果表!D127</f>
        <v>壹仟零柒拾陆万叁仟元整</v>
      </c>
      <c r="E13" s="3475"/>
      <c r="F13" s="3475"/>
      <c r="G13" s="3475"/>
      <c r="H13" s="3475"/>
      <c r="I13" s="3475"/>
    </row>
    <row r="14" spans="1:9" ht="15" thickTop="1">
      <c r="A14" s="3476" t="s">
        <v>932</v>
      </c>
      <c r="B14" s="3476"/>
      <c r="C14" s="3476"/>
      <c r="D14" s="3476"/>
      <c r="E14" s="3476"/>
      <c r="F14" s="3476"/>
      <c r="G14" s="3476"/>
      <c r="H14" s="3476"/>
      <c r="I14" s="3476"/>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0" t="s">
        <v>949</v>
      </c>
      <c r="B1" s="3490"/>
      <c r="C1" s="3490"/>
      <c r="D1" s="3490"/>
    </row>
    <row r="2" spans="1:4" ht="18">
      <c r="A2" s="3491" t="s">
        <v>933</v>
      </c>
      <c r="B2" s="3491"/>
      <c r="C2" s="3491"/>
      <c r="D2" s="3491"/>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1" t="s">
        <v>939</v>
      </c>
      <c r="B6" s="3491"/>
      <c r="C6" s="3491"/>
      <c r="D6" s="3491"/>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8" t="s">
        <v>956</v>
      </c>
      <c r="B15" s="3493" t="s">
        <v>109</v>
      </c>
      <c r="C15" s="3494"/>
    </row>
    <row r="16" spans="1:7" ht="13.5">
      <c r="A16" s="3499"/>
      <c r="B16" s="3493" t="s">
        <v>42</v>
      </c>
      <c r="C16" s="3494"/>
    </row>
    <row r="17" spans="1:3" ht="13.5">
      <c r="A17" s="3499"/>
      <c r="B17" s="3496" t="s">
        <v>957</v>
      </c>
      <c r="C17" s="1529" t="s">
        <v>956</v>
      </c>
    </row>
    <row r="18" spans="1:3" ht="13.5">
      <c r="A18" s="3499"/>
      <c r="B18" s="3496"/>
      <c r="C18" s="1529" t="s">
        <v>958</v>
      </c>
    </row>
    <row r="19" spans="1:3" ht="13.5">
      <c r="A19" s="3499"/>
      <c r="B19" s="3496"/>
      <c r="C19" s="1529" t="s">
        <v>959</v>
      </c>
    </row>
    <row r="20" spans="1:3" ht="13.5">
      <c r="A20" s="3500"/>
      <c r="B20" s="3495" t="s">
        <v>960</v>
      </c>
      <c r="C20" s="3494"/>
    </row>
    <row r="21" spans="1:3" ht="13.5">
      <c r="A21" s="1530" t="s">
        <v>961</v>
      </c>
      <c r="B21" s="1531"/>
      <c r="C21" s="1532"/>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29" t="s">
        <v>967</v>
      </c>
    </row>
    <row r="26" spans="1:3" ht="13.5">
      <c r="A26" s="3497"/>
      <c r="B26" s="3496"/>
      <c r="C26" s="1529" t="s">
        <v>968</v>
      </c>
    </row>
    <row r="27" spans="1:3" ht="13.5">
      <c r="A27" s="3497"/>
      <c r="B27" s="3496"/>
      <c r="C27" s="1529" t="s">
        <v>969</v>
      </c>
    </row>
    <row r="28" spans="1:3" ht="13.5">
      <c r="A28" s="3497"/>
      <c r="B28" s="3496"/>
      <c r="C28" s="1529" t="s">
        <v>970</v>
      </c>
    </row>
    <row r="29" spans="1:3" ht="13.5">
      <c r="A29" s="3497"/>
      <c r="B29" s="3496"/>
      <c r="C29" s="1529" t="s">
        <v>971</v>
      </c>
    </row>
    <row r="30" spans="1:3" ht="13.5">
      <c r="A30" s="3497"/>
      <c r="B30" s="3496"/>
      <c r="C30" s="1529" t="s">
        <v>972</v>
      </c>
    </row>
    <row r="31" spans="1:3" ht="13.5">
      <c r="A31" s="3497"/>
      <c r="B31" s="3496"/>
      <c r="C31" s="1529" t="s">
        <v>973</v>
      </c>
    </row>
    <row r="32" spans="1:3" ht="13.5">
      <c r="A32" s="3497"/>
      <c r="B32" s="3496"/>
      <c r="C32" s="1529" t="s">
        <v>974</v>
      </c>
    </row>
    <row r="33" spans="1:3" ht="13.5">
      <c r="A33" s="3497"/>
      <c r="B33" s="3496"/>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45727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1" t="s">
        <v>2159</v>
      </c>
      <c r="B17" s="3501"/>
      <c r="C17" s="3501"/>
      <c r="D17" s="3501"/>
      <c r="E17" s="3501"/>
      <c r="F17" s="3501"/>
      <c r="G17" s="3501"/>
      <c r="H17" s="3501"/>
    </row>
    <row r="18" spans="1:8" ht="24" customHeight="1">
      <c r="A18" s="3502" t="s">
        <v>2160</v>
      </c>
      <c r="B18" s="3502"/>
      <c r="C18" s="3502"/>
      <c r="D18" s="2340"/>
      <c r="E18" s="3503" t="s">
        <v>2161</v>
      </c>
      <c r="F18" s="3502"/>
      <c r="G18" s="3502"/>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结果汇总表及案例情况</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2025-03-11T02:54:17Z</dcterms:modified>
</cp:coreProperties>
</file>