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Q20" i="1" l="1"/>
  <c r="AM6" i="1" l="1"/>
  <c r="J49" i="67" l="1"/>
  <c r="W21" i="1" l="1"/>
  <c r="V21" i="1"/>
  <c r="W20" i="1"/>
  <c r="C33" i="33"/>
  <c r="D104" i="33"/>
  <c r="E104" i="33" s="1"/>
  <c r="F104" i="33" s="1"/>
  <c r="G104" i="33" s="1"/>
  <c r="J49" i="15" l="1"/>
  <c r="B21" i="1" l="1"/>
  <c r="Q22" i="1" l="1"/>
  <c r="C36" i="33" s="1"/>
  <c r="E36" i="33" s="1"/>
  <c r="G36" i="33" s="1"/>
  <c r="I36" i="33"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E9" i="76"/>
  <c r="F36" i="67"/>
  <c r="F7" i="15"/>
  <c r="F26" i="15"/>
  <c r="F8" i="15"/>
  <c r="F38" i="67"/>
  <c r="E12" i="76"/>
  <c r="L47" i="67"/>
  <c r="F40" i="15"/>
  <c r="F13" i="67"/>
  <c r="M22" i="15"/>
  <c r="E7" i="76"/>
  <c r="F13" i="15"/>
  <c r="F9" i="15"/>
  <c r="C76" i="15"/>
  <c r="M8" i="67"/>
  <c r="F36" i="15"/>
  <c r="B13" i="76"/>
  <c r="F40" i="67"/>
  <c r="F3" i="73"/>
  <c r="M29" i="15"/>
  <c r="F37" i="15"/>
  <c r="B11" i="76"/>
  <c r="F6" i="73"/>
  <c r="B10" i="76"/>
  <c r="M6" i="15"/>
  <c r="B7" i="76"/>
  <c r="M9" i="67"/>
  <c r="F7" i="67"/>
  <c r="M22" i="67"/>
  <c r="F9" i="67"/>
  <c r="B12" i="76"/>
  <c r="F5" i="73"/>
  <c r="F26" i="67"/>
  <c r="C76" i="67"/>
  <c r="J15" i="67"/>
  <c r="E8" i="76"/>
  <c r="J15" i="15"/>
  <c r="F20" i="31"/>
  <c r="M8" i="15"/>
  <c r="D5" i="73"/>
  <c r="E11" i="76"/>
  <c r="M26" i="67"/>
  <c r="M6" i="67"/>
  <c r="B8" i="76"/>
  <c r="D4" i="73"/>
  <c r="M29" i="67"/>
  <c r="F16" i="15"/>
  <c r="F38" i="15"/>
  <c r="E2" i="68"/>
  <c r="F8" i="67"/>
  <c r="F43" i="15"/>
  <c r="M24" i="15"/>
  <c r="F6" i="15"/>
  <c r="M26" i="15"/>
  <c r="E10" i="76"/>
  <c r="F7" i="73"/>
  <c r="AO13" i="1"/>
  <c r="F43" i="67"/>
  <c r="M28" i="15"/>
  <c r="M28" i="67"/>
  <c r="F42" i="15"/>
  <c r="M24" i="67"/>
  <c r="L47" i="15"/>
  <c r="F4" i="73"/>
  <c r="F16" i="67"/>
  <c r="B9" i="76"/>
  <c r="D3" i="73"/>
  <c r="M9" i="15"/>
  <c r="D6" i="73"/>
  <c r="F42" i="67"/>
  <c r="M23" i="15"/>
  <c r="E2" i="69"/>
  <c r="F6" i="67"/>
  <c r="M23" i="67"/>
  <c r="F37" i="67"/>
  <c r="D7" i="73"/>
  <c r="U11" i="33" l="1"/>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8" i="3"/>
  <c r="E477" i="3"/>
  <c r="E162"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0" i="3"/>
  <c r="E343" i="3"/>
  <c r="E305"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D9" i="69"/>
  <c r="C36" i="69"/>
  <c r="C16" i="67"/>
  <c r="C36" i="68"/>
  <c r="G1" i="73"/>
  <c r="L48" i="15"/>
  <c r="C16" i="15"/>
  <c r="L48" i="67"/>
  <c r="D9" i="68"/>
  <c r="E441" i="3" l="1"/>
  <c r="E27" i="3"/>
  <c r="E515" i="3"/>
  <c r="E150" i="3"/>
  <c r="E384" i="3"/>
  <c r="AS6" i="3"/>
  <c r="E271" i="3"/>
  <c r="E450" i="3"/>
  <c r="E508" i="3"/>
  <c r="E175" i="3"/>
  <c r="E210" i="3"/>
  <c r="E505" i="3"/>
  <c r="E269" i="3"/>
  <c r="J57" i="67"/>
  <c r="J55" i="67" s="1"/>
  <c r="J58" i="67" s="1"/>
  <c r="Q50" i="67" s="1"/>
  <c r="L56" i="67"/>
  <c r="L58" i="67"/>
  <c r="Q73" i="67" s="1"/>
  <c r="I54" i="67"/>
  <c r="J53" i="67"/>
  <c r="H7" i="36"/>
  <c r="G6" i="1"/>
  <c r="G16" i="1" s="1"/>
  <c r="F10" i="39" s="1"/>
  <c r="F7" i="36"/>
  <c r="S7" i="36" s="1"/>
  <c r="W17" i="33"/>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AA7" i="36" l="1"/>
  <c r="R36" i="36" s="1"/>
  <c r="Q52" i="15"/>
  <c r="F1" i="15"/>
  <c r="Q73" i="15"/>
  <c r="H6" i="3"/>
  <c r="E6" i="3" s="1"/>
  <c r="E65" i="39"/>
  <c r="J20" i="1"/>
  <c r="L21" i="1"/>
  <c r="L20" i="1"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AE6" i="1"/>
  <c r="G54" i="34" l="1"/>
  <c r="H54" i="34" s="1"/>
  <c r="B14" i="74"/>
  <c r="B1" i="74" s="1"/>
  <c r="K20" i="1"/>
  <c r="J23" i="1"/>
  <c r="L23" i="1" s="1"/>
  <c r="J26" i="1"/>
  <c r="J24" i="1"/>
  <c r="L24" i="1" s="1"/>
  <c r="D116" i="43"/>
  <c r="P37" i="43"/>
  <c r="M37" i="43"/>
  <c r="Q37" i="43"/>
  <c r="O37" i="43"/>
  <c r="N37" i="43"/>
  <c r="M21" i="6"/>
  <c r="I21" i="6" s="1"/>
  <c r="S21" i="6" s="1"/>
  <c r="E6" i="70"/>
  <c r="C34" i="43"/>
  <c r="E34" i="43" s="1"/>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F41" i="67"/>
  <c r="C14" i="67"/>
  <c r="F41" i="15"/>
  <c r="C17" i="67"/>
  <c r="F69" i="67" l="1"/>
  <c r="F69" i="15"/>
  <c r="L26" i="1"/>
  <c r="K26" i="1" s="1"/>
  <c r="M19" i="9"/>
  <c r="C118" i="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34" i="68"/>
  <c r="C14" i="15"/>
  <c r="E6" i="76"/>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L51" i="15"/>
  <c r="D2" i="35"/>
  <c r="D2" i="37"/>
  <c r="D2" i="34"/>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7" i="1"/>
  <c r="AO11" i="1"/>
  <c r="AO9" i="1"/>
  <c r="C20" i="9"/>
  <c r="AO12"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D103" i="9" l="1"/>
  <c r="G20" i="9"/>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M48" i="9" s="1"/>
  <c r="M49" i="9" s="1"/>
  <c r="I118" i="9"/>
  <c r="H118" i="9" s="1"/>
  <c r="G118" i="9"/>
  <c r="G14" i="74" l="1"/>
  <c r="B6" i="74" s="1"/>
  <c r="D6" i="74" s="1"/>
  <c r="H119" i="9"/>
  <c r="H5" i="52" s="1"/>
  <c r="C105" i="9"/>
  <c r="I4" i="52"/>
  <c r="C104" i="9"/>
  <c r="H4" i="52"/>
  <c r="H102" i="9"/>
  <c r="D7" i="53" s="1"/>
  <c r="B21" i="72" s="1"/>
  <c r="G4" i="52"/>
  <c r="B52" i="72" s="1"/>
  <c r="F118" i="9"/>
  <c r="H101" i="9"/>
  <c r="H107" i="9" s="1"/>
  <c r="F14" i="74"/>
  <c r="B5" i="74"/>
  <c r="D5" i="74" s="1"/>
  <c r="E118" i="9"/>
  <c r="H14" i="74" l="1"/>
  <c r="B7" i="74" s="1"/>
  <c r="C7" i="74" s="1"/>
  <c r="D5" i="53"/>
  <c r="D6" i="53" s="1"/>
  <c r="B22" i="72" s="1"/>
  <c r="D45" i="9"/>
  <c r="D56" i="9" s="1"/>
  <c r="E4" i="52"/>
  <c r="B48" i="72" s="1"/>
  <c r="D118" i="9"/>
  <c r="F4" i="52"/>
  <c r="B51" i="72" s="1"/>
  <c r="F119" i="9"/>
  <c r="F5" i="52" s="1"/>
  <c r="B53" i="72" s="1"/>
  <c r="C5" i="74"/>
  <c r="H108" i="9"/>
  <c r="D13" i="53"/>
  <c r="D122" i="9"/>
  <c r="D7" i="74" l="1"/>
  <c r="B20" i="72"/>
  <c r="C78" i="9"/>
  <c r="C73" i="9" s="1"/>
  <c r="D55" i="9"/>
  <c r="M53" i="9" s="1"/>
  <c r="C85" i="9"/>
  <c r="D52" i="9"/>
  <c r="D53" i="9"/>
  <c r="C64" i="9"/>
  <c r="C63" i="9" s="1"/>
  <c r="C67" i="9" s="1"/>
  <c r="C68" i="9" s="1"/>
  <c r="D54" i="9" s="1"/>
  <c r="D48" i="9" s="1"/>
  <c r="M52" i="9" s="1"/>
  <c r="C93" i="9"/>
  <c r="C86" i="9" s="1"/>
  <c r="C72" i="9"/>
  <c r="D4" i="52"/>
  <c r="B47" i="72" s="1"/>
  <c r="D119" i="9"/>
  <c r="D5" i="52" s="1"/>
  <c r="B49" i="72" s="1"/>
  <c r="D123" i="9"/>
  <c r="D9" i="52" s="1"/>
  <c r="D8" i="52"/>
  <c r="D59" i="9"/>
  <c r="M55" i="9" s="1"/>
  <c r="D14" i="53"/>
  <c r="B32" i="72" s="1"/>
  <c r="B30" i="72"/>
  <c r="C6" i="74"/>
  <c r="D15" i="53"/>
  <c r="B31" i="72" s="1"/>
  <c r="C95" i="9"/>
  <c r="L68" i="9"/>
  <c r="M68" i="9" s="1"/>
  <c r="L66" i="9"/>
  <c r="M66" i="9" s="1"/>
  <c r="L63" i="9"/>
  <c r="M63" i="9" s="1"/>
  <c r="L64" i="9"/>
  <c r="M64" i="9" s="1"/>
  <c r="L65" i="9"/>
  <c r="M65" i="9" s="1"/>
  <c r="L67" i="9"/>
  <c r="M67" i="9" s="1"/>
  <c r="C79" i="9" l="1"/>
  <c r="C80" i="9" s="1"/>
  <c r="E80" i="9" s="1"/>
  <c r="E81" i="9" s="1"/>
  <c r="M69" i="9"/>
  <c r="N69" i="9" s="1"/>
  <c r="C96" i="9"/>
  <c r="E96" i="9" s="1"/>
  <c r="E97" i="9" s="1"/>
  <c r="C97" i="9" l="1"/>
  <c r="C81" i="9"/>
  <c r="D58" i="9" l="1"/>
  <c r="M54" i="9" s="1"/>
  <c r="N57" i="9" s="1"/>
  <c r="N58" i="9" s="1"/>
  <c r="P57" i="9" l="1"/>
  <c r="N59" i="9"/>
  <c r="H111" i="9" s="1"/>
  <c r="I14" i="74" s="1"/>
  <c r="N60" i="9" l="1"/>
  <c r="D126" i="9"/>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<sst xmlns="http://schemas.openxmlformats.org/spreadsheetml/2006/main" count="7943" uniqueCount="3477">
  <si>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</si>
  <si>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</si>
  <si>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</si>
  <si>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</si>
  <si>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</si>
  <si>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</si>
  <si>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</si>
  <si>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</si>
  <si>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</si>
  <si>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</si>
  <si>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</si>
  <si>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</si>
  <si>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</si>
  <si>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</si>
  <si>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</si>
  <si>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</si>
  <si>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</si>
  <si>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</si>
  <si>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</si>
  <si>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</si>
  <si>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</si>
  <si>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</si>
  <si>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</si>
  <si>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</si>
  <si>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</si>
  <si>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</si>
  <si>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</si>
  <si>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</si>
  <si>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</si>
  <si>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</si>
  <si>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</si>
  <si>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</si>
  <si>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</si>
  <si>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</si>
  <si>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</si>
  <si>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</si>
  <si>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</si>
  <si>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</si>
  <si>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</si>
  <si>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</si>
  <si>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</si>
  <si>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</si>
  <si>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</si>
  <si>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</si>
  <si>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</si>
  <si>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</si>
  <si>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</si>
  <si>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</si>
  <si>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</si>
  <si>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</si>
  <si>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</si>
  <si>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</si>
  <si>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</si>
  <si>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</si>
  <si>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</si>
  <si>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</si>
  <si>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</si>
  <si>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</si>
  <si>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</si>
  <si>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</si>
  <si>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</si>
  <si>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</si>
  <si>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</si>
  <si>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</si>
  <si>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</si>
  <si>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</si>
  <si>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</si>
  <si>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</si>
  <si>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</si>
  <si>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</si>
  <si>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</si>
  <si>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</si>
  <si>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</si>
  <si>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</si>
  <si>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</si>
  <si>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</si>
  <si>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</si>
  <si>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</si>
  <si>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</si>
  <si>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</si>
  <si>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</si>
  <si>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</si>
  <si>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</si>
  <si>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</si>
  <si>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</si>
  <si>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</si>
  <si>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</si>
  <si>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</si>
  <si>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</si>
  <si>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</si>
  <si>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</si>
  <si>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</si>
  <si>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</si>
  <si>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</si>
  <si>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</si>
  <si>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</si>
  <si>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</si>
  <si>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</si>
  <si>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</si>
  <si>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</si>
  <si>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</si>
  <si>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</si>
  <si>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</si>
  <si>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</si>
  <si>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</si>
  <si>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</si>
  <si>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</si>
  <si>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</si>
  <si>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</si>
  <si>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</si>
  <si>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</si>
  <si>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</si>
  <si>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</si>
  <si>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</si>
  <si>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</si>
  <si>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</si>
  <si>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</si>
  <si>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</si>
  <si>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</si>
  <si>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</si>
  <si>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</si>
  <si>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</si>
  <si>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</si>
  <si>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</si>
  <si>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</si>
  <si>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</si>
  <si>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</si>
  <si>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</si>
  <si>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</si>
  <si>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</si>
  <si>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</si>
  <si>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</si>
  <si>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</si>
  <si>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</si>
  <si>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</si>
  <si>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</si>
  <si>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</si>
  <si>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</si>
  <si>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</si>
  <si>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</si>
  <si>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</si>
  <si>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</si>
  <si>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</si>
  <si>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</si>
  <si>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</si>
  <si>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</si>
  <si>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</si>
  <si>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</si>
  <si>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</si>
  <si>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</si>
  <si>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</si>
  <si>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</si>
  <si>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</si>
  <si>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</si>
  <si>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</si>
  <si>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</si>
  <si>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</si>
  <si>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</si>
  <si>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</si>
  <si>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</si>
  <si>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</si>
  <si>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</si>
  <si>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</si>
  <si>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</si>
  <si>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</si>
  <si>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</si>
  <si>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</si>
  <si>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</si>
  <si>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</si>
  <si>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</si>
  <si>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</si>
  <si>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</si>
  <si>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</si>
  <si>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</si>
  <si>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</si>
  <si>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</si>
  <si>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</si>
  <si>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</si>
  <si>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</si>
  <si>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</si>
  <si>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</si>
  <si>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</si>
  <si>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</si>
  <si>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</si>
  <si>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</si>
  <si>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</si>
  <si>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</si>
  <si>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</si>
  <si>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</si>
  <si>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</si>
  <si>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</si>
  <si>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</si>
  <si>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</si>
  <si>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</si>
  <si>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</si>
  <si>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</si>
  <si>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</si>
  <si>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</si>
  <si>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</si>
  <si>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</si>
  <si>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</si>
  <si>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</si>
  <si>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</si>
  <si>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</si>
  <si>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</si>
  <si>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</si>
  <si>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</si>
  <si>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</si>
  <si>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</si>
  <si>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</si>
  <si>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</si>
  <si>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</si>
  <si>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</si>
  <si>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</si>
  <si>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</si>
  <si>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</si>
  <si>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</si>
  <si>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</si>
  <si>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</si>
  <si>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</si>
  <si>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</si>
  <si>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</si>
  <si>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</si>
  <si>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</si>
  <si>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</si>
  <si>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</si>
  <si>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</si>
  <si>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</si>
  <si>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</si>
  <si>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</si>
  <si>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</si>
  <si>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</si>
  <si>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</si>
  <si>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</si>
  <si>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</si>
  <si>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</si>
  <si>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</si>
  <si>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</si>
  <si>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</si>
  <si>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</si>
  <si>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</si>
  <si>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</si>
  <si>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</si>
  <si>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</si>
  <si>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</si>
  <si>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</si>
  <si>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</si>
  <si>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</si>
  <si>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</si>
  <si>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</si>
  <si>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</si>
  <si>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</si>
  <si>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</si>
  <si>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</si>
  <si>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</si>
  <si>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</si>
  <si>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</si>
  <si>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</si>
  <si>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</si>
  <si>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</si>
  <si>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</si>
  <si>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</si>
  <si>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</si>
  <si>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</si>
  <si>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</si>
  <si>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</si>
  <si>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</si>
  <si>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</si>
  <si>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</si>
  <si>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</si>
  <si>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</si>
  <si>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</si>
  <si>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</si>
  <si>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</si>
  <si>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</si>
  <si>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</si>
  <si>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</si>
  <si>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</si>
  <si>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</si>
  <si>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</si>
  <si>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</si>
  <si>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</si>
  <si>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</si>
  <si>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</si>
  <si>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</si>
  <si>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</si>
  <si>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</si>
  <si>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</si>
  <si>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</si>
  <si>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</si>
  <si>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</si>
  <si>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</si>
  <si>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</si>
  <si>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</si>
  <si>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</si>
  <si>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</si>
  <si>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</si>
  <si>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</si>
  <si>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</si>
  <si>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</si>
  <si>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</si>
  <si>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</si>
  <si>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</si>
  <si>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</si>
  <si>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</si>
  <si>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</si>
  <si>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</si>
  <si>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</si>
  <si>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</si>
  <si>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</si>
  <si>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</si>
  <si>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</si>
  <si>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</si>
  <si>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</si>
  <si>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</si>
  <si>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</si>
  <si>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</si>
  <si>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</si>
  <si>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</si>
  <si>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</si>
  <si>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</si>
  <si>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</si>
  <si>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</si>
  <si>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</si>
  <si>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</si>
  <si>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</si>
  <si>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</si>
  <si>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</si>
  <si>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</si>
  <si>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</si>
  <si>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</si>
  <si>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</si>
  <si>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</si>
  <si>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</si>
  <si>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</si>
  <si>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</si>
  <si>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</si>
  <si>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</si>
  <si>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</si>
  <si>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</si>
  <si>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</si>
  <si>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</si>
  <si>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</si>
  <si>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</si>
  <si>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</si>
  <si>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</si>
  <si>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</si>
  <si>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</si>
  <si>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</si>
  <si>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</si>
  <si>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</si>
  <si>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</si>
  <si>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</si>
  <si>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</si>
  <si>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</si>
  <si>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</si>
  <si>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</si>
  <si>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</si>
  <si>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</si>
  <si>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</si>
  <si>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</si>
  <si>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</si>
  <si>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</si>
  <si>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</si>
  <si>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</si>
  <si>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</si>
  <si>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</si>
  <si>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</si>
  <si>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</si>
  <si>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</si>
  <si>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</si>
  <si>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</si>
  <si>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</si>
  <si>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</si>
  <si>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</si>
  <si>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</si>
  <si>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</si>
  <si>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</si>
  <si>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</si>
  <si>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</si>
  <si>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</si>
  <si>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</si>
  <si>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</si>
  <si>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</si>
  <si>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</si>
  <si>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</si>
  <si>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</si>
  <si>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</si>
  <si>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</si>
  <si>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</si>
  <si>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</si>
  <si>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</si>
  <si>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</si>
  <si>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</si>
  <si>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</si>
  <si>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</si>
  <si>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</si>
  <si>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</si>
  <si>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</si>
  <si>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</si>
  <si>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</si>
  <si>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</si>
  <si>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</si>
  <si>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</si>
  <si>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</si>
  <si>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</si>
  <si>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</si>
  <si>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</si>
  <si>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</si>
  <si>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</si>
  <si>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</si>
  <si>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</si>
  <si>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</si>
  <si>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</si>
  <si>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</si>
  <si>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</si>
  <si>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</si>
  <si>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</si>
  <si>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</si>
  <si>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</si>
  <si>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</si>
  <si>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</si>
  <si>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</si>
  <si>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</si>
  <si>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</si>
  <si>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</si>
  <si>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</si>
  <si>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</si>
  <si>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</si>
  <si>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</si>
  <si>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</si>
  <si>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</si>
  <si>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</si>
  <si>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</si>
  <si>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</si>
  <si>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</si>
  <si>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</si>
  <si>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</si>
  <si>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</si>
  <si>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</si>
  <si>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</si>
  <si>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</si>
  <si>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</si>
  <si>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</si>
  <si>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</si>
  <si>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</si>
  <si>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</si>
  <si>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</si>
  <si>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</si>
  <si>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</si>
  <si>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</si>
  <si>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</si>
  <si>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</si>
  <si>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</si>
  <si>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</si>
  <si>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</si>
  <si>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</si>
  <si>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</si>
  <si>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</si>
  <si>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</si>
  <si>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</si>
  <si>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</si>
  <si>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</si>
  <si>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</si>
  <si>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</si>
  <si>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</si>
  <si>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</si>
  <si>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</si>
  <si>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</si>
  <si>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</si>
  <si>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</si>
  <si>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</si>
  <si>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</si>
  <si>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</si>
  <si>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</si>
  <si>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</si>
  <si>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</si>
  <si>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</si>
  <si>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</si>
  <si>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</si>
  <si>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</si>
  <si>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</si>
  <si>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</si>
  <si>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</si>
  <si>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</si>
  <si>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</si>
  <si>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</si>
  <si>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</si>
  <si>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</si>
  <si>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</si>
  <si>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</si>
  <si>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</si>
  <si>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</si>
  <si>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</si>
  <si>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</si>
  <si>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</si>
  <si>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</si>
  <si>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</si>
  <si>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</si>
  <si>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</si>
  <si>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</si>
  <si>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</si>
  <si>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</si>
  <si>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</si>
  <si>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</si>
  <si>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</si>
  <si>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</si>
  <si>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</si>
  <si>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</si>
  <si>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</si>
  <si>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</si>
  <si>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</si>
  <si>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</si>
  <si>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</si>
  <si>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</si>
  <si>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</si>
  <si>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</si>
  <si>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</si>
  <si>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</si>
  <si>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</si>
  <si>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</si>
  <si>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</si>
  <si>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</si>
  <si>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</si>
  <si>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</si>
  <si>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</si>
  <si>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</si>
  <si>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</si>
  <si>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</si>
  <si>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</si>
  <si>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</si>
  <si>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</si>
  <si>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</si>
  <si>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</si>
  <si>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</si>
  <si>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</si>
  <si>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</si>
  <si>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</si>
  <si>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</si>
  <si>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</si>
  <si>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</si>
  <si>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</si>
  <si>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</si>
  <si>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</si>
  <si>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</si>
  <si>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</si>
  <si>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</si>
  <si>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</si>
  <si>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</si>
  <si>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</si>
  <si>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</si>
  <si>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</si>
  <si>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</si>
  <si>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</si>
  <si>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</si>
  <si>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</si>
  <si>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</si>
  <si>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</si>
  <si>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</si>
  <si>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</si>
  <si>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</si>
  <si>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</si>
  <si>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</si>
  <si>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</si>
  <si>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</si>
  <si>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</si>
  <si>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</si>
  <si>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</si>
  <si>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</si>
  <si>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</si>
  <si>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</si>
  <si>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</si>
  <si>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</si>
  <si>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</si>
  <si>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</si>
  <si>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</si>
  <si>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</si>
  <si>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</si>
  <si>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</si>
  <si>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</si>
  <si>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</si>
  <si>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</si>
  <si>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</si>
  <si>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</si>
  <si>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</si>
  <si>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</si>
  <si>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</si>
  <si>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</si>
  <si>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</si>
  <si>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</si>
  <si>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</si>
  <si>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</si>
  <si>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</si>
  <si>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</si>
  <si>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</si>
  <si>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</si>
  <si>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</si>
  <si>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</si>
  <si>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</si>
  <si>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</si>
  <si>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</si>
  <si>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</si>
  <si>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</si>
  <si>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</si>
  <si>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</si>
  <si>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</si>
  <si>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</si>
  <si>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</si>
  <si>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</si>
  <si>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</si>
  <si>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</si>
  <si>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</si>
  <si>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</si>
  <si>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</si>
  <si>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</si>
  <si>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</si>
  <si>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</si>
  <si>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</si>
  <si>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</si>
  <si>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</si>
  <si>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</si>
  <si>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</si>
  <si>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</si>
  <si>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</si>
  <si>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</si>
  <si>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</si>
  <si>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</si>
  <si>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</si>
  <si>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</si>
  <si>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</si>
  <si>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</si>
  <si>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</si>
  <si>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</si>
  <si>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</si>
  <si>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</si>
  <si>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</si>
  <si>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</si>
  <si>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</si>
  <si>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</si>
  <si>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</si>
  <si>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</si>
  <si>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</si>
  <si>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</si>
  <si>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</si>
  <si>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</si>
  <si>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</si>
  <si>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</si>
  <si>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</si>
  <si>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</si>
  <si>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</si>
  <si>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</si>
  <si>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</si>
  <si>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</si>
  <si>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</si>
  <si>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</si>
  <si>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</si>
  <si>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</si>
  <si>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</si>
  <si>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</si>
  <si>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</si>
  <si>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</si>
  <si>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</si>
  <si>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</si>
  <si>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</si>
  <si>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</si>
  <si>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</si>
  <si>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</si>
  <si>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</si>
  <si>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</si>
  <si>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</si>
  <si>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</si>
  <si>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</si>
  <si>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</si>
  <si>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</si>
  <si>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</si>
  <si>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</si>
  <si>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</si>
  <si>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</si>
  <si>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</si>
  <si>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</si>
  <si>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</si>
  <si>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</si>
  <si>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</si>
  <si>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</si>
  <si>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</si>
  <si>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</si>
  <si>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</si>
  <si>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</si>
  <si>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</si>
  <si>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</si>
  <si>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</si>
  <si>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</si>
  <si>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</si>
  <si>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</si>
  <si>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</si>
  <si>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</si>
  <si>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</si>
  <si>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</si>
  <si>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</si>
  <si>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</si>
  <si>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</si>
  <si>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</si>
  <si>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</si>
  <si>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</si>
  <si>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</si>
  <si>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</si>
  <si>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</si>
  <si>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</si>
  <si>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</si>
  <si>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</si>
  <si>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</si>
  <si>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</si>
  <si>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</si>
  <si>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</si>
  <si>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</si>
  <si>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</si>
  <si>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</si>
  <si>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</si>
  <si>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</si>
  <si>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</si>
  <si>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</si>
  <si>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</si>
  <si>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</si>
  <si>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</si>
  <si>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</si>
  <si>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</si>
  <si>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</si>
  <si>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</si>
  <si>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</si>
  <si>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</si>
  <si>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</si>
  <si>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</si>
  <si>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</si>
  <si>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</si>
  <si>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</si>
  <si>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</si>
  <si>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</si>
  <si>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</si>
  <si>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</si>
  <si>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</si>
  <si>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</si>
  <si>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</si>
  <si>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</si>
  <si>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</si>
  <si>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</si>
  <si>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</si>
  <si>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</si>
  <si>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</si>
  <si>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</si>
  <si>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</si>
  <si>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</si>
  <si>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</si>
  <si>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</si>
  <si>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</si>
  <si>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</si>
  <si>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</si>
  <si>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</si>
  <si>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</si>
  <si>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</si>
  <si>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</si>
  <si>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</si>
  <si>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</si>
  <si>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</si>
  <si>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</si>
  <si>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</si>
  <si>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</si>
  <si>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</si>
  <si>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</si>
  <si>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</si>
  <si>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</si>
  <si>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</si>
  <si>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</si>
  <si>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</si>
  <si>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</si>
  <si>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</si>
  <si>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</si>
  <si>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</si>
  <si>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</si>
  <si>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</si>
  <si>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</si>
  <si>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</si>
  <si>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</si>
  <si>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</si>
  <si>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</si>
  <si>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</si>
  <si>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</si>
  <si>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</si>
  <si>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</si>
  <si>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</si>
  <si>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</si>
  <si>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</si>
  <si>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</si>
  <si>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</si>
  <si>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</si>
  <si>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</si>
  <si>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</si>
  <si>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</si>
  <si>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</si>
  <si>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</si>
  <si>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</si>
  <si>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</si>
  <si>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</si>
  <si>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</si>
  <si>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</si>
  <si>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</si>
  <si>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</si>
  <si>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</si>
  <si>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</si>
  <si>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</si>
  <si>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</si>
  <si>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</si>
  <si>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</si>
  <si>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</si>
  <si>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</si>
  <si>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</si>
  <si>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</si>
  <si>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</si>
  <si>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</si>
  <si>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</si>
  <si>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</si>
  <si>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</si>
  <si>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</si>
  <si>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</si>
  <si>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</si>
  <si>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</si>
  <si>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</si>
  <si>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</si>
  <si>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</si>
  <si>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</si>
  <si>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</si>
  <si>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</si>
  <si>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</si>
  <si>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</si>
  <si>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</si>
  <si>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</si>
  <si>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</si>
  <si>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</si>
  <si>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</si>
  <si>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</si>
  <si>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</si>
  <si>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</si>
  <si>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</si>
  <si>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</si>
  <si>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</si>
  <si>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</si>
  <si>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</si>
  <si>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</si>
  <si>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</si>
  <si>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</si>
  <si>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</si>
  <si>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</si>
  <si>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</si>
  <si>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</si>
  <si>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</si>
  <si>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</si>
  <si>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</si>
  <si>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</si>
  <si>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</si>
  <si>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</si>
  <si>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</si>
  <si>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</si>
  <si>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</si>
  <si>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</si>
  <si>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</si>
  <si>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</si>
  <si>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</si>
  <si>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</si>
  <si>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</si>
  <si>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</si>
  <si>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</si>
  <si>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</si>
  <si>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</si>
  <si>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</si>
  <si>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</si>
  <si>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</si>
  <si>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</si>
  <si>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</si>
  <si>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</si>
  <si>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</si>
  <si>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</si>
  <si>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</si>
  <si>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</si>
  <si>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</si>
  <si>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</si>
  <si>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</si>
  <si>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</si>
  <si>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</si>
  <si>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</si>
  <si>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</si>
  <si>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</si>
  <si>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</si>
  <si>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</si>
  <si>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</si>
  <si>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</si>
  <si>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</si>
  <si>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</si>
  <si>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</si>
  <si>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</si>
  <si>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</si>
  <si>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</si>
  <si>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</si>
  <si>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</si>
  <si>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</si>
  <si>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</si>
  <si>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</si>
  <si>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</si>
  <si>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</si>
  <si>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</si>
  <si>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</si>
  <si>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</si>
  <si>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</si>
  <si>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</si>
  <si>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</si>
  <si>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</si>
  <si>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</si>
  <si>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</si>
  <si>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</si>
  <si>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</si>
  <si>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</si>
  <si>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</si>
  <si>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</si>
  <si>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</si>
  <si>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</si>
  <si>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</si>
  <si>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</si>
  <si>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</si>
  <si>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</si>
  <si>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</si>
  <si>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</si>
  <si>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</si>
  <si>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</si>
  <si>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</si>
  <si>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</si>
  <si>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</si>
  <si>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</si>
  <si>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</si>
  <si>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</si>
  <si>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</si>
  <si>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</si>
  <si>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</si>
  <si>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</si>
  <si>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</si>
  <si>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</si>
  <si>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</si>
  <si>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</si>
  <si>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</si>
  <si>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</si>
  <si>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</si>
  <si>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</si>
  <si>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</si>
  <si>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</si>
  <si>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</si>
  <si>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</si>
  <si>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</si>
  <si>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</si>
  <si>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</si>
  <si>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</si>
  <si>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</si>
  <si>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</si>
  <si>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</si>
  <si>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</si>
  <si>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</si>
  <si>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</si>
  <si>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</si>
  <si>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</si>
  <si>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</si>
  <si>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</si>
  <si>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</si>
  <si>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</si>
  <si>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</si>
  <si>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</si>
  <si>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</si>
  <si>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</si>
  <si>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</si>
  <si>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</si>
  <si>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</si>
  <si>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</si>
  <si>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</si>
  <si>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</si>
  <si>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</si>
  <si>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</si>
  <si>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</si>
  <si>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</si>
  <si>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</si>
  <si>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</si>
  <si>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</si>
  <si>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</si>
  <si>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</si>
  <si>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</si>
  <si>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</si>
  <si>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</si>
  <si>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</si>
  <si>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</si>
  <si>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</si>
  <si>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</si>
  <si>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</si>
  <si>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</si>
  <si>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</si>
  <si>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</si>
  <si>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</si>
  <si>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</si>
  <si>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</si>
  <si>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</si>
  <si>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</si>
  <si>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</si>
  <si>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</si>
  <si>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</si>
  <si>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</si>
  <si>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</si>
  <si>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</si>
  <si>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</si>
  <si>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</si>
  <si>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</si>
  <si>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</si>
  <si>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</si>
  <si>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</si>
  <si>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</si>
  <si>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</si>
  <si>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</si>
  <si>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</si>
  <si>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</si>
  <si>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</si>
  <si>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</si>
  <si>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</si>
  <si>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</si>
  <si>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</si>
  <si>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</si>
  <si>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</si>
  <si>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</si>
  <si>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</si>
  <si>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</si>
  <si>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</si>
  <si>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</si>
  <si>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</si>
  <si>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</si>
  <si>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</si>
  <si>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</si>
  <si>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</si>
  <si>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</si>
  <si>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</si>
  <si>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</si>
  <si>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</si>
  <si>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</si>
  <si>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</si>
  <si>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</si>
  <si>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</si>
  <si>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</si>
  <si>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</si>
  <si>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</si>
  <si>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</si>
  <si>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</si>
  <si>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</si>
  <si>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</si>
  <si>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</si>
  <si>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</si>
  <si>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</si>
  <si>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</si>
  <si>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</si>
  <si>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</si>
  <si>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</si>
  <si>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</si>
  <si>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</si>
  <si>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</si>
  <si>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</si>
  <si>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</si>
  <si>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</si>
  <si>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</si>
  <si>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</si>
  <si>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</si>
  <si>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</si>
  <si>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</si>
  <si>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</si>
  <si>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</si>
  <si>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</si>
  <si>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</si>
  <si>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</si>
  <si>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</si>
  <si>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</si>
  <si>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</si>
  <si>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</si>
  <si>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</si>
  <si>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</si>
  <si>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</si>
  <si>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</si>
  <si>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</si>
  <si>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</si>
  <si>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</si>
  <si>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</si>
  <si>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</si>
  <si>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</si>
  <si>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</si>
  <si>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</si>
  <si>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</si>
  <si>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</si>
  <si>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</si>
  <si>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</si>
  <si>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</si>
  <si>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</si>
  <si>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</si>
  <si>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</si>
  <si>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</si>
  <si>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</si>
  <si>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</si>
  <si>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</si>
  <si>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</si>
  <si>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</si>
  <si>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</si>
  <si>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</si>
  <si>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</si>
  <si>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</si>
  <si>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</si>
  <si>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</si>
  <si>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</si>
  <si>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</si>
  <si>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</si>
  <si>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</si>
  <si>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</si>
  <si>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</si>
  <si>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</si>
  <si>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</si>
  <si>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</si>
  <si>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</si>
  <si>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</si>
  <si>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</si>
  <si>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</si>
  <si>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</si>
  <si>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</si>
  <si>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</si>
  <si>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</si>
  <si>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</si>
  <si>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</si>
  <si>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</si>
  <si>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</si>
  <si>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</si>
  <si>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</si>
  <si>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</si>
  <si>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</si>
  <si>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</si>
  <si>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</si>
  <si>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</si>
  <si>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</si>
  <si>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</si>
  <si>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</si>
  <si>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</si>
  <si>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</si>
  <si>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</si>
  <si>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</si>
  <si>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</si>
  <si>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</si>
  <si>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</si>
  <si>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</si>
  <si>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</si>
  <si>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</si>
  <si>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</si>
  <si>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</si>
  <si>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</si>
  <si>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</si>
  <si>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</si>
  <si>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</si>
  <si>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</si>
  <si>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</si>
  <si>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</si>
  <si>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</si>
  <si>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</si>
  <si>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</si>
  <si>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</si>
  <si>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</si>
  <si>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</si>
  <si>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</si>
  <si>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</si>
  <si>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</si>
  <si>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</si>
  <si>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</si>
  <si>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</si>
  <si>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</si>
  <si>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</si>
  <si>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</si>
  <si>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</si>
  <si>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</si>
  <si>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</si>
  <si>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</si>
  <si>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</si>
  <si>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</si>
  <si>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</si>
  <si>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</si>
  <si>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</si>
  <si>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</si>
  <si>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</si>
  <si>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</si>
  <si>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</si>
  <si>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</si>
  <si>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</si>
  <si>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</si>
  <si>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</si>
  <si>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</si>
  <si>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</si>
  <si>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</si>
  <si>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</si>
  <si>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</si>
  <si>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</si>
  <si>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</si>
  <si>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</si>
  <si>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</si>
  <si>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</si>
  <si>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</si>
  <si>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</si>
  <si>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</si>
  <si>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</si>
  <si>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</si>
  <si>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</si>
  <si>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</si>
  <si>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</si>
  <si>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</si>
  <si>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</si>
  <si>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</si>
  <si>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</si>
  <si>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</si>
  <si>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</si>
  <si>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</si>
  <si>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</si>
  <si>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</si>
  <si>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</si>
  <si>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</si>
  <si>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</si>
  <si>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</si>
  <si>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</si>
  <si>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</si>
  <si>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</si>
  <si>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</si>
  <si>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</si>
  <si>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</si>
  <si>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</si>
  <si>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</si>
  <si>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</si>
  <si>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</si>
  <si>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</si>
  <si>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</si>
  <si>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</si>
  <si>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</si>
  <si>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</si>
  <si>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</si>
  <si>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</si>
  <si>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</si>
  <si>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</si>
  <si>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</si>
  <si>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</si>
  <si>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</si>
  <si>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</si>
  <si>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</si>
  <si>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</si>
  <si>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</si>
  <si>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</si>
  <si>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</si>
  <si>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</si>
  <si>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</si>
  <si>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</si>
  <si>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</si>
  <si>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</si>
  <si>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</si>
  <si>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</si>
  <si>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</si>
  <si>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</si>
  <si>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</si>
  <si>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</si>
  <si>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</si>
  <si>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</si>
  <si>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</si>
  <si>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</si>
  <si>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</si>
  <si>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</si>
  <si>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</si>
  <si>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</si>
  <si>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</si>
  <si>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</si>
  <si>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</si>
  <si>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</si>
  <si>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</si>
  <si>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</si>
  <si>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</si>
  <si>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</si>
  <si>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</si>
  <si>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</si>
  <si>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</si>
  <si>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</si>
  <si>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</si>
  <si>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</si>
  <si>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</si>
  <si>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</si>
  <si>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</si>
  <si>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</si>
  <si>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</si>
  <si>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</si>
  <si>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</si>
  <si>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</si>
  <si>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</si>
  <si>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</si>
  <si>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</si>
  <si>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</si>
  <si>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</si>
  <si>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</si>
  <si>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</si>
  <si>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</si>
  <si>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</si>
  <si>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</si>
  <si>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</si>
  <si>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</si>
  <si>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</si>
  <si>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</si>
  <si>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</si>
  <si>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</si>
  <si>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</si>
  <si>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</si>
  <si>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</si>
  <si>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</si>
  <si>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</si>
  <si>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</si>
  <si>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</si>
  <si>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</si>
  <si>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</si>
  <si>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</si>
  <si>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</si>
  <si>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</si>
  <si>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</si>
  <si>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</si>
  <si>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</si>
  <si>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</si>
  <si>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</si>
  <si>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</si>
  <si>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</si>
  <si>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</si>
  <si>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</si>
  <si>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</si>
  <si>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</si>
  <si>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</si>
  <si>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</si>
  <si>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</si>
  <si>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</si>
  <si>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</si>
  <si>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</si>
  <si>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</si>
  <si>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</si>
  <si>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</si>
  <si>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</si>
  <si>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</si>
  <si>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</si>
  <si>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</si>
  <si>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</si>
  <si>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</si>
  <si>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</si>
  <si>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</si>
  <si>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</si>
  <si>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</si>
  <si>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</si>
  <si>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</si>
  <si>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</si>
  <si>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</si>
  <si>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</si>
  <si>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</si>
  <si>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</si>
  <si>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</si>
  <si>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</si>
  <si>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</si>
  <si>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</si>
  <si>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</si>
  <si>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</si>
  <si>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</si>
  <si>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</si>
  <si>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</si>
  <si>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</si>
  <si>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</si>
  <si>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</si>
  <si>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</si>
  <si>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</si>
  <si>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</si>
  <si>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</si>
  <si>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</si>
  <si>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</si>
  <si>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</si>
  <si>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</si>
  <si>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</si>
  <si>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</si>
  <si>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</si>
  <si>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</si>
  <si>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</si>
  <si>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</si>
  <si>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</si>
  <si>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</si>
  <si>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</si>
  <si>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</si>
  <si>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</si>
  <si>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</si>
  <si>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</si>
  <si>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</si>
  <si>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</si>
  <si>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</si>
  <si>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</si>
  <si>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</si>
  <si>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</si>
  <si>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</si>
  <si>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</si>
  <si>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</si>
  <si>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</si>
  <si>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</si>
  <si>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</si>
  <si>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</si>
  <si>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</si>
  <si>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</si>
  <si>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</si>
  <si>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</si>
  <si>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</si>
  <si>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</si>
  <si>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</si>
  <si>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</si>
  <si>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</si>
  <si>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</si>
  <si>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</si>
  <si>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</si>
  <si>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</si>
  <si>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</si>
  <si>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</si>
  <si>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</si>
  <si>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</si>
  <si>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</si>
  <si>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</si>
  <si>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</si>
  <si>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</si>
  <si>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</si>
  <si>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</si>
  <si>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</si>
  <si>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</si>
  <si>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</si>
  <si>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</si>
  <si>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</si>
  <si>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</si>
  <si>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</si>
  <si>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</si>
  <si>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</si>
  <si>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</si>
  <si>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</si>
  <si>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</si>
  <si>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</si>
  <si>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</si>
  <si>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</si>
  <si>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</si>
  <si>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</si>
  <si>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</si>
  <si>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</si>
  <si>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</si>
  <si>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</si>
  <si>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</si>
  <si>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</si>
  <si>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</si>
  <si>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</si>
  <si>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</si>
  <si>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</si>
  <si>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</si>
  <si>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</si>
  <si>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</si>
  <si>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</si>
  <si>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</si>
  <si>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</si>
  <si>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</si>
  <si>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</si>
  <si>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</si>
  <si>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</si>
  <si>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</si>
  <si>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</si>
  <si>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</si>
  <si>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</si>
  <si>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</si>
  <si>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</si>
  <si>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</si>
  <si>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</si>
  <si>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</si>
  <si>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</si>
  <si>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</si>
  <si>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</si>
  <si>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</si>
  <si>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</si>
  <si>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</si>
  <si>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</si>
  <si>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</si>
  <si>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</si>
  <si>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</si>
  <si>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</si>
  <si>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</si>
  <si>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</si>
  <si>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</si>
  <si>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</si>
  <si>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</si>
  <si>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</si>
  <si>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</si>
  <si>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</si>
  <si>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</si>
  <si>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</si>
  <si>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</si>
  <si>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</si>
  <si>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</si>
  <si>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</si>
  <si>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</si>
  <si>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</si>
  <si>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</si>
  <si>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</si>
  <si>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</si>
  <si>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</si>
  <si>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</si>
  <si>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</si>
  <si>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</si>
  <si>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</si>
  <si>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</si>
  <si>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</si>
  <si>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</si>
  <si>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</si>
  <si>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</si>
  <si>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</si>
  <si>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</si>
  <si>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</si>
  <si>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</si>
  <si>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</si>
  <si>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</si>
  <si>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</si>
  <si>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</si>
  <si>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</si>
  <si>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</si>
  <si>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</si>
  <si>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</si>
  <si>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</si>
  <si>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</si>
  <si>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</si>
  <si>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</si>
  <si>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</si>
  <si>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</si>
  <si>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</si>
  <si>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</si>
  <si>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</si>
  <si>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</si>
  <si>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</si>
  <si>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</si>
  <si>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</si>
  <si>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</si>
  <si>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</si>
  <si>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</si>
  <si>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</si>
  <si>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</si>
  <si>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</si>
  <si>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</si>
  <si>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</si>
  <si>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</si>
  <si>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</si>
  <si>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</si>
  <si>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</si>
  <si>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</si>
  <si>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</si>
  <si>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</si>
  <si>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</si>
  <si>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</si>
  <si>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</si>
  <si>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</si>
  <si>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</si>
  <si>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</si>
  <si>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</si>
  <si>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</si>
  <si>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</si>
  <si>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</si>
  <si>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</si>
  <si>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</si>
  <si>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</si>
  <si>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</si>
  <si>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</si>
  <si>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</si>
  <si>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</si>
  <si>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</si>
  <si>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</si>
  <si>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</si>
  <si>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</si>
  <si>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</si>
  <si>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</si>
  <si>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</si>
  <si>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</si>
  <si>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</si>
  <si>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</si>
  <si>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</si>
  <si>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</si>
  <si>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</si>
  <si>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</si>
  <si>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</si>
  <si>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</si>
  <si>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</si>
  <si>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</si>
  <si>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</si>
  <si>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</si>
  <si>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</si>
  <si>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</si>
  <si>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</si>
  <si>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</si>
  <si>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</si>
  <si>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</si>
  <si>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</si>
  <si>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</si>
  <si>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</si>
  <si>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</si>
  <si>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</si>
  <si>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</si>
  <si>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</si>
  <si>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</si>
  <si>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</si>
  <si>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</si>
  <si>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</si>
  <si>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</si>
  <si>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</si>
  <si>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</si>
  <si>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</si>
  <si>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</si>
  <si>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</si>
  <si>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</si>
  <si>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</si>
  <si>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</si>
  <si>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</si>
  <si>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</si>
  <si>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</si>
  <si>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</si>
  <si>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</si>
  <si>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</si>
  <si>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</si>
  <si>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</si>
  <si>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</si>
  <si>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</si>
  <si>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</si>
  <si>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</si>
  <si>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</si>
  <si>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</si>
  <si>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</si>
  <si>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</si>
  <si>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</si>
  <si>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</si>
  <si>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</si>
  <si>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</si>
  <si>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</si>
  <si>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</si>
  <si>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</si>
  <si>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</si>
  <si>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</si>
  <si>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</si>
  <si>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</si>
  <si>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</si>
  <si>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</si>
  <si>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</si>
  <si>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</si>
  <si>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</si>
  <si>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</si>
  <si>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</si>
  <si>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</si>
  <si>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</si>
  <si>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</si>
  <si>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</si>
  <si>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</si>
  <si>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</si>
  <si>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</si>
  <si>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</si>
  <si>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</si>
  <si>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</si>
  <si>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</si>
  <si>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</si>
  <si>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</si>
  <si>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</si>
  <si>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</si>
  <si>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</si>
  <si>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</si>
  <si>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</si>
  <si>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</si>
  <si>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</si>
  <si>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</si>
  <si>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</si>
  <si>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</si>
  <si>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</si>
  <si>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</si>
  <si>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</si>
  <si>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</si>
  <si>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</si>
  <si>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</si>
  <si>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</si>
  <si>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</si>
  <si>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</si>
  <si>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</si>
  <si>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</si>
  <si>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</si>
  <si>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</si>
  <si>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</si>
  <si>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</si>
  <si>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</si>
  <si>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</si>
  <si>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</si>
  <si>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</si>
  <si>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</si>
  <si>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</si>
  <si>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</si>
  <si>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</si>
  <si>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</si>
  <si>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</si>
  <si>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</si>
  <si>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</si>
  <si>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</si>
  <si>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</si>
  <si>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</si>
  <si>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</si>
  <si>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</si>
  <si>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</si>
  <si>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</si>
  <si>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</si>
  <si>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</si>
  <si>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</si>
  <si>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</si>
  <si>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</si>
  <si>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</si>
  <si>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</si>
  <si>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</si>
  <si>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</si>
  <si>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</si>
  <si>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</si>
  <si>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</si>
  <si>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</si>
  <si>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</si>
  <si>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</si>
  <si>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</si>
  <si>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</si>
  <si>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</si>
  <si>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</si>
  <si>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</si>
  <si>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</si>
  <si>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</si>
  <si>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</si>
  <si>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</si>
  <si>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</si>
  <si>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</si>
  <si>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</si>
  <si>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</si>
  <si>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</si>
  <si>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</si>
  <si>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</si>
  <si>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</si>
  <si>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</si>
  <si>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</si>
  <si>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</si>
  <si>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</si>
  <si>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</si>
  <si>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</si>
  <si>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</si>
  <si>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</si>
  <si>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</si>
  <si>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</si>
  <si>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</si>
  <si>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</si>
  <si>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</si>
  <si>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</si>
  <si>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</si>
  <si>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</si>
  <si>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</si>
  <si>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</si>
  <si>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</si>
  <si>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</si>
  <si>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</si>
  <si>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</si>
  <si>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</si>
  <si>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</si>
  <si>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</si>
  <si>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</si>
  <si>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</si>
  <si>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</si>
  <si>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</si>
  <si>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</si>
  <si>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</si>
  <si>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</si>
  <si>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</si>
  <si>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</si>
  <si>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</si>
  <si>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</si>
  <si>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</si>
  <si>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</si>
  <si>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</si>
  <si>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</si>
  <si>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</si>
  <si>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</si>
  <si>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</si>
  <si>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</si>
  <si>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</si>
  <si>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</si>
  <si>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</si>
  <si>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</si>
  <si>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</si>
  <si>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</si>
  <si>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</si>
  <si>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</si>
  <si>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</si>
  <si>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</si>
  <si>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</si>
  <si>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</si>
  <si>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</si>
  <si>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</si>
  <si>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</si>
  <si>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</si>
  <si>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</si>
  <si>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</si>
  <si>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</si>
  <si>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</si>
  <si>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</si>
  <si>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</si>
  <si>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</si>
  <si>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</si>
  <si>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</si>
  <si>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</si>
  <si>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</si>
  <si>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</si>
  <si>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</si>
  <si>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</si>
  <si>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</si>
  <si>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</si>
  <si>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</si>
  <si>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</si>
  <si>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</si>
  <si>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</si>
  <si>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</si>
  <si>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</si>
  <si>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</si>
  <si>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</si>
  <si>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</si>
  <si>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</si>
  <si>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</si>
  <si>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</si>
  <si>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</si>
  <si>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</si>
  <si>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</si>
  <si>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</si>
  <si>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</si>
  <si>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</si>
  <si>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</si>
  <si>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</si>
  <si>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</si>
  <si>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</si>
  <si>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</si>
  <si>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</si>
  <si>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</si>
  <si>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</si>
  <si>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</si>
  <si>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</si>
  <si>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</si>
  <si>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</si>
  <si>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</si>
  <si>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</si>
  <si>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</si>
  <si>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</si>
  <si>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</si>
  <si>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</si>
  <si>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</si>
  <si>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</si>
  <si>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</si>
  <si>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</si>
  <si>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</si>
  <si>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</si>
  <si>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</si>
  <si>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</si>
  <si>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</si>
  <si>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</si>
  <si>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</si>
  <si>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</si>
  <si>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</si>
  <si>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</si>
  <si>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</si>
  <si>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</si>
  <si>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</si>
  <si>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</si>
  <si>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</si>
  <si>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</si>
  <si>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</si>
  <si>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</si>
  <si>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</si>
  <si>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</si>
  <si>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</si>
  <si>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</si>
  <si>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</si>
  <si>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</si>
  <si>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</si>
  <si>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</si>
  <si>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</si>
  <si>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</si>
  <si>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</si>
  <si>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</si>
  <si>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</si>
  <si>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</si>
  <si>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</si>
  <si>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</si>
  <si>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</si>
  <si>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</si>
  <si>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</si>
  <si>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</si>
  <si>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</si>
  <si>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</si>
  <si>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</si>
  <si>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</si>
  <si>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</si>
  <si>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</si>
  <si>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</si>
  <si>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</si>
  <si>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</si>
  <si>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</si>
  <si>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</si>
  <si>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</si>
  <si>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</si>
  <si>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</si>
  <si>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</si>
  <si>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</si>
  <si>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</si>
  <si>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</si>
  <si>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</si>
  <si>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</si>
  <si>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</si>
  <si>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</si>
  <si>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</si>
  <si>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</si>
  <si>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</si>
  <si>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</si>
  <si>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</si>
  <si>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</si>
  <si>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</si>
  <si>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</si>
  <si>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</si>
  <si>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</si>
  <si>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</si>
  <si>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</si>
  <si>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</si>
  <si>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</si>
  <si>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</si>
  <si>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</si>
  <si>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</si>
  <si>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</si>
  <si>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</si>
  <si>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</si>
  <si>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</si>
  <si>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</si>
  <si>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</si>
  <si>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</si>
  <si>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</si>
  <si>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</si>
  <si>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</si>
  <si>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</si>
  <si>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</si>
  <si>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</si>
  <si>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</si>
  <si>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</si>
  <si>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</si>
  <si>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</si>
  <si>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</si>
  <si>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</si>
  <si>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</si>
  <si>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</si>
  <si>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</si>
  <si>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</si>
  <si>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</si>
  <si>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</si>
  <si>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</si>
  <si>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</si>
  <si>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</si>
  <si>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</si>
  <si>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</si>
  <si>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</si>
  <si>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</si>
  <si>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</si>
  <si>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</si>
  <si>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</si>
  <si>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</si>
  <si>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</si>
  <si>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</si>
  <si>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</si>
  <si>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</si>
  <si>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</si>
  <si>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</si>
  <si>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</si>
  <si>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</si>
  <si>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</si>
  <si>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</si>
  <si>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</si>
  <si>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</si>
  <si>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</si>
  <si>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</si>
  <si>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</si>
  <si>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</si>
  <si>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</si>
  <si>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</si>
  <si>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</si>
  <si>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</si>
  <si>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</si>
  <si>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</si>
  <si>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</si>
  <si>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</si>
  <si>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</si>
  <si>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</si>
  <si>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</si>
  <si>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</si>
  <si>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</si>
  <si>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</si>
  <si>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</si>
  <si>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</si>
  <si>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</si>
  <si>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</si>
  <si>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</si>
  <si>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</si>
  <si>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</si>
  <si>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</si>
  <si>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</si>
  <si>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</si>
  <si>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</si>
  <si>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</si>
  <si>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</si>
  <si>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</si>
  <si>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</si>
  <si>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</si>
  <si>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</si>
  <si>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</si>
  <si>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</si>
  <si>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</si>
  <si>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</si>
  <si>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</si>
  <si>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</si>
  <si>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</si>
  <si>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</si>
  <si>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</si>
  <si>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</si>
  <si>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</si>
  <si>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</si>
  <si>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</si>
  <si>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</si>
  <si>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</si>
  <si>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</si>
  <si>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</si>
  <si>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</si>
  <si>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</si>
  <si>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</si>
  <si>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</si>
  <si>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</si>
  <si>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</si>
  <si>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</si>
  <si>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</si>
  <si>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</si>
  <si>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</si>
  <si>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</si>
  <si>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</si>
  <si>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</si>
  <si>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</si>
  <si>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</si>
  <si>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</si>
  <si>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</si>
  <si>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</si>
  <si>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</si>
  <si>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</si>
  <si>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</si>
  <si>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</si>
  <si>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</si>
  <si>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</si>
  <si>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</si>
  <si>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</si>
  <si>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</si>
  <si>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</si>
  <si>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</si>
  <si>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</si>
  <si>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</si>
  <si>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</si>
  <si>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</si>
  <si>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</si>
  <si>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</si>
  <si>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</si>
  <si>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</si>
  <si>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</si>
  <si>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</si>
  <si>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</si>
  <si>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</si>
  <si>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</si>
  <si>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</si>
  <si>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</si>
  <si>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</si>
  <si>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</si>
  <si>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</si>
  <si>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</si>
  <si>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</si>
  <si>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</si>
  <si>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</si>
  <si>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</si>
  <si>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</si>
  <si>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</si>
  <si>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</si>
  <si>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</si>
  <si>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</si>
  <si>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</si>
  <si>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</si>
  <si>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</si>
  <si>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</si>
  <si>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</si>
  <si>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</si>
  <si>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</si>
  <si>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</si>
  <si>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</si>
  <si>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</si>
  <si>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</si>
  <si>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</si>
  <si>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</si>
  <si>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</si>
  <si>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</si>
  <si>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</si>
  <si>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</si>
  <si>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</si>
  <si>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</si>
  <si>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</si>
  <si>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</si>
  <si>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</si>
  <si>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</si>
  <si>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</si>
  <si>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</si>
  <si>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</si>
  <si>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</si>
  <si>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</si>
  <si>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</si>
  <si>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</si>
  <si>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</si>
  <si>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</si>
  <si>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</si>
  <si>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</si>
  <si>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</si>
  <si>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</si>
  <si>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</si>
  <si>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</si>
  <si>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</si>
  <si>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</si>
  <si>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</si>
  <si>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</si>
  <si>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</si>
  <si>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</si>
  <si>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</si>
  <si>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</si>
  <si>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</si>
  <si>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</si>
  <si>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</si>
  <si>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</si>
  <si>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</si>
  <si>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</si>
  <si>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</si>
  <si>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</si>
  <si>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</si>
  <si>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</si>
  <si>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</si>
  <si>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</si>
  <si>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</si>
  <si>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</si>
  <si>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</si>
  <si>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</si>
  <si>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</si>
  <si>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</si>
  <si>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</si>
  <si>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</si>
  <si>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</si>
  <si>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</si>
  <si>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</si>
  <si>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</si>
  <si>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</si>
  <si>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</si>
  <si>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</si>
  <si>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</si>
  <si>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</si>
  <si>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</si>
  <si>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</si>
  <si>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</si>
  <si>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</si>
  <si>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</si>
  <si>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</si>
  <si>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</si>
  <si>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</si>
  <si>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</si>
  <si>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</si>
  <si>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</si>
  <si>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</si>
  <si>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</si>
  <si>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</si>
  <si>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</si>
  <si>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</si>
  <si>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</si>
  <si>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</si>
  <si>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</si>
  <si>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</si>
  <si>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</si>
  <si>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</si>
  <si>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</si>
  <si>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</si>
  <si>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</si>
  <si>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</si>
  <si>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</si>
  <si>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</si>
  <si>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</si>
  <si>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</si>
  <si>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</si>
  <si>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</si>
  <si>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</si>
  <si>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</si>
  <si>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</si>
  <si>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</si>
  <si>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</si>
  <si>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</si>
  <si>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</si>
  <si>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</si>
  <si>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</si>
  <si>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</si>
  <si>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</si>
  <si>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</si>
  <si>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</si>
  <si>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</si>
  <si>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</si>
  <si>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</si>
  <si>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</si>
  <si>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</si>
  <si>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</si>
  <si>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</si>
  <si>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</si>
  <si>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</si>
  <si>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</si>
  <si>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</si>
  <si>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</si>
  <si>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</si>
  <si>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</si>
  <si>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</si>
  <si>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</si>
  <si>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</si>
  <si>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</si>
  <si>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</si>
  <si>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</si>
  <si>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</si>
  <si>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</si>
  <si>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</si>
  <si>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</si>
  <si>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</si>
  <si>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</si>
  <si>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</si>
  <si>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</si>
  <si>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</si>
  <si>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</si>
  <si>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</si>
  <si>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</si>
  <si>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</si>
  <si>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</si>
  <si>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</si>
  <si>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</si>
  <si>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</si>
  <si>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</si>
  <si>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</si>
  <si>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</si>
  <si>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</si>
  <si>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</si>
  <si>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</si>
  <si>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</si>
  <si>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</si>
  <si>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</si>
  <si>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</si>
  <si>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</si>
  <si>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</si>
  <si>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</si>
  <si>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</si>
  <si>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</si>
  <si>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</si>
  <si>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</si>
  <si>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</si>
  <si>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</si>
  <si>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</si>
  <si>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</si>
  <si>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</si>
  <si>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</si>
  <si>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</si>
  <si>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</si>
  <si>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</si>
  <si>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</si>
  <si>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</si>
  <si>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</si>
  <si>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</si>
  <si>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</si>
  <si>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</si>
  <si>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</si>
  <si>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</si>
  <si>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</si>
  <si>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</si>
  <si>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</si>
  <si>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</si>
  <si>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</si>
  <si>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</si>
  <si>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</si>
  <si>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</si>
  <si>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</si>
  <si>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</si>
  <si>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</si>
  <si>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</si>
  <si>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</si>
  <si>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</si>
  <si>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</si>
  <si>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</si>
  <si>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</si>
  <si>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</si>
  <si>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</si>
  <si>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</si>
  <si>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</si>
  <si>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</si>
  <si>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</si>
  <si>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</si>
  <si>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</si>
  <si>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</si>
  <si>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</si>
  <si>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</si>
  <si>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</si>
  <si>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</si>
  <si>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</si>
  <si>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</si>
  <si>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</si>
  <si>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</si>
  <si>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</si>
  <si>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</si>
  <si>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</si>
  <si>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</si>
  <si>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</si>
  <si>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</si>
  <si>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</si>
  <si>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</si>
  <si>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</si>
  <si>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</si>
  <si>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</si>
  <si>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</si>
  <si>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</si>
  <si>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</si>
  <si>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</si>
  <si>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</si>
  <si>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</si>
  <si>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</si>
  <si>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</si>
  <si>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</si>
  <si>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</si>
  <si>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</si>
  <si>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</si>
  <si>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</si>
  <si>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</si>
  <si>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</si>
  <si>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</si>
  <si>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</si>
  <si>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</si>
  <si>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</si>
  <si>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</si>
  <si>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</si>
  <si>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</si>
  <si>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</si>
  <si>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</si>
  <si>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</si>
  <si>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</si>
  <si>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</si>
  <si>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</si>
  <si>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</si>
  <si>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</si>
  <si>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</si>
  <si>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</si>
  <si>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</si>
  <si>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</si>
  <si>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</si>
  <si>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</si>
  <si>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</si>
  <si>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</si>
  <si>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</si>
  <si>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</si>
  <si>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</si>
  <si>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</si>
  <si>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</si>
  <si>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</si>
  <si>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</si>
  <si>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</si>
  <si>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</si>
  <si>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</si>
  <si>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</si>
  <si>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</si>
  <si>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</si>
  <si>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</si>
  <si>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</si>
  <si>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</si>
  <si>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</si>
  <si>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</si>
  <si>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</si>
  <si>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</si>
  <si>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</si>
  <si>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</si>
  <si>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</si>
  <si>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</si>
  <si>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</si>
  <si>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</si>
  <si>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</si>
  <si>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</si>
  <si>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</si>
  <si>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</si>
  <si>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</si>
  <si>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</si>
  <si>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</si>
  <si>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</si>
  <si>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</si>
  <si>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</si>
  <si>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</si>
  <si>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</si>
  <si>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</si>
  <si>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</si>
  <si>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</si>
  <si>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</si>
  <si>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</si>
  <si>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</si>
  <si>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</si>
  <si>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</si>
  <si>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</si>
  <si>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</si>
  <si>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</si>
  <si>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</si>
  <si>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</si>
  <si>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</si>
  <si>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</si>
  <si>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</si>
  <si>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</si>
  <si>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</si>
  <si>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</si>
  <si>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</si>
  <si>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</si>
  <si>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</si>
  <si>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</si>
  <si>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</si>
  <si>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</si>
  <si>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</si>
  <si>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</si>
  <si>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</si>
  <si>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</si>
  <si>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</si>
  <si>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</si>
  <si>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</si>
  <si>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</si>
  <si>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</si>
  <si>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</si>
  <si>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</si>
  <si>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</si>
  <si>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</si>
  <si>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</si>
  <si>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</si>
  <si>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</si>
  <si>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</si>
  <si>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</si>
  <si>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</si>
  <si>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</si>
  <si>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</si>
  <si>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</si>
  <si>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</si>
  <si>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</si>
  <si>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</si>
  <si>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</si>
  <si>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</si>
  <si>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</si>
  <si>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</si>
  <si>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</si>
  <si>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</si>
  <si>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</si>
  <si>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</si>
  <si>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</si>
  <si>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</si>
  <si>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</si>
  <si>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</si>
  <si>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</si>
  <si>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</si>
  <si>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</si>
  <si>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</si>
  <si>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</si>
  <si>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</si>
  <si>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</si>
  <si>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</si>
  <si>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</si>
  <si>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</si>
  <si>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</si>
  <si>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</si>
  <si>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</si>
  <si>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</si>
  <si>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</si>
  <si>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</si>
  <si>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</si>
  <si>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</si>
  <si>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</si>
  <si>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</si>
  <si>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</si>
  <si>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</si>
  <si>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</si>
  <si>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</si>
  <si>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</si>
  <si>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</si>
  <si>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</si>
  <si>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</si>
  <si>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</si>
  <si>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</si>
  <si>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</si>
  <si>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</si>
  <si>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</si>
  <si>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</si>
  <si>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</si>
  <si>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</si>
  <si>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</si>
  <si>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</si>
  <si>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</si>
  <si>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</si>
  <si>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</si>
  <si>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</si>
  <si>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</si>
  <si>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</si>
  <si>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</si>
  <si>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</si>
  <si>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</si>
  <si>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</si>
  <si>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</si>
  <si>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</si>
  <si>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</si>
  <si>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</si>
  <si>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</si>
  <si>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</si>
  <si>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</si>
  <si>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</si>
  <si>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</si>
  <si>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</si>
  <si>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</si>
  <si>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</si>
  <si>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</si>
  <si>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</si>
  <si>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</si>
  <si>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</si>
  <si>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</si>
  <si>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</si>
  <si>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</si>
  <si>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</si>
  <si>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</si>
  <si>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</si>
  <si>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</si>
  <si>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</si>
  <si>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</si>
  <si>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</si>
  <si>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</si>
  <si>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</si>
  <si>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</si>
  <si>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</si>
  <si>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</si>
  <si>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</si>
  <si>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</si>
  <si>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</si>
  <si>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</si>
  <si>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</si>
  <si>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</si>
  <si>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</si>
  <si>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</si>
  <si>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</si>
  <si>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</si>
  <si>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</si>
  <si>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</si>
  <si>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</si>
  <si>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</si>
  <si>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</si>
  <si>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</si>
  <si>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</si>
  <si>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</si>
  <si>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</si>
  <si>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</si>
  <si>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</si>
  <si>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</si>
  <si>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</si>
  <si>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</si>
  <si>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</si>
  <si>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</si>
  <si>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</si>
  <si>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</si>
  <si>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</si>
  <si>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</si>
  <si>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</si>
  <si>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</si>
  <si>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</si>
  <si>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</si>
  <si>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</si>
  <si>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</si>
  <si>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</si>
  <si>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</si>
  <si>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</si>
  <si>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</si>
  <si>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</si>
  <si>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</si>
  <si>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</si>
  <si>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</si>
  <si>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</si>
  <si>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</si>
  <si>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</si>
  <si>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</si>
  <si>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</si>
  <si>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</si>
  <si>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</si>
  <si>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</si>
  <si>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</si>
  <si>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</si>
  <si>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</si>
  <si>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</si>
  <si>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</si>
  <si>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</si>
  <si>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</si>
  <si>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</si>
  <si>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</si>
  <si>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</si>
  <si>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</si>
  <si>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</si>
  <si>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</si>
  <si>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</si>
  <si>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</si>
  <si>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</si>
  <si>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</si>
  <si>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</si>
  <si>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</si>
  <si>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</si>
  <si>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</si>
  <si>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</si>
  <si>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</si>
  <si>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</si>
  <si>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</si>
  <si>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</si>
  <si>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</si>
  <si>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</si>
  <si>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</si>
  <si>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</si>
  <si>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</si>
  <si>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</si>
  <si>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</si>
  <si>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</si>
  <si>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</si>
  <si>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</si>
  <si>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</si>
  <si>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</si>
  <si>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</si>
  <si>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</si>
  <si>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</si>
  <si>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</si>
  <si>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</si>
  <si>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</si>
  <si>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</si>
  <si>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</si>
  <si>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</si>
  <si>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</si>
  <si>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</si>
  <si>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</si>
  <si>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</si>
  <si>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</si>
  <si>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</si>
  <si>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</si>
  <si>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</si>
  <si>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</si>
  <si>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</si>
  <si>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</si>
  <si>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</si>
  <si>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</si>
  <si>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</si>
  <si>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</si>
  <si>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</si>
  <si>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</si>
  <si>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</si>
  <si>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</si>
  <si>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</si>
  <si>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</si>
  <si>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</si>
  <si>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</si>
  <si>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</si>
  <si>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</si>
  <si>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</si>
  <si>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</si>
  <si>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</si>
  <si>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</si>
  <si>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</si>
  <si>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</si>
  <si>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</si>
  <si>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</si>
  <si>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</si>
  <si>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</si>
  <si>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</si>
  <si>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</si>
  <si>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</si>
  <si>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</si>
  <si>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</si>
  <si>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</si>
  <si>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</si>
  <si>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</si>
  <si>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</si>
  <si>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</si>
  <si>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</si>
  <si>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</si>
  <si>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</si>
  <si>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</si>
  <si>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</si>
  <si>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</si>
  <si>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</si>
  <si>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</si>
  <si>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</si>
  <si>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</si>
  <si>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</si>
  <si>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</si>
  <si>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</si>
  <si>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</si>
  <si>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</si>
  <si>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</si>
  <si>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</si>
  <si>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</si>
  <si>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</si>
  <si>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</si>
  <si>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</si>
  <si>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</si>
  <si>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</si>
  <si>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</si>
  <si>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</si>
  <si>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</si>
  <si>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</si>
  <si>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</si>
  <si>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</si>
  <si>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</si>
  <si>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</si>
  <si>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</si>
  <si>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</si>
  <si>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</si>
  <si>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</si>
  <si>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</si>
  <si>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</si>
  <si>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</si>
  <si>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</si>
  <si>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</si>
  <si>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</si>
  <si>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</si>
  <si>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</si>
  <si>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</si>
  <si>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</si>
  <si>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</si>
  <si>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</si>
  <si>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</si>
  <si>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</si>
  <si>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</si>
  <si>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</si>
  <si>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</si>
  <si>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</si>
  <si>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</si>
  <si>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</si>
  <si>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</si>
  <si>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</si>
  <si>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</si>
  <si>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</si>
  <si>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</si>
  <si>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</si>
  <si>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</si>
  <si>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</si>
  <si>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</si>
  <si>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</si>
  <si>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</si>
  <si>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</si>
  <si>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</si>
  <si>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</si>
  <si>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</si>
  <si>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</si>
  <si>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</si>
  <si>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</si>
  <si>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</si>
  <si>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</si>
  <si>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</si>
  <si>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</si>
  <si>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</si>
  <si>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</si>
  <si>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</si>
  <si>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</si>
  <si>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</si>
  <si>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</si>
  <si>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</si>
  <si>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</si>
  <si>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</si>
  <si>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</si>
  <si>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</si>
  <si>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</si>
  <si>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</si>
  <si>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</si>
  <si>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</si>
  <si>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</si>
  <si>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</si>
  <si>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</si>
  <si>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</si>
  <si>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</si>
  <si>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</si>
  <si>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</si>
  <si>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</si>
  <si>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</si>
  <si>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</si>
  <si>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</si>
  <si>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</si>
  <si>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</si>
  <si>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</si>
  <si>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</si>
  <si>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</si>
  <si>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</si>
  <si>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</si>
  <si>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</si>
  <si>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</si>
  <si>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</si>
  <si>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</si>
  <si>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</si>
  <si>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</si>
  <si>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</si>
  <si>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</si>
  <si>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</si>
  <si>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</si>
  <si>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</si>
  <si>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</si>
  <si>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</si>
  <si>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</si>
  <si>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</si>
  <si>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</si>
  <si>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</si>
  <si>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</si>
  <si>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</si>
  <si>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</si>
  <si>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</si>
  <si>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</si>
  <si>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</si>
  <si>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</si>
  <si>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</si>
  <si>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</si>
  <si>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</si>
  <si>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</si>
  <si>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</si>
  <si>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</si>
  <si>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</si>
  <si>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</si>
  <si>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</si>
  <si>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</si>
  <si>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</si>
  <si>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</si>
  <si>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</si>
  <si>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</si>
  <si>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</si>
  <si>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</si>
  <si>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</si>
  <si>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</si>
  <si>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</si>
  <si>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</si>
  <si>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</si>
  <si>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</si>
  <si>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</si>
  <si>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</si>
  <si>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</si>
  <si>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</si>
  <si>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</si>
  <si>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</si>
  <si>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</si>
  <si>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</si>
  <si>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</si>
  <si>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</si>
  <si>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</si>
  <si>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</si>
  <si>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</si>
  <si>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</si>
  <si>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</si>
  <si>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</si>
  <si>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</si>
  <si>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</si>
  <si>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</si>
  <si>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</si>
  <si>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</si>
  <si>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</si>
  <si>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</si>
  <si>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</si>
  <si>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</si>
  <si>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</si>
  <si>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</si>
  <si>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</si>
  <si>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</si>
  <si>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</si>
  <si>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</si>
  <si>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</si>
  <si>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</si>
  <si>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</si>
  <si>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</si>
  <si>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</si>
  <si>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</si>
  <si>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</si>
  <si>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</si>
  <si>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</si>
  <si>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</si>
  <si>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</si>
  <si>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</si>
  <si>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</si>
  <si>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</si>
  <si>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</si>
  <si>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</si>
  <si>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</si>
  <si>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</si>
  <si>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</si>
  <si>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</si>
  <si>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</si>
  <si>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</si>
  <si>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</si>
  <si>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</si>
  <si>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</si>
  <si>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</si>
  <si>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</si>
  <si>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</si>
  <si>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</si>
  <si>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</si>
  <si>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</si>
  <si>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</si>
  <si>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</si>
  <si>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</si>
  <si>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</si>
  <si>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</si>
  <si>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</si>
  <si>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</si>
  <si>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</si>
  <si>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</si>
  <si>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</si>
  <si>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</si>
  <si>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</si>
  <si>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</si>
  <si>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</si>
  <si>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</si>
  <si>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</si>
  <si>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</si>
  <si>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</si>
  <si>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</si>
  <si>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</si>
  <si>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</si>
  <si>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</si>
  <si>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</si>
  <si>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</si>
  <si>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</si>
  <si>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</si>
  <si>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</si>
  <si>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</si>
  <si>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</si>
  <si>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</si>
  <si>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</si>
  <si>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</si>
  <si>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</si>
  <si>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</si>
  <si>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</si>
  <si>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</si>
  <si>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</si>
  <si>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</si>
  <si>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</si>
  <si>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</si>
  <si>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</si>
  <si>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</si>
  <si>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</si>
  <si>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</si>
  <si>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</si>
  <si>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</si>
  <si>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</si>
  <si>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</si>
  <si>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</si>
  <si>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</si>
  <si>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</si>
  <si>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</si>
  <si>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</si>
  <si>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</si>
  <si>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</si>
  <si>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</si>
  <si>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</si>
  <si>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</si>
  <si>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</si>
  <si>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</si>
  <si>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</si>
  <si>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</si>
  <si>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</si>
  <si>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</si>
  <si>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</si>
  <si>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</si>
  <si>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</si>
  <si>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</si>
  <si>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</si>
  <si>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</si>
  <si>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</si>
  <si>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</si>
  <si>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</si>
  <si>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</si>
  <si>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</si>
  <si>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</si>
  <si>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</si>
  <si>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</si>
  <si>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</si>
  <si>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</si>
  <si>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</si>
  <si>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</si>
  <si>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</si>
  <si>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</si>
  <si>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</si>
  <si>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</si>
  <si>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</si>
  <si>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</si>
  <si>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</si>
  <si>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</si>
  <si>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</si>
  <si>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</si>
  <si>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</si>
  <si>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</si>
  <si>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</si>
  <si>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</si>
  <si>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</si>
  <si>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</si>
  <si>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</si>
  <si>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</si>
  <si>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</si>
  <si>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</si>
  <si>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</si>
  <si>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</si>
  <si>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</si>
  <si>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</si>
  <si>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</si>
  <si>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</si>
  <si>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</si>
  <si>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</si>
  <si>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</si>
  <si>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</si>
  <si>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</si>
  <si>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</si>
  <si>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</si>
  <si>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</si>
  <si>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</si>
  <si>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</si>
  <si>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</si>
  <si>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</si>
  <si>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</si>
  <si>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</si>
  <si>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</si>
  <si>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</si>
  <si>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</si>
  <si>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</si>
  <si>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</si>
  <si>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</si>
  <si>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</si>
  <si>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</si>
  <si>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</si>
  <si>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</si>
  <si>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</si>
  <si>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</si>
  <si>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</si>
  <si>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</si>
  <si>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</si>
  <si>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</si>
  <si>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</si>
  <si>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</si>
  <si>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</si>
  <si>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</si>
  <si>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</si>
  <si>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</si>
  <si>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</si>
  <si>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</si>
  <si>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</si>
  <si>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</si>
  <si>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</si>
  <si>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</si>
  <si>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</si>
  <si>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</si>
  <si>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</si>
  <si>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</si>
  <si>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</si>
  <si>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</si>
  <si>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</si>
  <si>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</si>
  <si>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</si>
  <si>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</si>
  <si>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</si>
  <si>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</si>
  <si>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</si>
  <si>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</si>
  <si>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</si>
  <si>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</si>
  <si>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</si>
  <si>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</si>
  <si>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</si>
  <si>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</si>
  <si>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</si>
  <si>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</si>
  <si>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</si>
  <si>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</si>
  <si>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</si>
  <si>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</si>
  <si>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</si>
  <si>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</si>
  <si>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</si>
  <si>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</si>
  <si>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</si>
  <si>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</si>
  <si>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</si>
  <si>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</si>
  <si>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</si>
  <si>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</si>
  <si>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</si>
  <si>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</si>
  <si>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</si>
  <si>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</si>
  <si>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</si>
  <si>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</si>
  <si>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</si>
  <si>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</si>
  <si>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</si>
  <si>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</si>
  <si>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</si>
  <si>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</si>
  <si>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</si>
  <si>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</si>
  <si>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</si>
  <si>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</si>
  <si>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</si>
  <si>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</si>
  <si>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</si>
  <si>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</si>
  <si>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</si>
  <si>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</si>
  <si>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</si>
  <si>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</si>
  <si>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</si>
  <si>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</si>
  <si>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</si>
  <si>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</si>
  <si>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</si>
  <si>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</si>
  <si>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</si>
  <si>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</si>
  <si>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</si>
  <si>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</si>
  <si>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</si>
  <si>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</si>
  <si>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</si>
  <si>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</si>
  <si>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</si>
  <si>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</si>
  <si>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</si>
  <si>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</si>
  <si>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</si>
  <si>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</si>
  <si>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</si>
  <si>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</si>
  <si>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</si>
  <si>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</si>
  <si>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</si>
  <si>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</si>
  <si>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</si>
  <si>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</si>
  <si>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</si>
  <si>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</si>
  <si>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</si>
  <si>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</si>
  <si>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</si>
  <si>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</si>
  <si>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</si>
  <si>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</si>
  <si>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</si>
  <si>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</si>
  <si>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</si>
  <si>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</si>
  <si>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</si>
  <si>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</si>
  <si>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</si>
  <si>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</si>
  <si>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</si>
  <si>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</si>
  <si>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</si>
  <si>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</si>
  <si>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</si>
  <si>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</si>
  <si>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</si>
  <si>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</si>
  <si>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</si>
  <si>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</si>
  <si>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</si>
  <si>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</si>
  <si>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</si>
  <si>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</si>
  <si>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</si>
  <si>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</si>
  <si>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</si>
  <si>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</si>
  <si>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</si>
  <si>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</si>
  <si>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</si>
  <si>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</si>
  <si>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</si>
  <si>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</si>
  <si>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</si>
  <si>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</si>
  <si>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</si>
  <si>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</si>
  <si>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</si>
  <si>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</si>
  <si>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</si>
  <si>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</si>
  <si>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</si>
  <si>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</si>
  <si>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</si>
  <si>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</si>
  <si>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</si>
  <si>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</si>
  <si>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</si>
  <si>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</si>
  <si>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</si>
  <si>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</si>
  <si>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</si>
  <si>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</si>
  <si>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</si>
  <si>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</si>
  <si>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</si>
  <si>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</si>
  <si>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</si>
  <si>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</si>
  <si>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</si>
  <si>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</si>
  <si>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</si>
  <si>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</si>
  <si>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</si>
  <si>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</si>
  <si>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</si>
  <si>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</si>
  <si>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</si>
  <si>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</si>
  <si>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</si>
  <si>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</si>
  <si>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</si>
  <si>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</si>
  <si>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</si>
  <si>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</si>
  <si>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</si>
  <si>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</si>
  <si>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</si>
  <si>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</si>
  <si>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</si>
  <si>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</si>
  <si>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</si>
  <si>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</si>
  <si>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</si>
  <si>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</si>
  <si>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</si>
  <si>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</si>
  <si>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</si>
  <si>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</si>
  <si>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</si>
  <si>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</si>
  <si>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</si>
  <si>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</si>
  <si>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</si>
  <si>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</si>
  <si>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</si>
  <si>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</si>
  <si>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</si>
  <si>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</si>
  <si>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</si>
  <si>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</si>
  <si>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</si>
  <si>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</si>
  <si>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</si>
  <si>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</si>
  <si>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</si>
  <si>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</si>
  <si>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</si>
  <si>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</si>
  <si>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</si>
  <si>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</si>
  <si>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</si>
  <si>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</si>
  <si>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</si>
  <si>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</si>
  <si>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</si>
  <si>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</si>
  <si>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</si>
  <si>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</si>
  <si>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</si>
  <si>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</si>
  <si>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</si>
  <si>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</si>
  <si>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</si>
  <si>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</si>
  <si>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</si>
  <si>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</si>
  <si>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</si>
  <si>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</si>
  <si>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</si>
  <si>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</si>
  <si>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</si>
  <si>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</si>
  <si>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</si>
  <si>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</si>
  <si>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</si>
  <si>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</si>
  <si>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</si>
  <si>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</si>
  <si>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</si>
  <si>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</si>
  <si>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</si>
  <si>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</si>
  <si>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</si>
  <si>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</si>
  <si>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</si>
  <si>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</si>
  <si>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</si>
  <si>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</si>
  <si>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</si>
  <si>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</si>
  <si>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</si>
  <si>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</si>
  <si>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</si>
  <si>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</si>
  <si>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</si>
  <si>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</si>
  <si>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</si>
  <si>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</si>
  <si>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</si>
  <si>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</si>
  <si>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</si>
  <si>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</si>
  <si>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</si>
  <si>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</si>
  <si>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</si>
  <si>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</si>
  <si>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</si>
  <si>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</si>
  <si>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</si>
  <si>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</si>
  <si>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</si>
  <si>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</si>
  <si>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</si>
  <si>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</si>
  <si>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</si>
  <si>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</si>
  <si>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</si>
  <si>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</si>
  <si>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</si>
  <si>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</si>
  <si>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</si>
  <si>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</si>
  <si>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</si>
  <si>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</si>
  <si>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</si>
  <si>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</si>
  <si>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</si>
  <si>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</si>
  <si>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</si>
  <si>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</si>
  <si>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</si>
  <si>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</si>
  <si>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</si>
  <si>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</si>
  <si>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</si>
  <si>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</si>
  <si>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</si>
  <si>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</si>
  <si>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</si>
  <si>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</si>
  <si>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</si>
  <si>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</si>
  <si>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</si>
  <si>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</si>
  <si>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</si>
  <si>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</si>
  <si>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</si>
  <si>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</si>
  <si>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</si>
  <si>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</si>
  <si>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</si>
  <si>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</si>
  <si>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</si>
  <si>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</si>
  <si>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</si>
  <si>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</si>
  <si>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</si>
  <si>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</si>
  <si>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</si>
  <si>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</si>
  <si>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</si>
  <si>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</si>
  <si>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</si>
  <si>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</si>
  <si>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</si>
  <si>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</si>
  <si>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</si>
  <si>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</si>
  <si>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</si>
  <si>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</si>
  <si>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</si>
  <si>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</si>
  <si>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</si>
  <si>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</si>
  <si>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</si>
  <si>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</si>
  <si>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</si>
  <si>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</si>
  <si>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</si>
  <si>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</si>
  <si>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</si>
  <si>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</si>
  <si>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</si>
  <si>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</si>
  <si>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</si>
  <si>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</si>
  <si>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</si>
  <si>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</si>
  <si>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</si>
  <si>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</si>
  <si>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</si>
  <si>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</si>
  <si>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</si>
  <si>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</si>
  <si>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</si>
  <si>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</si>
  <si>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</si>
  <si>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</si>
  <si>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</si>
  <si>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</si>
  <si>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</si>
  <si>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</si>
  <si>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</si>
  <si>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</si>
  <si>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</si>
  <si>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</si>
  <si>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单套模式</t>
  </si>
  <si>
    <t>售价</t>
  </si>
  <si>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</si>
  <si>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</si>
  <si>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</si>
  <si>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</si>
  <si>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</si>
  <si>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</si>
  <si>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</si>
  <si>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</si>
  <si>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</si>
  <si>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</si>
  <si>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</si>
  <si>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</si>
  <si>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</si>
  <si>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</si>
  <si>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</si>
  <si>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</si>
  <si>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</si>
  <si>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</si>
  <si>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</si>
  <si>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</si>
  <si>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</si>
  <si>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</si>
  <si>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</si>
  <si>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</si>
  <si>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</si>
  <si>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</si>
  <si>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</si>
  <si>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</si>
  <si>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</si>
  <si>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</si>
  <si>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</si>
  <si>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</si>
  <si>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</si>
  <si>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</si>
  <si>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</si>
  <si>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</si>
  <si>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</si>
  <si>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</si>
  <si>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</si>
  <si>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</si>
  <si>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</si>
  <si>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</si>
  <si>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</si>
  <si>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</si>
  <si>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</si>
  <si>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t>楼面单价</t>
  </si>
  <si>
    <t>收益比率</t>
  </si>
  <si>
    <r>
      <t>2</t>
    </r>
    <r>
      <rPr>
        <sz val="10"/>
        <color indexed="8"/>
        <rFont val="宋体"/>
        <family val="3"/>
        <charset val="134"/>
      </rPr>
      <t>层</t>
    </r>
    <phoneticPr fontId="3" type="noConversion"/>
  </si>
  <si>
    <t>较好</t>
    <phoneticPr fontId="30" type="noConversion"/>
  </si>
  <si>
    <t>郑燚</t>
  </si>
  <si>
    <t>吴薇</t>
  </si>
  <si>
    <t>收益法 (元)</t>
  </si>
  <si>
    <t>砖混</t>
  </si>
  <si>
    <t>非生产用房</t>
  </si>
  <si>
    <t>其他：</t>
  </si>
  <si>
    <t>企业</t>
  </si>
  <si>
    <t>太原市保利东郡</t>
    <phoneticPr fontId="3" type="noConversion"/>
  </si>
  <si>
    <t>11-1010</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</si>
</sst>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太原市保利东郡房地产抵押价值预评估</v>
      </c>
    </row>
    <row r="3" spans="1:2" s="1194" customFormat="1">
      <c r="A3" s="1192" t="s">
        <v>523</v>
      </c>
      <c r="B3" s="1193">
        <f>'预评函-封皮'!B40</f>
        <v>0</v>
      </c>
    </row>
    <row r="4" spans="1:2" s="1194" customFormat="1">
      <c r="A4" s="1192" t="s">
        <v>524</v>
      </c>
      <c r="B4" s="1193" t="str">
        <f ca="1">'预评函-封皮'!B46</f>
        <v>吴薇（注册号：1419970001)、郑燚（注册号：1120070131)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受贵公司委托，我公司对太原市保利东郡房地产抵押价值进行了预评估。</v>
      </c>
    </row>
    <row r="7" spans="1:2" s="1194" customFormat="1">
      <c r="A7" s="1192" t="s">
        <v>566</v>
      </c>
      <c r="B7" s="1193" t="str">
        <f>'预评函-1'!A7</f>
        <v>估价对象为太原市保利东郡房地产，为所有。根据《国有土地使用证》[]，估价对象（分摊）出让国有建设用地使用权面积为0平方米，建筑面积为35.41平方米。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估价对象为太原市保利东郡房地产,为开发建设的，该项目尚在开发建设中。根据《国有土地使用证》[]，估价对象（分摊）出让国有建设用地使用权面积为0平方米，规划建筑面积为35.41平方米。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拟使用太原市保利东郡房地产作为抵押担保物，向办理贷款手续。特委托北京康正宏基房地产评估有限公司对上述抵押物进行评估。本次评估为确定房地产抵押贷款额度提供参考依据而评估房地产抵押价值。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2024年2月23日</v>
      </c>
    </row>
    <row r="13" spans="1:2" s="1194" customFormat="1">
      <c r="A13" s="1192" t="s">
        <v>529</v>
      </c>
      <c r="B13" s="1193"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88</v>
      </c>
    </row>
    <row r="21" spans="1:2" s="1194" customFormat="1">
      <c r="A21" s="1192" t="s">
        <v>537</v>
      </c>
      <c r="B21" s="1193">
        <f ca="1">'预评函-2'!D7</f>
        <v>24899</v>
      </c>
    </row>
    <row r="22" spans="1:2" s="1194" customFormat="1">
      <c r="A22" s="1192" t="s">
        <v>538</v>
      </c>
      <c r="B22" s="1193" t="str">
        <f ca="1">'预评函-2'!D6</f>
        <v>捌拾捌万元整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88</v>
      </c>
    </row>
    <row r="31" spans="1:2" s="1194" customFormat="1">
      <c r="A31" s="1192" t="s">
        <v>576</v>
      </c>
      <c r="B31" s="1193">
        <f ca="1">'预评函-2'!D15</f>
        <v>24899</v>
      </c>
    </row>
    <row r="32" spans="1:2" s="1194" customFormat="1">
      <c r="A32" s="1192" t="s">
        <v>543</v>
      </c>
      <c r="B32" s="1193" t="str">
        <f ca="1">'预评函-2'!D14</f>
        <v>捌拾捌万元整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81</v>
      </c>
    </row>
    <row r="39" spans="1:2" s="1194" customFormat="1">
      <c r="A39" s="1192" t="s">
        <v>545</v>
      </c>
      <c r="B39" s="1193">
        <f ca="1">'预评函-2'!D21</f>
        <v>22875</v>
      </c>
    </row>
    <row r="40" spans="1:2" s="1194" customFormat="1">
      <c r="A40" s="1192" t="s">
        <v>546</v>
      </c>
      <c r="B40" s="1193" t="str">
        <f ca="1">'预评函-2'!D20</f>
        <v>捌拾壹万元整</v>
      </c>
    </row>
    <row r="41" spans="1:2" s="1194" customFormat="1">
      <c r="A41" s="1192" t="s">
        <v>592</v>
      </c>
      <c r="B41" s="1193" t="str">
        <f>'预评函-3'!A4</f>
        <v>太原市保利东郡房地产</v>
      </c>
    </row>
    <row r="42" spans="1:2" s="1194" customFormat="1">
      <c r="A42" s="1192" t="s">
        <v>590</v>
      </c>
      <c r="B42" s="1193" t="str">
        <f>'预评函-3'!B2</f>
        <v>建筑面积</v>
      </c>
    </row>
    <row r="43" spans="1:2" s="1194" customFormat="1">
      <c r="A43" s="1192" t="s">
        <v>591</v>
      </c>
      <c r="B43" s="1193">
        <f>'预评函-3'!B4</f>
        <v>35.409999999999997</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66</v>
      </c>
    </row>
    <row r="48" spans="1:2" s="1194" customFormat="1">
      <c r="A48" s="1192" t="s">
        <v>549</v>
      </c>
      <c r="B48" s="1193">
        <f ca="1">'预评函-3'!E4</f>
        <v>18674</v>
      </c>
    </row>
    <row r="49" spans="1:2" s="1194" customFormat="1">
      <c r="A49" s="1192" t="s">
        <v>550</v>
      </c>
      <c r="B49" s="1193" t="str">
        <f ca="1">'预评函-3'!D5</f>
        <v>陆拾陆万元整</v>
      </c>
    </row>
    <row r="50" spans="1:2" s="1194" customFormat="1">
      <c r="A50" s="1192" t="s">
        <v>574</v>
      </c>
      <c r="B50" s="1193" t="str">
        <f>'预评函-3'!F2</f>
        <v>在建建筑物价值</v>
      </c>
    </row>
    <row r="51" spans="1:2" s="1194" customFormat="1">
      <c r="A51" s="1192" t="s">
        <v>551</v>
      </c>
      <c r="B51" s="1193">
        <f ca="1">'预评函-3'!F4</f>
        <v>22</v>
      </c>
    </row>
    <row r="52" spans="1:2" s="1194" customFormat="1">
      <c r="A52" s="1192" t="s">
        <v>552</v>
      </c>
      <c r="B52" s="1193">
        <f ca="1">'预评函-3'!G4</f>
        <v>6225</v>
      </c>
    </row>
    <row r="53" spans="1:2" s="1194" customFormat="1">
      <c r="A53" s="1192" t="s">
        <v>580</v>
      </c>
      <c r="B53" s="1193" t="str">
        <f ca="1">'预评函-3'!F5</f>
        <v>贰拾贰万元整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吴薇</v>
      </c>
    </row>
    <row r="71" spans="1:2">
      <c r="A71" s="1192" t="s">
        <v>563</v>
      </c>
      <c r="B71" s="1193">
        <f ca="1">'预评函-4'!B4</f>
        <v>1419970001</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拟使用太原市保利东郡房地产作为抵押担保物，向办理贷款手续。特委托北京康正宏基房地产评估有限公司对上述抵押物进行评估。本次评估为确定房地产抵押贷款额度提供参考依据而评估房地产抵押价值。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5" t="s">
        <v>385</v>
      </c>
      <c r="C54" s="1542" t="s">
        <v>583</v>
      </c>
    </row>
    <row r="55" spans="1:4">
      <c r="A55" s="3512"/>
      <c r="B55" s="1545" t="s">
        <v>386</v>
      </c>
      <c r="C55" s="1542" t="s">
        <v>584</v>
      </c>
    </row>
    <row r="56" spans="1:4">
      <c r="A56" s="3512"/>
      <c r="B56" s="1545" t="s">
        <v>387</v>
      </c>
      <c r="C56" s="1542" t="s">
        <v>588</v>
      </c>
    </row>
    <row r="57" spans="1:4">
      <c r="A57" s="351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3" t="s">
        <v>2580</v>
      </c>
      <c r="J2" s="3513"/>
      <c r="K2" s="3513"/>
      <c r="L2" s="3513"/>
      <c r="M2" s="3513"/>
      <c r="N2" s="3513"/>
      <c r="O2" s="3513"/>
      <c r="P2" s="3513"/>
      <c r="Q2" s="3513"/>
      <c r="R2" s="3513"/>
    </row>
    <row r="3" spans="1:18">
      <c r="A3" s="3009" t="s">
        <v>2501</v>
      </c>
      <c r="B3" s="3010">
        <f>项目基本情况!D3</f>
        <v>45345</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2.82</v>
      </c>
      <c r="D5" s="3014">
        <f>IF(ISERROR(ROUND(POWER(1+E5,A5-C5)*(POWER(1+E5,C5)-1)/(POWER(1+E5,A5)-1),3)),0,ROUND(POWER(1+E5,A5-C5)*(POWER(1+E5,C5)-1)/(POWER(1+E5,A5)-1),4))</f>
        <v>0.1323</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12.83</v>
      </c>
      <c r="D6" s="3014">
        <f>IF(ISERROR(ROUND(POWER(1+E6,A6-C6)*(POWER(1+E6,C6)-1)/(POWER(1+E6,A6)-1),3)),0,ROUND(POWER(1+E6,A6-C6)*(POWER(1+E6,C6)-1)/(POWER(1+E6,A6)-1),4))</f>
        <v>0.4602</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32.840000000000003</v>
      </c>
      <c r="D7" s="3014">
        <f>IF(ISERROR(ROUND(POWER(1+E7,A7-C7)*(POWER(1+E7,C7)-1)/(POWER(1+E7,A7)-1),3)),0,ROUND(POWER(1+E7,A7-C7)*(POWER(1+E7,C7)-1)/(POWER(1+E7,A7)-1),4))</f>
        <v>0.77390000000000003</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1" sqref="F11"/>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22" t="str">
        <f>IF(B10="北京市","北京市",C10)&amp;F10&amp;IF(结果表!G1="在建","出让国有建设用地使用权及在建建筑物",IF(结果表!G1="土地","出让国有建设用地使用权",))&amp;B9&amp;"预评估"</f>
        <v>太原市保利东郡房地产抵押价值预评估</v>
      </c>
      <c r="C1" s="3523"/>
      <c r="D1" s="3523"/>
      <c r="E1" s="3523"/>
      <c r="F1" s="3523"/>
      <c r="G1" s="3523"/>
      <c r="H1" s="3523"/>
      <c r="I1" s="3524"/>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太原市保利东郡房地产抵押价值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太原市保利东郡房地产</v>
      </c>
      <c r="T2" s="1736"/>
      <c r="U2" s="1736"/>
      <c r="V2" s="1736"/>
      <c r="W2" s="1736"/>
      <c r="X2" s="1736"/>
      <c r="Y2" s="1736"/>
      <c r="Z2" s="1736"/>
      <c r="AA2" s="1736"/>
      <c r="AB2" s="1736"/>
    </row>
    <row r="3" spans="1:30">
      <c r="A3" s="296" t="s">
        <v>2170</v>
      </c>
      <c r="B3" s="2364"/>
      <c r="C3" s="2365" t="s">
        <v>2171</v>
      </c>
      <c r="D3" s="2364">
        <v>45345</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t="s">
        <v>3469</v>
      </c>
      <c r="C4" s="2367">
        <f ca="1">SUMIF(注册房地产估价师,B4,估价师及机构信息!B3:B24)</f>
        <v>1419970001</v>
      </c>
      <c r="D4" s="2366" t="s">
        <v>3468</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吴薇（注册号：1419970001)、郑燚（注册号：1120070131)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25"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26"/>
      <c r="E9" s="2385" t="s">
        <v>587</v>
      </c>
      <c r="F9" s="2387"/>
      <c r="G9" s="2655"/>
      <c r="H9" s="2655"/>
      <c r="I9" s="2655"/>
      <c r="J9" s="2430"/>
      <c r="K9" s="2606"/>
      <c r="L9" s="2603"/>
      <c r="M9" s="2603"/>
      <c r="N9" s="2430"/>
      <c r="O9" s="2441"/>
      <c r="P9" s="2430"/>
      <c r="Q9" s="2430"/>
      <c r="R9" s="2430"/>
    </row>
    <row r="10" spans="1:30" ht="13.5" thickTop="1">
      <c r="A10" s="2388" t="s">
        <v>2179</v>
      </c>
      <c r="B10" s="2389" t="s">
        <v>3473</v>
      </c>
      <c r="C10" s="2390"/>
      <c r="D10" s="2373"/>
      <c r="E10" s="2391" t="s">
        <v>2180</v>
      </c>
      <c r="F10" s="3438" t="s">
        <v>3475</v>
      </c>
      <c r="G10" s="2656"/>
      <c r="H10" s="2657"/>
      <c r="I10" s="2658"/>
      <c r="J10" s="2430"/>
      <c r="K10" s="2606"/>
      <c r="L10" s="2603"/>
      <c r="M10" s="2603"/>
      <c r="N10" s="2430"/>
      <c r="O10" s="2441"/>
      <c r="P10" s="2430"/>
      <c r="Q10" s="2430"/>
      <c r="R10" s="2430"/>
    </row>
    <row r="11" spans="1:30">
      <c r="A11" s="2392" t="s">
        <v>2181</v>
      </c>
      <c r="B11" s="2393" t="s">
        <v>3474</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57893</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34.369999999999997</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32"/>
      <c r="C16" s="3533"/>
      <c r="D16" s="3534"/>
      <c r="E16" s="2404" t="s">
        <v>2194</v>
      </c>
      <c r="F16" s="3535"/>
      <c r="G16" s="3536"/>
      <c r="H16" s="3536"/>
      <c r="I16" s="3537"/>
      <c r="J16" s="2430"/>
      <c r="K16" s="2607"/>
      <c r="L16" s="2442"/>
      <c r="M16" s="2442"/>
      <c r="N16" s="2499"/>
      <c r="O16" s="2442"/>
      <c r="P16" s="2499"/>
      <c r="Q16" s="2430"/>
      <c r="R16" s="2430"/>
    </row>
    <row r="17" spans="1:28">
      <c r="A17" s="307" t="s">
        <v>2195</v>
      </c>
      <c r="B17" s="296" t="s">
        <v>2196</v>
      </c>
      <c r="C17" s="8">
        <f>'数据-汇总表'!E3</f>
        <v>35.409999999999997</v>
      </c>
      <c r="D17" s="2313" t="s">
        <v>2197</v>
      </c>
      <c r="E17" s="3538" t="s">
        <v>2198</v>
      </c>
      <c r="F17" s="3539"/>
      <c r="G17" s="3539"/>
      <c r="H17" s="3539"/>
      <c r="I17" s="3540"/>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41" t="s">
        <v>2202</v>
      </c>
      <c r="F18" s="3542"/>
      <c r="G18" s="3542"/>
      <c r="H18" s="3542"/>
      <c r="I18" s="3543"/>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28" t="s">
        <v>2206</v>
      </c>
      <c r="C20" s="3529"/>
      <c r="D20" s="3530" t="s">
        <v>2207</v>
      </c>
      <c r="E20" s="3531"/>
      <c r="F20" s="2637" t="s">
        <v>1056</v>
      </c>
      <c r="G20" s="2654"/>
      <c r="H20" s="2654"/>
      <c r="I20" s="2654"/>
      <c r="J20" s="2430"/>
      <c r="K20" s="3527"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27"/>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27"/>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15"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15"/>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15"/>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16"/>
      <c r="B30" s="296" t="s">
        <v>2218</v>
      </c>
      <c r="C30" s="3517"/>
      <c r="D30" s="3518"/>
      <c r="E30" s="2654"/>
      <c r="F30" s="2654"/>
      <c r="G30" s="2654"/>
      <c r="H30" s="2654"/>
      <c r="I30" s="2654"/>
      <c r="J30" s="2430"/>
      <c r="K30" s="2606"/>
      <c r="L30" s="2603"/>
      <c r="M30" s="2603"/>
      <c r="N30" s="2430"/>
      <c r="O30" s="2441"/>
      <c r="P30" s="2430"/>
      <c r="Q30" s="2430"/>
      <c r="R30" s="2430"/>
      <c r="S30" s="2430"/>
      <c r="T30" s="2430"/>
      <c r="U30" s="2430"/>
      <c r="V30" s="2430"/>
    </row>
    <row r="31" spans="1:28">
      <c r="A31" s="3519"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20"/>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20"/>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3381</v>
      </c>
      <c r="C34" s="2017" t="s">
        <v>3382</v>
      </c>
      <c r="D34" s="2017" t="s">
        <v>3383</v>
      </c>
      <c r="E34" s="2017" t="s">
        <v>3384</v>
      </c>
      <c r="F34" s="2017" t="s">
        <v>3385</v>
      </c>
      <c r="G34" s="2017" t="s">
        <v>3386</v>
      </c>
      <c r="H34" s="2017"/>
      <c r="I34" s="2654"/>
      <c r="J34" s="2430"/>
      <c r="K34" s="2418">
        <f>COUNTIF(B34:H34,"——")</f>
        <v>0</v>
      </c>
      <c r="L34" s="317" t="s">
        <v>2221</v>
      </c>
      <c r="M34" s="317" t="s">
        <v>2222</v>
      </c>
      <c r="N34" s="317" t="s">
        <v>2223</v>
      </c>
      <c r="O34" s="317" t="s">
        <v>2224</v>
      </c>
      <c r="P34" s="317" t="s">
        <v>2225</v>
      </c>
      <c r="Q34" s="317" t="s">
        <v>2226</v>
      </c>
      <c r="R34" s="317" t="s">
        <v>2227</v>
      </c>
      <c r="S34" s="3514" t="s">
        <v>2228</v>
      </c>
      <c r="T34" s="2419" t="str">
        <f>NUMBERSTRING(7-K34,1)&amp;"通"</f>
        <v>七通</v>
      </c>
      <c r="U34" s="2430"/>
      <c r="V34" s="2430"/>
    </row>
    <row r="35" spans="1:30">
      <c r="A35" s="2420"/>
      <c r="B35" s="3521" t="s">
        <v>2229</v>
      </c>
      <c r="C35" s="3521"/>
      <c r="D35" s="3521"/>
      <c r="E35" s="3521"/>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14"/>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3416</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35.409999999999997</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35.409999999999997</v>
      </c>
      <c r="H5" s="13">
        <f t="shared" ref="H5:AT5" si="0">SUM(H13:H656)</f>
        <v>35.409999999999997</v>
      </c>
      <c r="I5" s="13">
        <f t="shared" si="0"/>
        <v>35.409999999999997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35.409999999999997</v>
      </c>
      <c r="BA5" s="15">
        <f t="shared" si="1"/>
        <v>35.409999999999997</v>
      </c>
      <c r="BB5" s="15">
        <f t="shared" si="1"/>
        <v>35.409999999999997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673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3476</v>
      </c>
      <c r="D13" s="1616" t="s">
        <v>3388</v>
      </c>
      <c r="E13" s="13">
        <f>IF($C$3="是",ROUND($A$3*G13/$B$3,2),ROUND($A$3*(G13-AT13)/$B$3,2))</f>
        <v>0</v>
      </c>
      <c r="F13" s="29"/>
      <c r="G13" s="30">
        <f>H13+AC13+AT13</f>
        <v>35.409999999999997</v>
      </c>
      <c r="H13" s="17">
        <f>SUMIF(I$12:AB$12,"总值",I13:AB13)</f>
        <v>35.409999999999997</v>
      </c>
      <c r="I13" s="1617">
        <v>35.409999999999997</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11-1010</v>
      </c>
      <c r="AY13" s="1340">
        <f>ROUND($AY$6*AZ13/$AZ$5,2)</f>
        <v>0</v>
      </c>
      <c r="AZ13" s="13">
        <f>BA13+BL13</f>
        <v>35.409999999999997</v>
      </c>
      <c r="BA13" s="13">
        <f>SUM(BB13:BK13)</f>
        <v>35.409999999999997</v>
      </c>
      <c r="BB13" s="13">
        <f>IF($D13="是",I13-J13,0)</f>
        <v>35.409999999999997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3" t="s">
        <v>1131</v>
      </c>
      <c r="B2" s="3553"/>
      <c r="C2" s="3553"/>
      <c r="D2" s="787" t="s">
        <v>1107</v>
      </c>
      <c r="E2" s="1630" t="s">
        <v>1108</v>
      </c>
      <c r="F2" s="2649"/>
      <c r="G2" s="2640"/>
      <c r="H2" s="2641"/>
      <c r="I2" s="2316" t="s">
        <v>1132</v>
      </c>
      <c r="J2" s="2649"/>
      <c r="K2" s="2649"/>
      <c r="L2" s="2649"/>
      <c r="M2" s="2649"/>
      <c r="N2" s="2651"/>
      <c r="O2" s="2649"/>
      <c r="P2" s="2649"/>
    </row>
    <row r="3" spans="1:16" ht="15.75" thickBot="1">
      <c r="A3" s="3554" t="s">
        <v>1105</v>
      </c>
      <c r="B3" s="3554"/>
      <c r="C3" s="3554"/>
      <c r="D3" s="43">
        <f>'数据-基础表'!AY6</f>
        <v>0</v>
      </c>
      <c r="E3" s="43">
        <f>'数据-基础表'!AZ5</f>
        <v>35.409999999999997</v>
      </c>
      <c r="F3" s="2649"/>
      <c r="G3" s="1136"/>
      <c r="H3" s="1017" t="s">
        <v>1106</v>
      </c>
      <c r="I3" s="846" t="e">
        <f>ROUND('数据-基础表'!B3/'数据-基础表'!A3,2)</f>
        <v>#DIV/0!</v>
      </c>
      <c r="J3" s="2649"/>
      <c r="K3" s="2649"/>
      <c r="L3" s="2649"/>
      <c r="M3" s="2649"/>
      <c r="N3" s="2651"/>
      <c r="O3" s="2649"/>
      <c r="P3" s="2649"/>
    </row>
    <row r="4" spans="1:16" ht="15">
      <c r="A4" s="3555"/>
      <c r="B4" s="3556"/>
      <c r="C4" s="3557"/>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8" t="s">
        <v>1110</v>
      </c>
      <c r="C5" s="3558"/>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8" t="s">
        <v>1111</v>
      </c>
      <c r="C6" s="3558"/>
      <c r="D6" s="45">
        <f>ROUND($D$3*E6/$E$3,2)</f>
        <v>0</v>
      </c>
      <c r="E6" s="46">
        <f>E3-E5</f>
        <v>35.409999999999997</v>
      </c>
      <c r="F6" s="2649"/>
      <c r="G6" s="2643" t="s">
        <v>1112</v>
      </c>
      <c r="H6" s="1137" t="s">
        <v>1113</v>
      </c>
      <c r="I6" s="2644" t="e">
        <f>ROUND(F31/D31,2)</f>
        <v>#DIV/0!</v>
      </c>
      <c r="J6" s="2649"/>
      <c r="K6" s="2649"/>
      <c r="L6" s="2649"/>
      <c r="M6" s="2649"/>
      <c r="N6" s="2649"/>
      <c r="O6" s="2649"/>
      <c r="P6" s="2649"/>
    </row>
    <row r="7" spans="1:16" ht="15.75" thickBot="1">
      <c r="A7" s="3550"/>
      <c r="B7" s="3551"/>
      <c r="C7" s="3552"/>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35.409999999999997</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35.409999999999997</v>
      </c>
      <c r="F16" s="2649"/>
      <c r="G16" s="2650"/>
      <c r="H16" s="1639" t="s">
        <v>1135</v>
      </c>
      <c r="I16" s="1640"/>
      <c r="J16" s="1130"/>
      <c r="K16" s="3547" t="s">
        <v>1135</v>
      </c>
      <c r="L16" s="3548"/>
      <c r="M16" s="3548"/>
      <c r="N16" s="3548"/>
      <c r="O16" s="3548"/>
      <c r="P16" s="3549"/>
    </row>
    <row r="17" spans="1:19" ht="15">
      <c r="A17" s="1641" t="s">
        <v>1136</v>
      </c>
      <c r="B17" s="1642" t="s">
        <v>1137</v>
      </c>
      <c r="C17" s="1643" t="s">
        <v>1138</v>
      </c>
      <c r="D17" s="1644" t="s">
        <v>1126</v>
      </c>
      <c r="E17" s="1645" t="s">
        <v>1127</v>
      </c>
      <c r="F17" s="1646"/>
      <c r="G17" s="1647"/>
      <c r="H17" s="1648" t="s">
        <v>1139</v>
      </c>
      <c r="I17" s="1649" t="s">
        <v>1124</v>
      </c>
      <c r="J17" s="1130"/>
      <c r="K17" s="3544" t="s">
        <v>1140</v>
      </c>
      <c r="L17" s="3545"/>
      <c r="M17" s="3546"/>
      <c r="N17" s="3544" t="s">
        <v>1141</v>
      </c>
      <c r="O17" s="3545"/>
      <c r="P17" s="3546"/>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3420</v>
      </c>
      <c r="D19" s="45">
        <f>ROUND($D$3*E19/$E$3,2)</f>
        <v>0</v>
      </c>
      <c r="E19" s="53">
        <f t="shared" ref="E19:E26" si="1">SUM(F19:G19)</f>
        <v>35.409999999999997</v>
      </c>
      <c r="F19" s="2784">
        <f>'数据-基础表'!I5</f>
        <v>35.409999999999997</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35.409999999999997</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35.409999999999997</v>
      </c>
      <c r="F27" s="1131">
        <f>IF(SUM(F19:F26)=E8,SUM(F19:F26),"地上面积有误")</f>
        <v>35.409999999999997</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35.409999999999997</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35.409999999999997</v>
      </c>
      <c r="F31" s="668">
        <f>F27+F30</f>
        <v>35.409999999999997</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45345</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3400</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57893</v>
      </c>
      <c r="F6" s="64">
        <f>SUMIF(项目基本情况!C$12:I$12,C6,项目基本情况!C$15:I$15)</f>
        <v>34.369999999999997</v>
      </c>
      <c r="G6" s="65">
        <f>IF(ISERROR(ROUND(POWER(1+H6,D6-F6)*(POWER(1+H6,F6)-1)/(POWER(1+H6,D6)-1),3)),0,ROUND(POWER(1+H6,D6-F6)*(POWER(1+H6,F6)-1)/(POWER(1+H6,D6)-1),3))</f>
        <v>0.94199999999999995</v>
      </c>
      <c r="H6" s="3439">
        <v>4.4999999999999998E-2</v>
      </c>
      <c r="I6" s="3439">
        <v>5.5E-2</v>
      </c>
      <c r="J6" s="3440">
        <v>7.0000000000000007E-2</v>
      </c>
      <c r="K6" s="1021">
        <f>SUMIF('数据-汇总表'!C$19:C$33,A6,'数据-汇总表'!E$19:E$33)</f>
        <v>35.409999999999997</v>
      </c>
      <c r="L6" s="724">
        <v>4000</v>
      </c>
      <c r="M6" s="67">
        <f t="shared" ref="M6:M14" si="0">ROUND(K6*L6/10000,0)</f>
        <v>14</v>
      </c>
      <c r="N6" s="722">
        <f>Q20</f>
        <v>0.96</v>
      </c>
      <c r="O6" s="67" t="str">
        <f>IF($N$5="成新度","——",ROUND(M6*N6,0))</f>
        <v>——</v>
      </c>
      <c r="P6" s="68" t="str">
        <f>IF($N$5="成新度","——",M6-O6)</f>
        <v>——</v>
      </c>
      <c r="Q6" s="725">
        <v>0.2</v>
      </c>
      <c r="R6" s="69">
        <f ca="1">SUMIF('数据-汇总表'!C$19:C$33,A6,'数据-汇总表'!R$19:R$27)</f>
        <v>0</v>
      </c>
      <c r="S6" s="51">
        <f>IF('数据-汇总表'!$I$17="按面积比例",SUMIF('数据-汇总表'!C$19:C$33,A6,'数据-汇总表'!K$19:K$33),SUMIF('数据-汇总表'!C$19:C$33,A6,'数据-汇总表'!N$19:N$33))</f>
        <v>0</v>
      </c>
      <c r="T6" s="1163">
        <f>ROUND($L$14*S6/10000,0)</f>
        <v>0</v>
      </c>
      <c r="U6" s="3417">
        <v>4</v>
      </c>
      <c r="V6" s="70">
        <v>0.02</v>
      </c>
      <c r="W6" s="70">
        <v>0.1</v>
      </c>
      <c r="X6" s="1031"/>
      <c r="Y6" s="71">
        <f>N6</f>
        <v>0.96</v>
      </c>
      <c r="Z6" s="72"/>
      <c r="AA6" s="66"/>
      <c r="AB6" s="66"/>
      <c r="AC6" s="1031"/>
      <c r="AD6" s="73"/>
      <c r="AE6" s="1032">
        <f ca="1">IF(AN6="",0,SUMIF(INDIRECT("'"&amp;AN6&amp;"'"&amp;"!E:E"),$AE$5,INDIRECT("'"&amp;AN6&amp;"'"&amp;"!F:F")))</f>
        <v>34.369999999999997</v>
      </c>
      <c r="AF6" s="1339"/>
      <c r="AG6" s="132">
        <f>IF(AF6="",0,AE6-AF6)</f>
        <v>0</v>
      </c>
      <c r="AH6" s="74"/>
      <c r="AI6" s="76">
        <v>365</v>
      </c>
      <c r="AJ6" s="77"/>
      <c r="AK6" s="78">
        <v>1.4999999999999999E-2</v>
      </c>
      <c r="AL6" s="79">
        <v>1.5E-3</v>
      </c>
      <c r="AM6" s="80">
        <f>AK6</f>
        <v>1.4999999999999999E-2</v>
      </c>
      <c r="AN6" s="1706" t="s">
        <v>3404</v>
      </c>
      <c r="AO6" s="52">
        <f ca="1">SUMIF(INDIRECT("'"&amp;AN6&amp;"'"&amp;"!A:A"),"总价",INDIRECT("'"&amp;AN6&amp;"'"&amp;"!B:B"))</f>
        <v>79</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0.94199999999999995</v>
      </c>
      <c r="H16" s="90">
        <f>ROUND(SUMPRODUCT(H6:H13,K6:K13)/SUMPRODUCT((H6:H13&gt;0)*(K6:K13)),3)</f>
        <v>4.4999999999999998E-2</v>
      </c>
      <c r="I16" s="91"/>
      <c r="J16" s="91"/>
      <c r="K16" s="92">
        <f>SUM(K6:K15)</f>
        <v>35.409999999999997</v>
      </c>
      <c r="L16" s="93">
        <f>ROUND(M16*10000/SUM(K6:K14),0)</f>
        <v>3954</v>
      </c>
      <c r="M16" s="93">
        <f>SUM(M6:M14)</f>
        <v>14</v>
      </c>
      <c r="N16" s="94">
        <f>ROUND(SUMPRODUCT(M6:M14,N6:N14)/M16,3)</f>
        <v>0.96</v>
      </c>
      <c r="O16" s="93">
        <f>SUM(O6:O14)</f>
        <v>0</v>
      </c>
      <c r="P16" s="93">
        <f>SUM(P6:P14)</f>
        <v>0</v>
      </c>
      <c r="Q16" s="95">
        <f>ROUND(SUMPRODUCT(Q6:Q13,K6:K13)/SUMPRODUCT((Q6:Q13&gt;0)*(K6:K13)),2)</f>
        <v>0.2</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3462</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3389</v>
      </c>
      <c r="K19" s="3442" t="s">
        <v>3390</v>
      </c>
      <c r="L19" s="3442" t="s">
        <v>3391</v>
      </c>
      <c r="M19" s="2660"/>
      <c r="N19" s="3443" t="s">
        <v>3392</v>
      </c>
      <c r="O19" s="2660"/>
      <c r="P19" s="3452" t="s">
        <v>3401</v>
      </c>
      <c r="Q19" s="2660">
        <v>2022</v>
      </c>
      <c r="R19" s="2660"/>
      <c r="S19" s="2660"/>
      <c r="T19" s="2660"/>
      <c r="U19" s="2660" t="s">
        <v>3463</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2</v>
      </c>
      <c r="C20" s="2789" t="s">
        <v>2299</v>
      </c>
      <c r="D20" s="2665"/>
      <c r="E20" s="2662"/>
      <c r="F20" s="2662"/>
      <c r="G20" s="2662"/>
      <c r="H20" s="2662"/>
      <c r="I20" s="3444" t="s">
        <v>3393</v>
      </c>
      <c r="J20" s="3445">
        <f>J21+J22</f>
        <v>35.409999999999997</v>
      </c>
      <c r="K20" s="3446">
        <f>L20/J20</f>
        <v>1500</v>
      </c>
      <c r="L20" s="3446">
        <f>L21+L22</f>
        <v>53114.999999999993</v>
      </c>
      <c r="M20" s="2660"/>
      <c r="N20" s="3447">
        <v>0</v>
      </c>
      <c r="O20" s="2660"/>
      <c r="P20" s="3452" t="s">
        <v>3402</v>
      </c>
      <c r="Q20" s="3453">
        <f>ROUND(1-(1-2%)*(2024-Q19)/50,2)</f>
        <v>0.96</v>
      </c>
      <c r="R20" s="2660"/>
      <c r="S20" s="2660"/>
      <c r="T20" s="2660"/>
      <c r="U20" s="2660" t="s">
        <v>3466</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2</v>
      </c>
      <c r="C21" s="2662"/>
      <c r="D21" s="2665"/>
      <c r="E21" s="2662"/>
      <c r="F21" s="2662"/>
      <c r="G21" s="2662"/>
      <c r="H21" s="2662"/>
      <c r="I21" s="3448" t="s">
        <v>3394</v>
      </c>
      <c r="J21" s="3451">
        <f>K16</f>
        <v>35.409999999999997</v>
      </c>
      <c r="K21" s="3449">
        <v>1500</v>
      </c>
      <c r="L21" s="3449">
        <f>K21*J21</f>
        <v>53114.999999999993</v>
      </c>
      <c r="M21" s="2660"/>
      <c r="N21" s="2660"/>
      <c r="O21" s="2660"/>
      <c r="P21" s="3452" t="s">
        <v>3403</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2</v>
      </c>
      <c r="C22" s="2662"/>
      <c r="D22" s="2665"/>
      <c r="E22" s="2662"/>
      <c r="F22" s="2662"/>
      <c r="G22" s="2662"/>
      <c r="H22" s="2662"/>
      <c r="I22" s="3448" t="s">
        <v>3395</v>
      </c>
      <c r="J22" s="3449">
        <v>0</v>
      </c>
      <c r="K22" s="3449">
        <v>0</v>
      </c>
      <c r="L22" s="3449">
        <f t="shared" ref="L22:L25" si="12">K22*J22</f>
        <v>0</v>
      </c>
      <c r="M22" s="2660"/>
      <c r="N22" s="2660"/>
      <c r="O22" s="2660"/>
      <c r="P22" s="3452" t="s">
        <v>458</v>
      </c>
      <c r="Q22" s="2660">
        <f>ROUND((Q20+Q21)/2,3)</f>
        <v>0.88</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2</v>
      </c>
      <c r="C23" s="2662"/>
      <c r="D23" s="2665"/>
      <c r="E23" s="2662"/>
      <c r="F23" s="2662"/>
      <c r="G23" s="2662"/>
      <c r="H23" s="2662"/>
      <c r="I23" s="3444" t="s">
        <v>3396</v>
      </c>
      <c r="J23" s="3445">
        <f>J20</f>
        <v>35.409999999999997</v>
      </c>
      <c r="K23" s="3446">
        <v>500</v>
      </c>
      <c r="L23" s="3446">
        <f>K23*J23</f>
        <v>17705</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3397</v>
      </c>
      <c r="J24" s="3445">
        <f>J20</f>
        <v>35.409999999999997</v>
      </c>
      <c r="K24" s="3446">
        <v>1000</v>
      </c>
      <c r="L24" s="3446">
        <f>K24*J24</f>
        <v>35410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3398</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3399</v>
      </c>
      <c r="J26" s="2661">
        <f>J20</f>
        <v>35.409999999999997</v>
      </c>
      <c r="K26" s="3450">
        <f>L26/J26</f>
        <v>3000.0000000000005</v>
      </c>
      <c r="L26" s="3450">
        <f>L20+L23+L24+L25</f>
        <v>106230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1</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9" t="s">
        <v>2282</v>
      </c>
      <c r="B1" s="3560"/>
      <c r="C1" s="3560"/>
      <c r="D1" s="3560"/>
      <c r="E1" s="3560"/>
      <c r="F1" s="3560"/>
      <c r="G1" s="356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3426</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3426</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3427</v>
      </c>
      <c r="D7" s="2462"/>
      <c r="E7" s="2463"/>
      <c r="F7" s="2464" t="s">
        <v>2263</v>
      </c>
      <c r="G7" s="2465" t="s">
        <v>2264</v>
      </c>
      <c r="H7" s="790"/>
      <c r="I7" s="790"/>
      <c r="J7" s="790"/>
      <c r="K7" s="790"/>
      <c r="L7" s="790"/>
      <c r="M7" s="790"/>
      <c r="N7" s="790"/>
      <c r="O7" s="790"/>
      <c r="P7" s="790"/>
      <c r="Q7" s="790"/>
      <c r="R7" s="790"/>
    </row>
    <row r="8" spans="1:29">
      <c r="A8" s="2433"/>
      <c r="B8" s="317" t="s">
        <v>2261</v>
      </c>
      <c r="C8" s="3467" t="s">
        <v>3427</v>
      </c>
      <c r="D8" s="2462"/>
      <c r="E8" s="2462"/>
      <c r="F8" s="2466"/>
      <c r="G8" s="2466"/>
      <c r="H8" s="790"/>
      <c r="I8" s="790"/>
      <c r="J8" s="790"/>
      <c r="K8" s="790"/>
      <c r="L8" s="790"/>
      <c r="M8" s="790"/>
      <c r="N8" s="790"/>
      <c r="O8" s="790"/>
      <c r="P8" s="790"/>
      <c r="Q8" s="790"/>
      <c r="R8" s="790"/>
    </row>
    <row r="9" spans="1:29">
      <c r="A9" s="2433"/>
      <c r="B9" s="317" t="s">
        <v>2265</v>
      </c>
      <c r="C9" s="3466" t="s">
        <v>3427</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3428</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35.409999999999997</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45345</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88</v>
      </c>
      <c r="C5" s="2502">
        <f ca="1">IF(B5=D14,结果表!H102,ROUND(B5*10000/$B$1,0))</f>
        <v>24899</v>
      </c>
      <c r="D5" s="2502" t="e">
        <f ca="1">ROUND(B5*10000/$B$2,0)</f>
        <v>#DIV/0!</v>
      </c>
      <c r="E5" s="2675"/>
      <c r="F5" s="2676"/>
      <c r="G5" s="2676"/>
      <c r="H5" s="2677"/>
      <c r="I5" s="2677"/>
      <c r="J5" s="2677"/>
      <c r="K5" s="2677"/>
    </row>
    <row r="6" spans="1:11" ht="16.5">
      <c r="A6" s="2502" t="s">
        <v>656</v>
      </c>
      <c r="B6" s="2502">
        <f ca="1">SUM(G14:G23)</f>
        <v>88</v>
      </c>
      <c r="C6" s="2502">
        <f ca="1">IF(B6=G14,结果表!H108,ROUND(B6*10000/$B$1,0))</f>
        <v>24899</v>
      </c>
      <c r="D6" s="2502" t="e">
        <f ca="1">ROUND(B6*10000/$B$2,0)</f>
        <v>#DIV/0!</v>
      </c>
      <c r="E6" s="2675"/>
      <c r="F6" s="2676"/>
      <c r="G6" s="2676"/>
      <c r="H6" s="2677"/>
      <c r="I6" s="2677"/>
      <c r="J6" s="2677"/>
      <c r="K6" s="2677"/>
    </row>
    <row r="7" spans="1:11" ht="16.5">
      <c r="A7" s="2502" t="s">
        <v>664</v>
      </c>
      <c r="B7" s="2502">
        <f ca="1">SUM(H14:H23)</f>
        <v>88</v>
      </c>
      <c r="C7" s="2502" t="str">
        <f ca="1">IF(B7=H14,结果表!H110,ROUND(B7*10000/$B$1,0))</f>
        <v>——</v>
      </c>
      <c r="D7" s="2502" t="e">
        <f ca="1">ROUND(B7*10000/$B$2,0)</f>
        <v>#DIV/0!</v>
      </c>
      <c r="E7" s="2675"/>
      <c r="F7" s="2676"/>
      <c r="G7" s="2676"/>
      <c r="H7" s="2677"/>
      <c r="I7" s="2677"/>
      <c r="J7" s="2677"/>
      <c r="K7" s="2677"/>
    </row>
    <row r="8" spans="1:11" ht="16.5">
      <c r="A8" s="2502" t="s">
        <v>587</v>
      </c>
      <c r="B8" s="2502">
        <f ca="1">SUM(I14:I23)</f>
        <v>81</v>
      </c>
      <c r="C8" s="2502">
        <f ca="1">IF(B8=I14,结果表!H112,ROUND(B8*10000/$B$1,0))</f>
        <v>22875</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35.409999999999997</v>
      </c>
      <c r="C14" s="2508">
        <f>结果表!C118</f>
        <v>0</v>
      </c>
      <c r="D14" s="2508">
        <f ca="1">ROUND(E14*B14/10000,0)</f>
        <v>88</v>
      </c>
      <c r="E14" s="2508">
        <f ca="1">结果表!G20</f>
        <v>24899</v>
      </c>
      <c r="F14" s="2508" t="e">
        <f ca="1">ROUND(D14*10000/C14,0)</f>
        <v>#DIV/0!</v>
      </c>
      <c r="G14" s="2508">
        <f ca="1">D14</f>
        <v>88</v>
      </c>
      <c r="H14" s="2508">
        <f ca="1">G14</f>
        <v>88</v>
      </c>
      <c r="I14" s="2508">
        <f ca="1">结果表!H111</f>
        <v>81</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3419</v>
      </c>
      <c r="D1" s="1738"/>
      <c r="E1" s="1738"/>
      <c r="F1" s="1740" t="s">
        <v>1263</v>
      </c>
      <c r="G1" s="1552" t="s">
        <v>3414</v>
      </c>
      <c r="H1" s="1741" t="str">
        <f>IF(G1="现房","——","估价对象范围")</f>
        <v>——</v>
      </c>
      <c r="I1" s="1742" t="s">
        <v>3415</v>
      </c>
    </row>
    <row r="2" spans="1:12" ht="21.75" customHeight="1" thickBot="1">
      <c r="A2" s="3595" t="str">
        <f>项目基本情况!S2</f>
        <v>太原市保利东郡房地产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45" t="s">
        <v>1265</v>
      </c>
      <c r="B4" s="1746" t="s">
        <v>1266</v>
      </c>
      <c r="C4" s="1747" t="s">
        <v>3458</v>
      </c>
      <c r="D4" s="1747" t="s">
        <v>3470</v>
      </c>
      <c r="E4" s="3601" t="s">
        <v>1267</v>
      </c>
      <c r="F4" s="3602"/>
      <c r="G4" s="3602"/>
      <c r="H4" s="3602"/>
      <c r="I4" s="3603"/>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25" t="s">
        <v>1269</v>
      </c>
      <c r="F5" s="1748"/>
      <c r="G5" s="1748"/>
      <c r="H5" s="1748"/>
      <c r="I5" s="1364"/>
    </row>
    <row r="6" spans="1:12" ht="12.75">
      <c r="A6" s="3575"/>
      <c r="B6" s="3562"/>
      <c r="C6" s="3579"/>
      <c r="D6" s="3598"/>
      <c r="E6" s="125" t="s">
        <v>1270</v>
      </c>
      <c r="F6" s="1748"/>
      <c r="G6" s="1748"/>
      <c r="H6" s="1748"/>
      <c r="I6" s="1364"/>
    </row>
    <row r="7" spans="1:12" ht="12.75">
      <c r="A7" s="3575"/>
      <c r="B7" s="3562"/>
      <c r="C7" s="3580"/>
      <c r="D7" s="3598"/>
      <c r="E7" s="125" t="s">
        <v>1271</v>
      </c>
      <c r="F7" s="1748"/>
      <c r="G7" s="1748"/>
      <c r="H7" s="1748"/>
      <c r="I7" s="1364"/>
    </row>
    <row r="8" spans="1:12" ht="12.75">
      <c r="A8" s="3575" t="s">
        <v>1272</v>
      </c>
      <c r="B8" s="3562">
        <v>15</v>
      </c>
      <c r="C8" s="3578"/>
      <c r="D8" s="3598"/>
      <c r="E8" s="125" t="s">
        <v>1273</v>
      </c>
      <c r="F8" s="1748"/>
      <c r="G8" s="1748"/>
      <c r="H8" s="1748"/>
      <c r="I8" s="1364"/>
    </row>
    <row r="9" spans="1:12" ht="12.75">
      <c r="A9" s="3575"/>
      <c r="B9" s="3562"/>
      <c r="C9" s="3580"/>
      <c r="D9" s="3598"/>
      <c r="E9" s="125" t="s">
        <v>1274</v>
      </c>
      <c r="F9" s="1748"/>
      <c r="G9" s="1748"/>
      <c r="H9" s="1748"/>
      <c r="I9" s="1364"/>
    </row>
    <row r="10" spans="1:12" ht="12.75">
      <c r="A10" s="3575" t="s">
        <v>1275</v>
      </c>
      <c r="B10" s="3562">
        <v>15</v>
      </c>
      <c r="C10" s="3578"/>
      <c r="D10" s="3598"/>
      <c r="E10" s="125" t="s">
        <v>1276</v>
      </c>
      <c r="F10" s="1748"/>
      <c r="G10" s="1748"/>
      <c r="H10" s="1748"/>
      <c r="I10" s="1364"/>
    </row>
    <row r="11" spans="1:12" ht="12.75">
      <c r="A11" s="3575"/>
      <c r="B11" s="3562"/>
      <c r="C11" s="3580"/>
      <c r="D11" s="3598"/>
      <c r="E11" s="125" t="s">
        <v>1277</v>
      </c>
      <c r="F11" s="1748"/>
      <c r="G11" s="1748"/>
      <c r="H11" s="1748"/>
      <c r="I11" s="1364"/>
    </row>
    <row r="12" spans="1:12" ht="12.75">
      <c r="A12" s="3575" t="s">
        <v>1278</v>
      </c>
      <c r="B12" s="3562">
        <v>15</v>
      </c>
      <c r="C12" s="3578"/>
      <c r="D12" s="3598"/>
      <c r="E12" s="125" t="s">
        <v>1279</v>
      </c>
      <c r="F12" s="1748"/>
      <c r="G12" s="1748"/>
      <c r="H12" s="1748"/>
      <c r="I12" s="1364"/>
    </row>
    <row r="13" spans="1:12" ht="12.75">
      <c r="A13" s="3575"/>
      <c r="B13" s="3562"/>
      <c r="C13" s="3580"/>
      <c r="D13" s="3598"/>
      <c r="E13" s="125" t="s">
        <v>1280</v>
      </c>
      <c r="F13" s="1748"/>
      <c r="G13" s="1748"/>
      <c r="H13" s="1748"/>
      <c r="I13" s="1364"/>
    </row>
    <row r="14" spans="1:12" ht="12.75">
      <c r="A14" s="3575" t="s">
        <v>1281</v>
      </c>
      <c r="B14" s="3562">
        <v>30</v>
      </c>
      <c r="C14" s="3578">
        <v>6</v>
      </c>
      <c r="D14" s="3598">
        <v>4</v>
      </c>
      <c r="E14" s="125" t="s">
        <v>1282</v>
      </c>
      <c r="F14" s="1748"/>
      <c r="G14" s="1748"/>
      <c r="H14" s="1748"/>
      <c r="I14" s="1364"/>
    </row>
    <row r="15" spans="1:12" ht="12.75">
      <c r="A15" s="3575"/>
      <c r="B15" s="3562"/>
      <c r="C15" s="3579"/>
      <c r="D15" s="3598"/>
      <c r="E15" s="125" t="s">
        <v>1283</v>
      </c>
      <c r="F15" s="1748"/>
      <c r="G15" s="1748"/>
      <c r="H15" s="1748"/>
      <c r="I15" s="1364"/>
    </row>
    <row r="16" spans="1:12" ht="12.75">
      <c r="A16" s="3575"/>
      <c r="B16" s="3562"/>
      <c r="C16" s="3580"/>
      <c r="D16" s="3598"/>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585" t="s">
        <v>2131</v>
      </c>
      <c r="F18" s="3586"/>
      <c r="G18" s="3586"/>
      <c r="H18" s="3586"/>
      <c r="I18" s="3586"/>
      <c r="K18" s="296" t="s">
        <v>1289</v>
      </c>
      <c r="L18" s="296">
        <f>IF(C1="",'数据-汇总表'!E3,SUMIF(项目类型,C1,'数据-汇总表'!E17:E26)+SUMIF(项目类型,C1,'数据-汇总表'!I17:I26))</f>
        <v>35.409999999999997</v>
      </c>
      <c r="M18" s="296">
        <f>IF(C1="",'数据-汇总表'!E3,SUMIF(项目类型,C1,'数据-汇总表'!E17:E26))</f>
        <v>35.409999999999997</v>
      </c>
    </row>
    <row r="19" spans="1:36" ht="15">
      <c r="A19" s="1752" t="s">
        <v>1290</v>
      </c>
      <c r="B19" s="1753" t="s">
        <v>1291</v>
      </c>
      <c r="C19" s="128">
        <f ca="1">SUMIF(INDIRECT("'"&amp;C4&amp;"'"&amp;"!A:A"),结果表!B19,INDIRECT("'"&amp;C4&amp;"'"&amp;"!B:B"))</f>
        <v>101.1699</v>
      </c>
      <c r="D19" s="129">
        <f ca="1">SUMIF(INDIRECT("'"&amp;D4&amp;"'"&amp;"!A:A"),结果表!B19,INDIRECT("'"&amp;D4&amp;"'"&amp;"!B:B"))</f>
        <v>68.664500000000004</v>
      </c>
      <c r="E19" s="1752" t="s">
        <v>1292</v>
      </c>
      <c r="F19" s="1753" t="s">
        <v>1291</v>
      </c>
      <c r="G19" s="130">
        <f ca="1">ROUND(C19*$C$18+D19*$D$18,0)</f>
        <v>88</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28571</v>
      </c>
      <c r="D20" s="132">
        <f ca="1">SUMIF(INDIRECT("'"&amp;D4&amp;"'"&amp;"!A:A"),结果表!B20,INDIRECT("'"&amp;D4&amp;"'"&amp;"!B:B"))</f>
        <v>19391</v>
      </c>
      <c r="E20" s="1755"/>
      <c r="F20" s="1017" t="s">
        <v>1295</v>
      </c>
      <c r="G20" s="133">
        <f ca="1">ROUND(C20*$C$18+D20*$D$18,0)</f>
        <v>24899</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0.47339454885712406</v>
      </c>
      <c r="E22" s="123"/>
      <c r="F22" s="123"/>
      <c r="G22" s="123"/>
      <c r="H22" s="123"/>
      <c r="I22" s="123"/>
    </row>
    <row r="23" spans="1:36" ht="13.5" thickBot="1">
      <c r="A23" s="1738"/>
      <c r="B23" s="1738"/>
      <c r="C23" s="1738"/>
      <c r="D23" s="1738"/>
      <c r="E23" s="123"/>
      <c r="F23" s="123"/>
      <c r="G23" s="123"/>
      <c r="H23" s="123"/>
      <c r="I23" s="123"/>
    </row>
    <row r="24" spans="1:36" ht="14.25">
      <c r="A24" s="3569" t="s">
        <v>1299</v>
      </c>
      <c r="B24" s="1753" t="s">
        <v>1291</v>
      </c>
      <c r="C24" s="130">
        <f>IF(B30=0,0,D30)</f>
        <v>0</v>
      </c>
      <c r="D24" s="1760"/>
      <c r="E24" s="123"/>
      <c r="F24" s="123"/>
      <c r="G24" s="123"/>
      <c r="H24" s="123"/>
      <c r="I24" s="123"/>
    </row>
    <row r="25" spans="1:36" ht="14.25">
      <c r="A25" s="3570"/>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24899</v>
      </c>
      <c r="D32" s="1766" t="s">
        <v>3464</v>
      </c>
      <c r="E32" s="123"/>
      <c r="F32" s="123"/>
      <c r="G32" s="123"/>
      <c r="H32" s="123"/>
      <c r="I32" s="123"/>
    </row>
    <row r="33" spans="1:15" ht="15">
      <c r="A33" s="777" t="s">
        <v>1306</v>
      </c>
      <c r="B33" s="1767"/>
      <c r="C33" s="1768" t="s">
        <v>3465</v>
      </c>
      <c r="D33" s="1769" t="s">
        <v>3404</v>
      </c>
      <c r="E33" s="1770" t="s">
        <v>1307</v>
      </c>
      <c r="F33" s="1771" t="str">
        <f>IF(D32="楼面单价","取值（单价）","取值（总价）")</f>
        <v>取值（单价）</v>
      </c>
      <c r="G33" s="123"/>
      <c r="H33" s="123"/>
      <c r="I33" s="123"/>
    </row>
    <row r="34" spans="1:15" ht="15">
      <c r="A34" s="1772"/>
      <c r="B34" s="1773" t="s">
        <v>1308</v>
      </c>
      <c r="C34" s="142">
        <f ca="1">IF(C33="自定义",F34,C32-C35)</f>
        <v>18674</v>
      </c>
      <c r="D34" s="852">
        <f ca="1">IF(C33="自定义",ROUND(C34/C32,3),IF(C33="收益比率",SUMIF(INDIRECT("'"&amp;D33&amp;"'"&amp;"!b:b"),"土地收益比率",INDIRECT("'"&amp;D33&amp;"'"&amp;"!c:c")),SUMIF(INDIRECT("'"&amp;D33&amp;"'"&amp;"!b:b"),"土地成本比率",INDIRECT("'"&amp;D33&amp;"'"&amp;"!c:c"))))</f>
        <v>0.75</v>
      </c>
      <c r="E34" s="1774" t="s">
        <v>1309</v>
      </c>
      <c r="F34" s="1321"/>
      <c r="G34" s="123"/>
      <c r="H34" s="123"/>
      <c r="I34" s="123"/>
    </row>
    <row r="35" spans="1:15" ht="15.75" thickBot="1">
      <c r="A35" s="1775"/>
      <c r="B35" s="1776" t="s">
        <v>1310</v>
      </c>
      <c r="C35" s="1161">
        <f ca="1">IF(C33="自定义",F35,ROUND(C32*D35,0))</f>
        <v>6225</v>
      </c>
      <c r="D35" s="1162">
        <f ca="1">IF(C33="自定义",ROUND(C35/C32,3),IF(C33="收益比率",SUMIF(INDIRECT("'"&amp;D33&amp;"'"&amp;"!b:b"),"建筑物收益比率",INDIRECT("'"&amp;D33&amp;"'"&amp;"!c:c")),SUMIF(INDIRECT("'"&amp;D33&amp;"'"&amp;"!b:b"),"建筑物成本比率",INDIRECT("'"&amp;D33&amp;"'"&amp;"!c:c"))))</f>
        <v>0.25</v>
      </c>
      <c r="E35" s="1777" t="s">
        <v>1311</v>
      </c>
      <c r="F35" s="148"/>
      <c r="G35" s="123"/>
      <c r="H35" s="123"/>
      <c r="I35" s="123"/>
    </row>
    <row r="36" spans="1:15" ht="15.75" thickBot="1">
      <c r="A36" s="3589" t="s">
        <v>1312</v>
      </c>
      <c r="B36" s="1778" t="s">
        <v>1313</v>
      </c>
      <c r="C36" s="139"/>
      <c r="D36" s="1779"/>
      <c r="E36" s="1780"/>
      <c r="F36" s="1781"/>
      <c r="G36" s="123"/>
      <c r="H36" s="123"/>
      <c r="I36" s="123"/>
    </row>
    <row r="37" spans="1:15" ht="15.75" thickBot="1">
      <c r="A37" s="3590"/>
      <c r="B37" s="1665" t="s">
        <v>1314</v>
      </c>
      <c r="C37" s="141"/>
      <c r="D37" s="1130"/>
      <c r="E37" s="1130"/>
      <c r="F37" s="1781"/>
      <c r="G37" s="123"/>
      <c r="H37" s="123"/>
      <c r="I37" s="123"/>
    </row>
    <row r="38" spans="1:15" ht="15.75" thickBot="1">
      <c r="A38" s="3591"/>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6" t="s">
        <v>1326</v>
      </c>
      <c r="B45" s="3567"/>
      <c r="C45" s="3568"/>
      <c r="D45" s="149">
        <f ca="1">ROUND(H101*F45,0)</f>
        <v>88</v>
      </c>
      <c r="E45" s="150" t="s">
        <v>1327</v>
      </c>
      <c r="F45" s="151">
        <v>1</v>
      </c>
      <c r="G45" s="152" t="s">
        <v>1328</v>
      </c>
      <c r="H45" s="123"/>
      <c r="I45" s="123"/>
      <c r="J45" s="3644" t="s">
        <v>1329</v>
      </c>
      <c r="K45" s="3644"/>
      <c r="L45" s="3644"/>
      <c r="M45" s="3644"/>
      <c r="N45" s="3644"/>
      <c r="O45" s="3644"/>
    </row>
    <row r="46" spans="1:15" ht="14.25" customHeight="1">
      <c r="A46" s="3563" t="s">
        <v>1330</v>
      </c>
      <c r="B46" s="3564"/>
      <c r="C46" s="3564"/>
      <c r="D46" s="3564"/>
      <c r="E46" s="3564"/>
      <c r="F46" s="3564"/>
      <c r="G46" s="3565"/>
      <c r="H46" s="1797"/>
      <c r="I46" s="153"/>
      <c r="J46" s="2513">
        <v>1</v>
      </c>
      <c r="K46" s="3625" t="s">
        <v>1331</v>
      </c>
      <c r="L46" s="3625"/>
      <c r="M46" s="3645"/>
      <c r="N46" s="3645"/>
      <c r="O46" s="3645"/>
    </row>
    <row r="47" spans="1:15" ht="12" customHeight="1">
      <c r="A47" s="154" t="s">
        <v>1332</v>
      </c>
      <c r="B47" s="155"/>
      <c r="C47" s="156"/>
      <c r="D47" s="1078" t="s">
        <v>1333</v>
      </c>
      <c r="E47" s="296" t="s">
        <v>1334</v>
      </c>
      <c r="F47" s="157" t="s">
        <v>1335</v>
      </c>
      <c r="G47" s="2536" t="s">
        <v>1336</v>
      </c>
      <c r="H47" s="2537"/>
      <c r="I47" s="153"/>
      <c r="J47" s="2513">
        <v>2</v>
      </c>
      <c r="K47" s="3625" t="s">
        <v>1337</v>
      </c>
      <c r="L47" s="3625"/>
      <c r="M47" s="3646">
        <f>'数据-取费表'!B2</f>
        <v>45345</v>
      </c>
      <c r="N47" s="3646"/>
      <c r="O47" s="3646"/>
    </row>
    <row r="48" spans="1:15" ht="25.5">
      <c r="A48" s="3594" t="s">
        <v>1338</v>
      </c>
      <c r="B48" s="3577"/>
      <c r="C48" s="3577"/>
      <c r="D48" s="2315">
        <f ca="1">IF(H48="情况1",0,IF(H48="情况2",D52,IF(H48="情况3",D53,IF(H48="情况4",D54))))</f>
        <v>5</v>
      </c>
      <c r="E48" s="2325" t="str">
        <f>IF(H48="情况4","(销售额-原购置价)×税（费）率","销售额×税（费）率")</f>
        <v>(销售额-原购置价)×税（费）率</v>
      </c>
      <c r="F48" s="2538">
        <f>IF(H48="情况1","免征",'数据-取费表'!B41)</f>
        <v>5.5000000000000007E-2</v>
      </c>
      <c r="G48" s="2539" t="s">
        <v>1339</v>
      </c>
      <c r="H48" s="2540" t="s">
        <v>3459</v>
      </c>
      <c r="I48" s="1797"/>
      <c r="J48" s="2513">
        <v>3</v>
      </c>
      <c r="K48" s="3625" t="s">
        <v>1340</v>
      </c>
      <c r="L48" s="3625"/>
      <c r="M48" s="3647">
        <f ca="1">系统读取表!D14</f>
        <v>88</v>
      </c>
      <c r="N48" s="3647"/>
      <c r="O48" s="3647"/>
    </row>
    <row r="49" spans="1:35" ht="25.5" customHeight="1">
      <c r="A49" s="2324" t="s">
        <v>1341</v>
      </c>
      <c r="B49" s="3561" t="s">
        <v>1342</v>
      </c>
      <c r="C49" s="3561"/>
      <c r="D49" s="1581">
        <v>0</v>
      </c>
      <c r="E49" s="318" t="s">
        <v>1343</v>
      </c>
      <c r="F49" s="2415" t="s">
        <v>28</v>
      </c>
      <c r="G49" s="3631"/>
      <c r="H49" s="2301" t="s">
        <v>2134</v>
      </c>
      <c r="I49" s="2302"/>
      <c r="J49" s="2513">
        <v>4</v>
      </c>
      <c r="K49" s="3625" t="str">
        <f>IF(项目基本情况!E8="房地产抵押价值","房地产抵押价值","抵押担保权已注销时的房地产抵押价值")</f>
        <v>房地产抵押价值</v>
      </c>
      <c r="L49" s="3625"/>
      <c r="M49" s="3647">
        <f ca="1">M48</f>
        <v>88</v>
      </c>
      <c r="N49" s="3647"/>
      <c r="O49" s="3647"/>
    </row>
    <row r="50" spans="1:35" ht="25.5" customHeight="1">
      <c r="A50" s="2541"/>
      <c r="B50" s="3561" t="s">
        <v>1344</v>
      </c>
      <c r="C50" s="3561"/>
      <c r="D50" s="2542"/>
      <c r="E50" s="326"/>
      <c r="F50" s="2415"/>
      <c r="G50" s="3632"/>
      <c r="H50" s="2303" t="s">
        <v>2135</v>
      </c>
      <c r="I50" s="2302"/>
      <c r="J50" s="3644" t="s">
        <v>1345</v>
      </c>
      <c r="K50" s="3644"/>
      <c r="L50" s="3644"/>
      <c r="M50" s="3644"/>
      <c r="N50" s="3644"/>
      <c r="O50" s="3644"/>
    </row>
    <row r="51" spans="1:35" ht="20.45" customHeight="1">
      <c r="A51" s="2543"/>
      <c r="B51" s="3561" t="s">
        <v>1346</v>
      </c>
      <c r="C51" s="3561"/>
      <c r="D51" s="1078"/>
      <c r="E51" s="321"/>
      <c r="F51" s="2415"/>
      <c r="G51" s="3633"/>
      <c r="H51" s="2303" t="s">
        <v>2136</v>
      </c>
      <c r="I51" s="2302"/>
      <c r="J51" s="2514" t="s">
        <v>1347</v>
      </c>
      <c r="K51" s="3625" t="s">
        <v>1348</v>
      </c>
      <c r="L51" s="3625"/>
      <c r="M51" s="2514" t="s">
        <v>1349</v>
      </c>
      <c r="N51" s="2514" t="s">
        <v>1350</v>
      </c>
      <c r="O51" s="2514" t="s">
        <v>1351</v>
      </c>
    </row>
    <row r="52" spans="1:35" ht="24" customHeight="1">
      <c r="A52" s="2326" t="s">
        <v>1352</v>
      </c>
      <c r="B52" s="3561" t="s">
        <v>1353</v>
      </c>
      <c r="C52" s="3561"/>
      <c r="D52" s="1078">
        <f ca="1">ROUND(D45*'数据-取费表'!B41/(1+'数据-取费表'!C42),0)</f>
        <v>5</v>
      </c>
      <c r="E52" s="2325" t="s">
        <v>1354</v>
      </c>
      <c r="F52" s="2544">
        <f>'数据-取费表'!B41</f>
        <v>5.5000000000000007E-2</v>
      </c>
      <c r="G52" s="2545"/>
      <c r="H52" s="2534"/>
      <c r="I52" s="1798"/>
      <c r="J52" s="2513">
        <v>1</v>
      </c>
      <c r="K52" s="3626" t="s">
        <v>1355</v>
      </c>
      <c r="L52" s="3626"/>
      <c r="M52" s="2515">
        <f ca="1">D48</f>
        <v>5</v>
      </c>
      <c r="N52" s="2513" t="str">
        <f>E48</f>
        <v>(销售额-原购置价)×税（费）率</v>
      </c>
      <c r="O52" s="2516">
        <f>F48</f>
        <v>5.5000000000000007E-2</v>
      </c>
    </row>
    <row r="53" spans="1:35" ht="12" customHeight="1">
      <c r="A53" s="2326" t="s">
        <v>1356</v>
      </c>
      <c r="B53" s="3587" t="s">
        <v>2287</v>
      </c>
      <c r="C53" s="3588"/>
      <c r="D53" s="1078">
        <f ca="1">ROUND(D45*'数据-取费表'!B41/(1+'数据-取费表'!C42),0)</f>
        <v>5</v>
      </c>
      <c r="E53" s="2325" t="s">
        <v>1354</v>
      </c>
      <c r="F53" s="2544">
        <f>'数据-取费表'!B41</f>
        <v>5.5000000000000007E-2</v>
      </c>
      <c r="G53" s="2545"/>
      <c r="H53" s="2534"/>
      <c r="I53" s="1798"/>
      <c r="J53" s="2513">
        <v>2</v>
      </c>
      <c r="K53" s="3626" t="s">
        <v>1357</v>
      </c>
      <c r="L53" s="3626"/>
      <c r="M53" s="2515">
        <f t="shared" ref="M53:O54" ca="1" si="0">D55</f>
        <v>0</v>
      </c>
      <c r="N53" s="2513" t="str">
        <f t="shared" si="0"/>
        <v>销售额×税（费）率</v>
      </c>
      <c r="O53" s="2516">
        <f t="shared" si="0"/>
        <v>5.0000000000000001E-4</v>
      </c>
    </row>
    <row r="54" spans="1:35" ht="12" customHeight="1">
      <c r="A54" s="2326" t="s">
        <v>1358</v>
      </c>
      <c r="B54" s="3587" t="s">
        <v>2288</v>
      </c>
      <c r="C54" s="3588"/>
      <c r="D54" s="1078">
        <f ca="1">C68</f>
        <v>5</v>
      </c>
      <c r="E54" s="321" t="s">
        <v>1359</v>
      </c>
      <c r="F54" s="2544">
        <f>'数据-取费表'!B41</f>
        <v>5.5000000000000007E-2</v>
      </c>
      <c r="G54" s="2545"/>
      <c r="H54" s="2546"/>
      <c r="I54" s="1798"/>
      <c r="J54" s="2513">
        <v>3</v>
      </c>
      <c r="K54" s="3626" t="s">
        <v>1360</v>
      </c>
      <c r="L54" s="3626"/>
      <c r="M54" s="2515">
        <f t="shared" ca="1" si="0"/>
        <v>1</v>
      </c>
      <c r="N54" s="2513" t="str">
        <f t="shared" si="0"/>
        <v>增值额×税（费）率</v>
      </c>
      <c r="O54" s="2517" t="str">
        <f t="shared" si="0"/>
        <v>——</v>
      </c>
    </row>
    <row r="55" spans="1:35" ht="24" customHeight="1">
      <c r="A55" s="3576" t="s">
        <v>1361</v>
      </c>
      <c r="B55" s="3577"/>
      <c r="C55" s="3577"/>
      <c r="D55" s="2315">
        <f ca="1">IF(H55="个人住宅",0,ROUND(D45*I55,0))</f>
        <v>0</v>
      </c>
      <c r="E55" s="2325" t="s">
        <v>1362</v>
      </c>
      <c r="F55" s="2544">
        <f>IF(H55="正常",I55,"免征")</f>
        <v>5.0000000000000001E-4</v>
      </c>
      <c r="G55" s="2545"/>
      <c r="H55" s="2540" t="s">
        <v>3424</v>
      </c>
      <c r="I55" s="159">
        <f>'数据-取费表'!B49</f>
        <v>5.0000000000000001E-4</v>
      </c>
      <c r="J55" s="2513">
        <f>IF(H59="非个人房产","",4)</f>
        <v>4</v>
      </c>
      <c r="K55" s="3626" t="str">
        <f>IF(H59="非个人房产","——","个人所得税")</f>
        <v>个人所得税</v>
      </c>
      <c r="L55" s="3626"/>
      <c r="M55" s="2518">
        <f ca="1">D59</f>
        <v>1</v>
      </c>
      <c r="N55" s="2031" t="str">
        <f>E59</f>
        <v>销售额×税（费）率</v>
      </c>
      <c r="O55" s="2519">
        <f>F59</f>
        <v>0.01</v>
      </c>
    </row>
    <row r="56" spans="1:35" ht="24.75">
      <c r="A56" s="3576" t="s">
        <v>1363</v>
      </c>
      <c r="B56" s="3577"/>
      <c r="C56" s="3577"/>
      <c r="D56" s="3470">
        <f ca="1">ROUND(D45/1.05*0.01,0)</f>
        <v>1</v>
      </c>
      <c r="E56" s="2325" t="s">
        <v>1364</v>
      </c>
      <c r="F56" s="2544" t="str">
        <f>IF(H56="正常",F58,"免征")</f>
        <v>——</v>
      </c>
      <c r="G56" s="2547" t="s">
        <v>1365</v>
      </c>
      <c r="H56" s="2548" t="s">
        <v>3424</v>
      </c>
      <c r="I56" s="1799"/>
      <c r="J56" s="2513" t="str">
        <f>IF(项目基本情况!K6="上海银行",IF(J55="",4,J55+1),"")</f>
        <v/>
      </c>
      <c r="K56" s="3649" t="str">
        <f>IF(项目基本情况!K6="上海银行","其他处置费用","")</f>
        <v/>
      </c>
      <c r="L56" s="3650"/>
      <c r="M56" s="2515" t="str">
        <f>IF(项目基本情况!K6="上海银行",M69,"")</f>
        <v/>
      </c>
      <c r="N56" s="3649" t="str">
        <f>IF(项目基本情况!K6="上海银行","包含处置中涉及的律师、诉讼、拍卖、评估等费用","")</f>
        <v/>
      </c>
      <c r="O56" s="3652"/>
    </row>
    <row r="57" spans="1:35" ht="12.75">
      <c r="A57" s="2326" t="s">
        <v>1341</v>
      </c>
      <c r="B57" s="3587" t="s">
        <v>1366</v>
      </c>
      <c r="C57" s="3588"/>
      <c r="D57" s="1581">
        <v>0</v>
      </c>
      <c r="E57" s="318" t="s">
        <v>1343</v>
      </c>
      <c r="F57" s="296"/>
      <c r="G57" s="2545"/>
      <c r="H57" s="2549"/>
      <c r="I57" s="1799"/>
      <c r="J57" s="3626">
        <f>IF(AND(J55="",J56=""),4,IF(项目基本情况!K6="上海银行",结果表!J56+1,结果表!J55+1))</f>
        <v>5</v>
      </c>
      <c r="K57" s="3626" t="s">
        <v>1367</v>
      </c>
      <c r="L57" s="2520" t="s">
        <v>1368</v>
      </c>
      <c r="M57" s="2521"/>
      <c r="N57" s="2522">
        <f ca="1">SUMIF(M52:M56,"&lt;9e307")</f>
        <v>7</v>
      </c>
      <c r="O57" s="2523"/>
      <c r="P57" s="2679">
        <f ca="1">N57/M49</f>
        <v>7.9545454545454544E-2</v>
      </c>
    </row>
    <row r="58" spans="1:35" ht="24.75">
      <c r="A58" s="2326" t="s">
        <v>1352</v>
      </c>
      <c r="B58" s="3587" t="s">
        <v>1369</v>
      </c>
      <c r="C58" s="3561"/>
      <c r="D58" s="2315" t="e">
        <f ca="1">IF(H58="转让取得",C81,C97)</f>
        <v>#DIV/0!</v>
      </c>
      <c r="E58" s="2325" t="s">
        <v>1364</v>
      </c>
      <c r="F58" s="296" t="s">
        <v>28</v>
      </c>
      <c r="G58" s="2545"/>
      <c r="H58" s="2548" t="s">
        <v>3460</v>
      </c>
      <c r="I58" s="1799"/>
      <c r="J58" s="3626"/>
      <c r="K58" s="3626"/>
      <c r="L58" s="2520" t="s">
        <v>1370</v>
      </c>
      <c r="M58" s="2524"/>
      <c r="N58" s="2525" t="str">
        <f ca="1">NUMBERSTRING(INT(N57*10000),2)&amp;"元整"</f>
        <v>柒万元整</v>
      </c>
      <c r="O58" s="2526"/>
    </row>
    <row r="59" spans="1:35" ht="26.25" thickBot="1">
      <c r="A59" s="3629" t="s">
        <v>1371</v>
      </c>
      <c r="B59" s="3630"/>
      <c r="C59" s="3630"/>
      <c r="D59" s="2550">
        <f ca="1">IF(H59="非个人房产","——",IF(H59="个人住宅（满五唯一有凭证）",0,IF(H59="个人其他（无凭证）",ROUND(D45*F59,0),ROUND(C67*F59,0))))</f>
        <v>1</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3461</v>
      </c>
      <c r="I59" s="2304" t="s">
        <v>2137</v>
      </c>
      <c r="J59" s="3627">
        <f>J57+1</f>
        <v>6</v>
      </c>
      <c r="K59" s="3626" t="s">
        <v>1372</v>
      </c>
      <c r="L59" s="2513" t="s">
        <v>1368</v>
      </c>
      <c r="M59" s="2527"/>
      <c r="N59" s="2528">
        <f ca="1">M49-N57</f>
        <v>81</v>
      </c>
      <c r="O59" s="2529"/>
    </row>
    <row r="60" spans="1:35" ht="12" customHeight="1">
      <c r="A60" s="1800"/>
      <c r="B60" s="1738"/>
      <c r="C60" s="1738"/>
      <c r="D60" s="1738"/>
      <c r="E60" s="1569"/>
      <c r="F60" s="1799"/>
      <c r="G60" s="1799"/>
      <c r="H60" s="1801"/>
      <c r="I60" s="123"/>
      <c r="J60" s="3628"/>
      <c r="K60" s="3626"/>
      <c r="L60" s="2520" t="s">
        <v>1370</v>
      </c>
      <c r="M60" s="2524"/>
      <c r="N60" s="2525" t="str">
        <f ca="1">NUMBERSTRING(INT(N59*10000),2)&amp;"元整"</f>
        <v>捌拾壹万元整</v>
      </c>
      <c r="O60" s="2526"/>
    </row>
    <row r="61" spans="1:35" ht="13.5" thickBot="1">
      <c r="A61" s="3574" t="s">
        <v>1373</v>
      </c>
      <c r="B61" s="3574"/>
      <c r="C61" s="3574"/>
      <c r="D61" s="3574"/>
      <c r="E61" s="3574"/>
      <c r="F61" s="1799"/>
      <c r="G61" s="1799"/>
      <c r="H61" s="1801"/>
      <c r="I61" s="123"/>
      <c r="J61" s="2513">
        <f>J59+1</f>
        <v>7</v>
      </c>
      <c r="K61" s="3626" t="s">
        <v>1374</v>
      </c>
      <c r="L61" s="3626"/>
      <c r="M61" s="2530"/>
      <c r="N61" s="2531">
        <f ca="1">ROUND(N59*10000/'数据-汇总表'!E3,0)</f>
        <v>22875</v>
      </c>
      <c r="O61" s="2532"/>
    </row>
    <row r="62" spans="1:35" ht="12.75">
      <c r="A62" s="3592" t="s">
        <v>1375</v>
      </c>
      <c r="B62" s="3593"/>
      <c r="C62" s="2012"/>
      <c r="D62" s="2012" t="s">
        <v>1376</v>
      </c>
      <c r="E62" s="160" t="s">
        <v>1377</v>
      </c>
      <c r="F62" s="1799"/>
      <c r="G62" s="1799"/>
      <c r="H62" s="1801"/>
      <c r="I62" s="123"/>
    </row>
    <row r="63" spans="1:35" ht="12.75">
      <c r="A63" s="167" t="s">
        <v>330</v>
      </c>
      <c r="B63" s="161" t="s">
        <v>1378</v>
      </c>
      <c r="C63" s="2554">
        <f ca="1">ROUND((C64+C65)/(1+'数据-取费表'!C42),0)</f>
        <v>84</v>
      </c>
      <c r="D63" s="161"/>
      <c r="E63" s="162"/>
      <c r="F63" s="1799"/>
      <c r="G63" s="1799"/>
      <c r="H63" s="1801"/>
      <c r="I63" s="123"/>
      <c r="J63" s="3651" t="s">
        <v>1379</v>
      </c>
      <c r="K63" s="1323" t="s">
        <v>1380</v>
      </c>
      <c r="L63" s="1323">
        <f ca="1">IF(M49&gt;10000,M49*0.5%,IF(AND(M49&gt;1000,M49&lt;=10000),M49*1%,IF(AND(M49&gt;100,M49&lt;=1000),M49*3%,IF(AND(M49&gt;10,M49&lt;=100),M49*5%,M49*8%))))</f>
        <v>4.4000000000000004</v>
      </c>
      <c r="M63" s="296">
        <f ca="1">ROUND(L63,1)</f>
        <v>4.4000000000000004</v>
      </c>
      <c r="N63" s="2533"/>
      <c r="Z63" s="1743"/>
      <c r="AI63" s="1744"/>
    </row>
    <row r="64" spans="1:35" ht="14.25" customHeight="1">
      <c r="A64" s="163" t="s">
        <v>325</v>
      </c>
      <c r="B64" s="164" t="s">
        <v>1381</v>
      </c>
      <c r="C64" s="2555">
        <f ca="1">D45</f>
        <v>88</v>
      </c>
      <c r="D64" s="164" t="s">
        <v>26</v>
      </c>
      <c r="E64" s="166"/>
      <c r="F64" s="1799"/>
      <c r="G64" s="1799"/>
      <c r="H64" s="1801"/>
      <c r="I64" s="123"/>
      <c r="J64" s="3651"/>
      <c r="K64" s="1323" t="s">
        <v>1382</v>
      </c>
      <c r="L64" s="1323">
        <f ca="1">IF(M49&gt;2000,M49*0.5%,IF(AND(M49&gt;1000,M49&lt;=2000),M49*0.6%,IF(AND(M49&gt;500,M49&lt;=1000),M49*0.7%,IF(AND(M49&gt;200,M49&lt;=500),M49*0.8%,IF(AND(M49&gt;100,M49&lt;=200),M49*0.9%,IF(AND(M49&gt;50,M49&lt;=100),M49*1%,IF(AND(M49&gt;20,M49&lt;=50),M49*1.5%,IF(AND(M49&gt;10,M49&lt;=20),M49*2%,IF(AND(M49&gt;1,M49&lt;=10),M49*2.5%)))))))))</f>
        <v>0.88</v>
      </c>
      <c r="M64" s="296">
        <f t="shared" ref="M64:M65" ca="1" si="1">ROUND(L64,1)</f>
        <v>0.9</v>
      </c>
      <c r="N64" s="2534" t="s">
        <v>1383</v>
      </c>
      <c r="Z64" s="1743"/>
      <c r="AI64" s="1744"/>
    </row>
    <row r="65" spans="1:35" ht="14.25" customHeight="1">
      <c r="A65" s="163" t="s">
        <v>326</v>
      </c>
      <c r="B65" s="164" t="s">
        <v>1384</v>
      </c>
      <c r="C65" s="2556"/>
      <c r="D65" s="164"/>
      <c r="E65" s="166"/>
      <c r="F65" s="1799"/>
      <c r="G65" s="1799"/>
      <c r="H65" s="1801"/>
      <c r="I65" s="123"/>
      <c r="J65" s="3651"/>
      <c r="K65" s="1323" t="s">
        <v>1385</v>
      </c>
      <c r="L65" s="1323">
        <f ca="1">IF(M49&gt;1000,M49*0.1%,IF(AND(M49&gt;500,M49&lt;=1000),M49*0.5%,IF(AND(M49&gt;50,M49&lt;=500),M49*1%,IF(AND(M49&gt;1,M49&lt;=50),M49*1.5%))))</f>
        <v>0.88</v>
      </c>
      <c r="M65" s="296">
        <f t="shared" ca="1" si="1"/>
        <v>0.9</v>
      </c>
      <c r="N65" s="2534" t="s">
        <v>1383</v>
      </c>
      <c r="Z65" s="1743"/>
      <c r="AI65" s="1744"/>
    </row>
    <row r="66" spans="1:35" ht="14.25" customHeight="1">
      <c r="A66" s="167" t="s">
        <v>327</v>
      </c>
      <c r="B66" s="168" t="s">
        <v>1386</v>
      </c>
      <c r="C66" s="2557"/>
      <c r="D66" s="168" t="s">
        <v>26</v>
      </c>
      <c r="E66" s="1329" t="s">
        <v>671</v>
      </c>
      <c r="F66" s="1799"/>
      <c r="G66" s="1799"/>
      <c r="H66" s="1801"/>
      <c r="I66" s="123"/>
      <c r="J66" s="3651"/>
      <c r="K66" s="1323" t="s">
        <v>1387</v>
      </c>
      <c r="L66" s="1323">
        <f ca="1">M49*0.5%</f>
        <v>0.44</v>
      </c>
      <c r="M66" s="296">
        <f ca="1">IF(L66&gt;0.5,0.5,ROUND(L66,0))</f>
        <v>0</v>
      </c>
      <c r="N66" s="2534" t="s">
        <v>1388</v>
      </c>
      <c r="Z66" s="1743"/>
      <c r="AI66" s="1744"/>
    </row>
    <row r="67" spans="1:35" ht="14.25" customHeight="1">
      <c r="A67" s="167" t="s">
        <v>328</v>
      </c>
      <c r="B67" s="168" t="s">
        <v>1389</v>
      </c>
      <c r="C67" s="2558">
        <f ca="1">C63-C66</f>
        <v>84</v>
      </c>
      <c r="D67" s="164" t="s">
        <v>26</v>
      </c>
      <c r="E67" s="166"/>
      <c r="F67" s="1799"/>
      <c r="G67" s="1799"/>
      <c r="H67" s="1801"/>
      <c r="I67" s="123"/>
      <c r="J67" s="3651"/>
      <c r="K67" s="1323" t="s">
        <v>1390</v>
      </c>
      <c r="L67" s="1323">
        <f ca="1">IF(M49&gt;=10000,(8.25+(M49-10000)*0.01%),IF(AND(M49&gt;=8000,M49&lt;10000),(7.85+(M49-8000)*0.02%),IF(AND(M49&gt;=5000,M49&lt;8000),(6.65+(M49-5000)*0.04%),IF(AND(M49&gt;=2000,M49&lt;5000),(4.25+(PM49-2000)*0.08%),IF(AND(M49&gt;=1000,M49&lt;2000),(2.75+(M49-1000)*0.15%),IF(AND(M49&gt;=100,M49&lt;1000),(0.5+(M49-100)*0.25%),IF(AND(M49&gt;0,M49&lt;100),M49*0.5%)))))))</f>
        <v>0.44</v>
      </c>
      <c r="M67" s="296">
        <f ca="1">ROUND(L67*0.9,1)</f>
        <v>0.4</v>
      </c>
      <c r="N67" s="2533"/>
      <c r="Z67" s="1743"/>
      <c r="AI67" s="1744"/>
    </row>
    <row r="68" spans="1:35" ht="14.25" customHeight="1" thickBot="1">
      <c r="A68" s="170" t="s">
        <v>329</v>
      </c>
      <c r="B68" s="171" t="s">
        <v>1391</v>
      </c>
      <c r="C68" s="2559">
        <f ca="1">IF(C67&lt;=0,0,ROUND(C67*D68,0))</f>
        <v>5</v>
      </c>
      <c r="D68" s="2560">
        <f>'数据-取费表'!B41</f>
        <v>5.5000000000000007E-2</v>
      </c>
      <c r="E68" s="172"/>
      <c r="F68" s="1799"/>
      <c r="G68" s="1799"/>
      <c r="H68" s="1801"/>
      <c r="I68" s="123"/>
      <c r="J68" s="3651"/>
      <c r="K68" s="1323" t="s">
        <v>1392</v>
      </c>
      <c r="L68" s="1323">
        <f ca="1">IF(M49&gt;10000,M49*0.5%,IF(AND(M49&gt;5000,M49&lt;=10000),M49*1%,IF(AND(M49&gt;1000,M49&lt;=5000),M49*2%,IF(AND(M49&gt;200,M49&lt;=1000),M49*3%,M49*5%))))</f>
        <v>4.4000000000000004</v>
      </c>
      <c r="M68" s="296">
        <f ca="1">ROUND(L68,1)</f>
        <v>4.4000000000000004</v>
      </c>
      <c r="N68" s="2533"/>
      <c r="Z68" s="1743"/>
      <c r="AI68" s="1744"/>
    </row>
    <row r="69" spans="1:35" s="1763" customFormat="1" ht="16.5" customHeight="1">
      <c r="A69" s="1802"/>
      <c r="B69" s="1803"/>
      <c r="C69" s="1804"/>
      <c r="D69" s="1805"/>
      <c r="E69" s="1806"/>
      <c r="F69" s="1569"/>
      <c r="G69" s="1569"/>
      <c r="H69" s="1568"/>
      <c r="I69" s="1738"/>
      <c r="J69" s="3651"/>
      <c r="K69" s="1323" t="s">
        <v>1393</v>
      </c>
      <c r="L69" s="1323"/>
      <c r="M69" s="296">
        <f ca="1">ROUND(SUM(M63:M68),0)</f>
        <v>11</v>
      </c>
      <c r="N69" s="2535">
        <f ca="1">M69/M49</f>
        <v>0.125</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3" t="s">
        <v>1394</v>
      </c>
      <c r="B70" s="3614"/>
      <c r="C70" s="3614"/>
      <c r="D70" s="3614"/>
      <c r="E70" s="3614"/>
      <c r="F70" s="3614"/>
      <c r="G70" s="3614"/>
      <c r="H70" s="3614"/>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2" t="s">
        <v>1375</v>
      </c>
      <c r="B71" s="3593"/>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84</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0</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587" t="s">
        <v>1402</v>
      </c>
      <c r="F76" s="3561"/>
      <c r="G76" s="3561"/>
      <c r="H76" s="3612"/>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0</v>
      </c>
      <c r="D78" s="2567">
        <f>'数据-取费表'!B43</f>
        <v>5.000000000000001E-3</v>
      </c>
      <c r="E78" s="3571" t="s">
        <v>1406</v>
      </c>
      <c r="F78" s="3572"/>
      <c r="G78" s="3572"/>
      <c r="H78" s="3581"/>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84</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t="e">
        <f ca="1">IF(C79&lt;=0,0,C79/C73)</f>
        <v>#DIV/0!</v>
      </c>
      <c r="D80" s="164" t="s">
        <v>26</v>
      </c>
      <c r="E80" s="2315" t="e">
        <f ca="1">IF(C80&gt;=200%,"增值额超过扣除项目金额200%",IF(C80&gt;=100%,"增值额超过扣除项目金额100%，未超过200%",IF(C80&gt;=50%,"增值额超过扣除项目金额50%，未超过100%",IF(C80&lt;50%,"增值额未超过扣除项目金额50%"))))</f>
        <v>#DIV/0!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t="e">
        <f ca="1">ROUND(IF(C79&lt;=0,0,IF(C80&gt;=200%,C79*60%-C73*35%,IF(C80&gt;=100%,C79*50%-C73*15%,IF(C80&gt;=50%,C79*40%-C73*5%,IF(C80&lt;50%,C79*30%,0))))),0)</f>
        <v>#DIV/0!</v>
      </c>
      <c r="D81" s="2570" t="s">
        <v>26</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3" t="s">
        <v>1410</v>
      </c>
      <c r="B83" s="3614"/>
      <c r="C83" s="3614"/>
      <c r="D83" s="3614"/>
      <c r="E83" s="3614"/>
      <c r="F83" s="3614"/>
      <c r="G83" s="3614"/>
      <c r="H83" s="3614"/>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2" t="s">
        <v>1375</v>
      </c>
      <c r="B84" s="3593"/>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84</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0</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653" t="s">
        <v>2129</v>
      </c>
      <c r="H90" s="3654"/>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571" t="s">
        <v>1419</v>
      </c>
      <c r="F91" s="3572"/>
      <c r="G91" s="3572"/>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571" t="s">
        <v>1422</v>
      </c>
      <c r="F92" s="3572"/>
      <c r="G92" s="3572"/>
      <c r="H92" s="3581"/>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0</v>
      </c>
      <c r="D93" s="2567">
        <f>'数据-取费表'!B43</f>
        <v>5.000000000000001E-3</v>
      </c>
      <c r="E93" s="3571" t="s">
        <v>1406</v>
      </c>
      <c r="F93" s="3572"/>
      <c r="G93" s="3572"/>
      <c r="H93" s="3581"/>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582" t="s">
        <v>1426</v>
      </c>
      <c r="F94" s="3583"/>
      <c r="G94" s="3583"/>
      <c r="H94" s="358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84</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t="e">
        <f ca="1">IF(C95&lt;=0,0,C95/C86)</f>
        <v>#DIV/0!</v>
      </c>
      <c r="D96" s="164" t="s">
        <v>26</v>
      </c>
      <c r="E96" s="2315" t="e">
        <f ca="1">IF(C96&gt;=200%,"增值额超过扣除项目金额200%",IF(C96&gt;=100%,"增值额超过扣除项目金额100%，未超过200%",IF(C96&gt;=50%,"增值额超过扣除项目金额50%，未超过100%",IF(C96&lt;50%,"增值额未超过扣除项目金额50%"))))</f>
        <v>#DIV/0!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t="e">
        <f ca="1">ROUND(IF(C95&lt;=0,0,IF(C96&gt;=200%,C95*60%-C86*35%,IF(C96&gt;=100%,C95*50%-C86*15%,IF(C96&gt;=50%,C95*40%-C86*5%,IF(C96&lt;50%,C95*30%,0))))),0)</f>
        <v>#DIV/0!</v>
      </c>
      <c r="D97" s="2570" t="s">
        <v>26</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5" t="s">
        <v>1428</v>
      </c>
      <c r="B100" s="3556"/>
      <c r="C100" s="3556"/>
      <c r="D100" s="3573"/>
      <c r="E100" s="3556" t="s">
        <v>1429</v>
      </c>
      <c r="F100" s="3556"/>
      <c r="G100" s="3556"/>
      <c r="H100" s="3573"/>
      <c r="I100" s="123"/>
    </row>
    <row r="101" spans="1:35" ht="18.75" customHeight="1">
      <c r="A101" s="3634" t="s">
        <v>1430</v>
      </c>
      <c r="B101" s="3635"/>
      <c r="C101" s="2575" t="str">
        <f>C4</f>
        <v>比较法-商业</v>
      </c>
      <c r="D101" s="2576" t="str">
        <f>D4</f>
        <v>收益法 (元)</v>
      </c>
      <c r="E101" s="3648" t="s">
        <v>1431</v>
      </c>
      <c r="F101" s="3605"/>
      <c r="G101" s="1818" t="s">
        <v>1432</v>
      </c>
      <c r="H101" s="2585">
        <f ca="1">H118</f>
        <v>88</v>
      </c>
      <c r="I101" s="123"/>
    </row>
    <row r="102" spans="1:35" ht="18.75" customHeight="1">
      <c r="A102" s="3607" t="s">
        <v>1433</v>
      </c>
      <c r="B102" s="2574" t="s">
        <v>1432</v>
      </c>
      <c r="C102" s="2575">
        <f ca="1">IF(D32="楼面单价",ROUND(C19,0),C19)</f>
        <v>101</v>
      </c>
      <c r="D102" s="2576">
        <f ca="1">IF(D32="楼面单价",ROUND(D19,0),D19)</f>
        <v>69</v>
      </c>
      <c r="E102" s="3648"/>
      <c r="F102" s="3605"/>
      <c r="G102" s="1818" t="s">
        <v>1434</v>
      </c>
      <c r="H102" s="2545">
        <f ca="1">I118</f>
        <v>24899</v>
      </c>
      <c r="I102" s="123"/>
    </row>
    <row r="103" spans="1:35" ht="42.75" customHeight="1">
      <c r="A103" s="3607"/>
      <c r="B103" s="2574" t="s">
        <v>1434</v>
      </c>
      <c r="C103" s="2577">
        <f ca="1">C20</f>
        <v>28571</v>
      </c>
      <c r="D103" s="2578">
        <f ca="1">D20</f>
        <v>19391</v>
      </c>
      <c r="E103" s="3642" t="s">
        <v>1435</v>
      </c>
      <c r="F103" s="3643"/>
      <c r="G103" s="1819" t="s">
        <v>1436</v>
      </c>
      <c r="H103" s="2585">
        <f>IF(D36="正常操作",H104+H105+H106,H105+H106)</f>
        <v>0</v>
      </c>
      <c r="I103" s="123"/>
    </row>
    <row r="104" spans="1:35" ht="18.75" customHeight="1">
      <c r="A104" s="3607" t="s">
        <v>1437</v>
      </c>
      <c r="B104" s="2579" t="s">
        <v>1432</v>
      </c>
      <c r="C104" s="2580">
        <f ca="1">H118</f>
        <v>88</v>
      </c>
      <c r="D104" s="2581"/>
      <c r="E104" s="1665" t="s">
        <v>1438</v>
      </c>
      <c r="F104" s="1657"/>
      <c r="G104" s="1819" t="s">
        <v>1436</v>
      </c>
      <c r="H104" s="2586">
        <f>IF(D36="同一抵押权人同一抵押物续贷",C36&amp;"（续贷，未扣减，详见特别提示）",C36)</f>
        <v>0</v>
      </c>
      <c r="I104" s="123"/>
    </row>
    <row r="105" spans="1:35" ht="18.75" customHeight="1" thickBot="1">
      <c r="A105" s="3608"/>
      <c r="B105" s="2582" t="s">
        <v>1434</v>
      </c>
      <c r="C105" s="2583">
        <f ca="1">I118</f>
        <v>24899</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4" t="str">
        <f>IF(项目基本情况!E8="已注销","——","3.房地产抵押价值")</f>
        <v>3.房地产抵押价值</v>
      </c>
      <c r="F107" s="3605"/>
      <c r="G107" s="1818" t="s">
        <v>1432</v>
      </c>
      <c r="H107" s="2585">
        <f ca="1">IF(E107="——","——",H101-H103)</f>
        <v>88</v>
      </c>
      <c r="I107" s="123"/>
    </row>
    <row r="108" spans="1:35" ht="18.75" customHeight="1">
      <c r="A108" s="123"/>
      <c r="B108" s="123"/>
      <c r="C108" s="123"/>
      <c r="D108" s="123"/>
      <c r="E108" s="3604"/>
      <c r="F108" s="3605"/>
      <c r="G108" s="1818" t="s">
        <v>1434</v>
      </c>
      <c r="H108" s="2545">
        <f ca="1">IF(H107=H101,H102,ROUND(H107*10000/'数据-汇总表'!E3,0))</f>
        <v>24899</v>
      </c>
      <c r="I108" s="123"/>
    </row>
    <row r="109" spans="1:35" ht="18.75" customHeight="1">
      <c r="A109" s="123"/>
      <c r="B109" s="123"/>
      <c r="C109" s="123"/>
      <c r="D109" s="123"/>
      <c r="E109" s="3604" t="str">
        <f>IF(项目基本情况!E8="已注销及未注销","4.抵押担保权已注销时的房地产抵押价值",IF(项目基本情况!E8="已注销","3.抵押担保权已注销时的房地产抵押价值","——"))</f>
        <v>——</v>
      </c>
      <c r="F109" s="3605"/>
      <c r="G109" s="1818" t="s">
        <v>1432</v>
      </c>
      <c r="H109" s="2588" t="str">
        <f>IF(E109="——","——",H101-H105-H106)</f>
        <v>——</v>
      </c>
      <c r="I109" s="123"/>
    </row>
    <row r="110" spans="1:35" ht="18.75" customHeight="1">
      <c r="A110" s="123"/>
      <c r="B110" s="123"/>
      <c r="C110" s="123"/>
      <c r="D110" s="123"/>
      <c r="E110" s="3604"/>
      <c r="F110" s="3605"/>
      <c r="G110" s="1818" t="s">
        <v>1434</v>
      </c>
      <c r="H110" s="2545" t="str">
        <f>IF(H109="——","——",ROUND(H109*10000/'数据-汇总表'!E3,0))</f>
        <v>——</v>
      </c>
      <c r="I110" s="123"/>
    </row>
    <row r="111" spans="1:35" ht="18.75" customHeight="1">
      <c r="A111" s="123"/>
      <c r="B111" s="123"/>
      <c r="C111" s="123"/>
      <c r="D111" s="123"/>
      <c r="E111" s="3636" t="str">
        <f>IF(项目基本情况!E9="抵押净值",IF(OR(项目基本情况!E8="已注销",项目基本情况!E8="房地产抵押价值"),"4.抵押净值","5.抵押净值"),"——")</f>
        <v>4.抵押净值</v>
      </c>
      <c r="F111" s="3606"/>
      <c r="G111" s="1818" t="s">
        <v>1432</v>
      </c>
      <c r="H111" s="2585">
        <f ca="1">IF(E111="——","——",N59)</f>
        <v>81</v>
      </c>
      <c r="I111" s="123"/>
    </row>
    <row r="112" spans="1:35" ht="18.75" customHeight="1" thickBot="1">
      <c r="A112" s="123"/>
      <c r="B112" s="123"/>
      <c r="C112" s="123"/>
      <c r="D112" s="123"/>
      <c r="E112" s="3637"/>
      <c r="F112" s="3638"/>
      <c r="G112" s="1821" t="s">
        <v>1434</v>
      </c>
      <c r="H112" s="2589">
        <f ca="1">IF(E111="——","——",N61)</f>
        <v>22875</v>
      </c>
      <c r="I112" s="123"/>
    </row>
    <row r="113" spans="1:27" ht="18.75" customHeight="1">
      <c r="A113" s="123"/>
      <c r="B113" s="123"/>
      <c r="C113" s="123"/>
      <c r="D113" s="123"/>
      <c r="E113" s="3609" t="s">
        <v>1440</v>
      </c>
      <c r="F113" s="3609"/>
      <c r="G113" s="3609"/>
      <c r="H113" s="3609"/>
      <c r="I113" s="123"/>
    </row>
    <row r="114" spans="1:27" ht="3.75" customHeight="1">
      <c r="A114" s="1738"/>
      <c r="B114" s="1738"/>
      <c r="C114" s="1738"/>
      <c r="D114" s="1738"/>
      <c r="E114" s="1800"/>
      <c r="F114" s="1800"/>
      <c r="G114" s="1800"/>
      <c r="H114" s="1800"/>
      <c r="I114" s="1738"/>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0" t="s">
        <v>1449</v>
      </c>
      <c r="E117" s="2320" t="s">
        <v>1450</v>
      </c>
      <c r="F117" s="2320" t="s">
        <v>1449</v>
      </c>
      <c r="G117" s="2320" t="s">
        <v>1451</v>
      </c>
      <c r="H117" s="2320" t="s">
        <v>1449</v>
      </c>
      <c r="I117" s="2320" t="s">
        <v>1451</v>
      </c>
    </row>
    <row r="118" spans="1:27" ht="24.75" customHeight="1">
      <c r="A118" s="2590" t="str">
        <f>项目基本情况!S2</f>
        <v>太原市保利东郡房地产</v>
      </c>
      <c r="B118" s="2320">
        <f>M18</f>
        <v>35.409999999999997</v>
      </c>
      <c r="C118" s="2320">
        <f>M19</f>
        <v>0</v>
      </c>
      <c r="D118" s="2320">
        <f ca="1">ROUND(IF(D32="总价",C34,E118*B118/10000),0)</f>
        <v>66</v>
      </c>
      <c r="E118" s="2320">
        <f ca="1">ROUND(IF(C33="自定义",IF(D32="楼面单价",C34,D118*10000/B118),I118-G118),0)</f>
        <v>18674</v>
      </c>
      <c r="F118" s="2320">
        <f ca="1">ROUND(IF(D32="总价",C35,G118*B118/10000),0)</f>
        <v>22</v>
      </c>
      <c r="G118" s="2320">
        <f ca="1">ROUND(IF(D32="楼面单价",C35,F118*10000/B118),0)</f>
        <v>6225</v>
      </c>
      <c r="H118" s="2320">
        <f ca="1">ROUND(IF(D32="总价",C32,I118*B118/10000),0)</f>
        <v>88</v>
      </c>
      <c r="I118" s="2320">
        <f ca="1">ROUND(IF(D32="楼面单价",C32,H118*10000/B118),0)</f>
        <v>24899</v>
      </c>
    </row>
    <row r="119" spans="1:27" ht="18.75" customHeight="1">
      <c r="A119" s="3575" t="s">
        <v>1452</v>
      </c>
      <c r="B119" s="3575"/>
      <c r="C119" s="3575"/>
      <c r="D119" s="3615" t="str">
        <f ca="1">NUMBERSTRING(INT(D118*10000),2)&amp;"元整"</f>
        <v>陆拾陆万元整</v>
      </c>
      <c r="E119" s="3617"/>
      <c r="F119" s="3615" t="str">
        <f ca="1">NUMBERSTRING(INT(F118*10000),2)&amp;"元整"</f>
        <v>贰拾贰万元整</v>
      </c>
      <c r="G119" s="3617"/>
      <c r="H119" s="3615" t="str">
        <f ca="1">NUMBERSTRING(INT(H118*10000),2)&amp;"元整"</f>
        <v>捌拾捌万元整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5" t="s">
        <v>1452</v>
      </c>
      <c r="B121" s="3616"/>
      <c r="C121" s="3617"/>
      <c r="D121" s="3615" t="str">
        <f>IF(D120=0,"零元整",NUMBERSTRING(INT(D120*10000),2)&amp;"元整")</f>
        <v>零元整</v>
      </c>
      <c r="E121" s="3616"/>
      <c r="F121" s="3616"/>
      <c r="G121" s="3616"/>
      <c r="H121" s="3616"/>
      <c r="I121" s="3617"/>
      <c r="AA121" s="716"/>
    </row>
    <row r="122" spans="1:27" ht="18.75" customHeight="1">
      <c r="A122" s="3606" t="str">
        <f>IF(项目基本情况!B9="房地产市场价值","",MID(E107,3,LEN(E107)-2))</f>
        <v>房地产抵押价值</v>
      </c>
      <c r="B122" s="3606"/>
      <c r="C122" s="3606"/>
      <c r="D122" s="3639">
        <f ca="1">H107</f>
        <v>88</v>
      </c>
      <c r="E122" s="3640"/>
      <c r="F122" s="3640"/>
      <c r="G122" s="3640"/>
      <c r="H122" s="3640"/>
      <c r="I122" s="3641"/>
      <c r="AA122" s="716"/>
    </row>
    <row r="123" spans="1:27" ht="18.75" customHeight="1">
      <c r="A123" s="3575" t="s">
        <v>1452</v>
      </c>
      <c r="B123" s="3575"/>
      <c r="C123" s="3575"/>
      <c r="D123" s="3615" t="str">
        <f ca="1">NUMBERSTRING(INT(D122*10000),2)&amp;"元整"</f>
        <v>捌拾捌万元整</v>
      </c>
      <c r="E123" s="3616"/>
      <c r="F123" s="3616"/>
      <c r="G123" s="3616"/>
      <c r="H123" s="3616"/>
      <c r="I123" s="3617"/>
      <c r="AA123" s="716"/>
    </row>
    <row r="124" spans="1:27" ht="18.75" customHeight="1">
      <c r="A124" s="3606" t="str">
        <f>IF(项目基本情况!B9="房地产市场价值","",MID(E109,3,LEN(E109)-2))</f>
        <v/>
      </c>
      <c r="B124" s="3606"/>
      <c r="C124" s="3606"/>
      <c r="D124" s="3639" t="str">
        <f>H109</f>
        <v>——</v>
      </c>
      <c r="E124" s="3640"/>
      <c r="F124" s="3640"/>
      <c r="G124" s="3640"/>
      <c r="H124" s="3640"/>
      <c r="I124" s="3641"/>
      <c r="AA124" s="716"/>
    </row>
    <row r="125" spans="1:27" ht="18.75" customHeight="1">
      <c r="A125" s="3575" t="s">
        <v>1452</v>
      </c>
      <c r="B125" s="3575"/>
      <c r="C125" s="3575"/>
      <c r="D125" s="3615" t="e">
        <f>NUMBERSTRING(INT(D124*10000),2)&amp;"元整"</f>
        <v>#VALUE!</v>
      </c>
      <c r="E125" s="3616"/>
      <c r="F125" s="3616"/>
      <c r="G125" s="3616"/>
      <c r="H125" s="3616"/>
      <c r="I125" s="3617"/>
      <c r="AA125" s="716"/>
    </row>
    <row r="126" spans="1:27" ht="18.75" customHeight="1">
      <c r="A126" s="3606" t="str">
        <f>IF(项目基本情况!B9="房地产市场价值","",MID(E111,3,LEN(E111)-2))</f>
        <v>抵押净值</v>
      </c>
      <c r="B126" s="3606"/>
      <c r="C126" s="3606"/>
      <c r="D126" s="3639">
        <f ca="1">H111</f>
        <v>81</v>
      </c>
      <c r="E126" s="3640"/>
      <c r="F126" s="3640"/>
      <c r="G126" s="3640"/>
      <c r="H126" s="3640"/>
      <c r="I126" s="3641"/>
      <c r="AA126" s="716"/>
    </row>
    <row r="127" spans="1:27" ht="18.75" customHeight="1">
      <c r="A127" s="3575" t="s">
        <v>1452</v>
      </c>
      <c r="B127" s="3575"/>
      <c r="C127" s="3575"/>
      <c r="D127" s="3615" t="str">
        <f ca="1">NUMBERSTRING(INT(D126*10000),2)&amp;"元整"</f>
        <v>捌拾壹万元整</v>
      </c>
      <c r="E127" s="3616"/>
      <c r="F127" s="3616"/>
      <c r="G127" s="3616"/>
      <c r="H127" s="3616"/>
      <c r="I127" s="3617"/>
      <c r="AA127" s="716"/>
    </row>
    <row r="128" spans="1:27" ht="21.75" customHeight="1">
      <c r="A128" s="3622" t="s">
        <v>1453</v>
      </c>
      <c r="B128" s="3622"/>
      <c r="C128" s="3622"/>
      <c r="D128" s="3622"/>
      <c r="E128" s="3622"/>
      <c r="F128" s="3622"/>
      <c r="G128" s="3622"/>
      <c r="H128" s="3622"/>
      <c r="I128" s="3622"/>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35.409999999999997</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3405</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2"/>
      <c r="B4" s="3663"/>
      <c r="C4" s="3663"/>
      <c r="D4" s="3664"/>
      <c r="E4" s="3664"/>
      <c r="F4" s="3664"/>
      <c r="G4" s="3664"/>
      <c r="H4" s="3664"/>
      <c r="I4" s="3664"/>
      <c r="J4" s="366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3406</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9" t="s">
        <v>1960</v>
      </c>
      <c r="X8" s="366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1"/>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1"/>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6" t="s">
        <v>3254</v>
      </c>
      <c r="B20" s="161" t="s">
        <v>1994</v>
      </c>
      <c r="C20" s="3314" t="e">
        <f>ROUND(IF(F21="与级别开发程度一致",0,(G21-E21)/C21),0)</f>
        <v>#DIV/0!</v>
      </c>
      <c r="D20" s="3330" t="s">
        <v>1998</v>
      </c>
      <c r="E20" s="3331"/>
      <c r="F20" s="3672" t="s">
        <v>1995</v>
      </c>
      <c r="G20" s="3673"/>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45345</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35.409999999999997</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3408</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3409</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3407</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3408</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3409</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3408</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3407</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3408</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8" t="s">
        <v>3294</v>
      </c>
      <c r="B103" s="3668"/>
      <c r="C103" s="3668"/>
      <c r="D103" s="3668"/>
      <c r="E103" s="3668"/>
      <c r="F103" s="3668"/>
      <c r="G103" s="3668"/>
      <c r="H103" s="3668"/>
      <c r="I103" s="3668"/>
      <c r="J103" s="3668"/>
      <c r="K103" s="3379"/>
      <c r="L103" s="3379"/>
      <c r="M103" s="3379"/>
      <c r="N103" s="3379"/>
    </row>
    <row r="104" spans="1:14">
      <c r="A104" s="3669" t="s">
        <v>3295</v>
      </c>
      <c r="B104" s="3669" t="s">
        <v>3296</v>
      </c>
      <c r="C104" s="3380" t="s">
        <v>3297</v>
      </c>
      <c r="D104" s="3381"/>
      <c r="E104" s="3381"/>
      <c r="F104" s="3381"/>
      <c r="G104" s="3381"/>
      <c r="H104" s="3381"/>
      <c r="I104" s="3381"/>
      <c r="J104" s="3382"/>
      <c r="K104" s="3383"/>
      <c r="L104" s="3383"/>
      <c r="M104" s="3383"/>
      <c r="N104" s="3383"/>
    </row>
    <row r="105" spans="1:14">
      <c r="A105" s="3669"/>
      <c r="B105" s="3669"/>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5"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6"/>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6"/>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6"/>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6"/>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6"/>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7"/>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8" t="s">
        <v>3311</v>
      </c>
      <c r="B113" s="3658"/>
      <c r="C113" s="3658"/>
      <c r="D113" s="3658"/>
      <c r="E113" s="3658"/>
      <c r="F113" s="3658"/>
      <c r="G113" s="3658"/>
      <c r="H113" s="3658"/>
      <c r="I113" s="3658"/>
      <c r="J113" s="3658"/>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2" t="str">
        <f>项目基本情况!B1</f>
        <v>太原市保利东郡房地产抵押价值预评估</v>
      </c>
      <c r="C37" s="3472"/>
      <c r="D37" s="3472"/>
      <c r="E37" s="3472"/>
      <c r="F37" s="3472"/>
      <c r="G37" s="3472"/>
      <c r="H37" s="3472"/>
      <c r="I37" s="3472"/>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吴薇（注册号：1419970001)、郑燚（注册号：1120070131)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6.9999999999999999E-4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6.9999999999999999E-4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6.9999999999999999E-4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4" t="s">
        <v>1544</v>
      </c>
    </row>
    <row r="43" spans="1:7" ht="13.5" customHeight="1">
      <c r="A43" s="771" t="s">
        <v>347</v>
      </c>
      <c r="B43" s="209" t="s">
        <v>1545</v>
      </c>
      <c r="C43" s="232" t="e">
        <f ca="1">ROUND(IF('数据-取费表'!B22&lt;=1,C39*F22*'数据-取费表'!B21/2,C39*(POWER((1+F22),'数据-取费表'!B21/2)-1)),0)</f>
        <v>#N/A</v>
      </c>
      <c r="D43" s="232"/>
      <c r="E43" s="232"/>
      <c r="F43" s="233"/>
      <c r="G43" s="3675"/>
    </row>
    <row r="44" spans="1:7" ht="13.5" customHeight="1">
      <c r="A44" s="771" t="s">
        <v>348</v>
      </c>
      <c r="B44" s="209" t="s">
        <v>1546</v>
      </c>
      <c r="C44" s="232">
        <f ca="1">ROUND(IF('数据-取费表'!B22&lt;=1,C40*F22*'数据-取费表'!B21/2,C40*(POWER((1+F22),'数据-取费表'!B21/2)-1)),4)</f>
        <v>6.9999999999999999E-4</v>
      </c>
      <c r="D44" s="232"/>
      <c r="E44" s="232"/>
      <c r="F44" s="233"/>
      <c r="G44" s="3676"/>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0.96</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22.252300000000002</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6284</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6728</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6728</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6728</v>
      </c>
      <c r="D10" s="836">
        <f ca="1">IF(B1="",'数据-汇总表'!E6,IF(INDIRECT("'数据-取费表'!c"&amp;$G$1)="住宅",INDIRECT("'数据-取费表'!s"&amp;$G$1),INDIRECT("'数据-取费表'!k"&amp;$G$1)+INDIRECT("'数据-取费表'!s"&amp;$G$1)))</f>
        <v>35.409999999999997</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7082</v>
      </c>
      <c r="D19" s="840">
        <f ca="1">D9+D10</f>
        <v>35.409999999999997</v>
      </c>
      <c r="E19" s="205">
        <f>'数据-取费表'!B31</f>
        <v>200</v>
      </c>
      <c r="F19" s="225"/>
      <c r="G19" s="1847"/>
    </row>
    <row r="20" spans="1:7" s="208" customFormat="1" ht="13.5" customHeight="1">
      <c r="A20" s="249" t="s">
        <v>1574</v>
      </c>
      <c r="B20" s="204" t="s">
        <v>1575</v>
      </c>
      <c r="C20" s="226">
        <f ca="1">ROUND((C5+C19)*F20,0)</f>
        <v>276</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979</v>
      </c>
      <c r="D22" s="229">
        <f ca="1">C26</f>
        <v>6.9999999999999999E-4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472</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497</v>
      </c>
      <c r="D24" s="232"/>
      <c r="E24" s="232"/>
      <c r="F24" s="233"/>
      <c r="G24" s="234" t="s">
        <v>1586</v>
      </c>
    </row>
    <row r="25" spans="1:7" s="208" customFormat="1" ht="24">
      <c r="A25" s="771" t="s">
        <v>1476</v>
      </c>
      <c r="B25" s="209" t="s">
        <v>1587</v>
      </c>
      <c r="C25" s="1119">
        <f ca="1">ROUND(IF('数据-取费表'!B22&lt;=1,C20*F22*'数据-取费表'!B22/2,C20*(POWER((1+F22),'数据-取费表'!B22/2)-1)),0)</f>
        <v>10</v>
      </c>
      <c r="D25" s="232"/>
      <c r="E25" s="235"/>
      <c r="F25" s="233"/>
      <c r="G25" s="236" t="s">
        <v>1588</v>
      </c>
    </row>
    <row r="26" spans="1:7" s="208" customFormat="1">
      <c r="A26" s="771" t="s">
        <v>350</v>
      </c>
      <c r="B26" s="209" t="s">
        <v>1511</v>
      </c>
      <c r="C26" s="232">
        <f ca="1">ROUND(IF('数据-取费表'!B22&lt;=1,F21*F22*'数据-取费表'!B22/2,F21*(POWER((1+F22),'数据-取费表'!B22/2)-1)),4)</f>
        <v>6.9999999999999999E-4</v>
      </c>
      <c r="D26" s="232"/>
      <c r="E26" s="235"/>
      <c r="F26" s="233"/>
      <c r="G26" s="237"/>
    </row>
    <row r="27" spans="1:7" s="208" customFormat="1" ht="24.75">
      <c r="A27" s="249" t="s">
        <v>1512</v>
      </c>
      <c r="B27" s="238" t="s">
        <v>1513</v>
      </c>
      <c r="C27" s="239">
        <f ca="1">C28</f>
        <v>2817</v>
      </c>
      <c r="D27" s="229">
        <f ca="1">C29</f>
        <v>4.0000000000000001E-3</v>
      </c>
      <c r="E27" s="230" t="s">
        <v>1514</v>
      </c>
      <c r="F27" s="240">
        <f ca="1">IF(B1="",'数据-取费表'!Q16,INDIRECT("'数据-取费表'!q"&amp;$G$1))</f>
        <v>0.2</v>
      </c>
      <c r="G27" s="241" t="s">
        <v>1515</v>
      </c>
    </row>
    <row r="28" spans="1:7" s="208" customFormat="1" ht="13.5" customHeight="1">
      <c r="A28" s="771" t="s">
        <v>346</v>
      </c>
      <c r="B28" s="242" t="s">
        <v>1516</v>
      </c>
      <c r="C28" s="243">
        <f ca="1">ROUND((C5+C19+C20)*F27,0)</f>
        <v>2817</v>
      </c>
      <c r="D28" s="229"/>
      <c r="E28" s="230"/>
      <c r="F28" s="240"/>
      <c r="G28" s="241"/>
    </row>
    <row r="29" spans="1:7" s="208" customFormat="1" ht="13.5" customHeight="1">
      <c r="A29" s="771" t="s">
        <v>347</v>
      </c>
      <c r="B29" s="242" t="s">
        <v>1517</v>
      </c>
      <c r="C29" s="232">
        <f ca="1">ROUND(C21*F27,4)</f>
        <v>4.0000000000000001E-3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19376</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155096</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141640</v>
      </c>
      <c r="D34" s="211"/>
      <c r="E34" s="214"/>
      <c r="F34" s="251"/>
      <c r="G34" s="213"/>
    </row>
    <row r="35" spans="1:7" ht="13.5" customHeight="1">
      <c r="A35" s="771" t="s">
        <v>351</v>
      </c>
      <c r="B35" s="209" t="s">
        <v>1527</v>
      </c>
      <c r="C35" s="214">
        <f ca="1">ROUND(C34*F35,0)</f>
        <v>4249</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7082</v>
      </c>
      <c r="D37" s="211">
        <f ca="1">D19</f>
        <v>35.409999999999997</v>
      </c>
      <c r="E37" s="243">
        <f>'数据-取费表'!B35</f>
        <v>200</v>
      </c>
      <c r="F37" s="253"/>
      <c r="G37" s="255"/>
    </row>
    <row r="38" spans="1:7" ht="13.5" customHeight="1">
      <c r="A38" s="771" t="s">
        <v>354</v>
      </c>
      <c r="B38" s="209" t="s">
        <v>1533</v>
      </c>
      <c r="C38" s="214">
        <f ca="1">ROUND(C34*F38,0)</f>
        <v>2125</v>
      </c>
      <c r="D38" s="214"/>
      <c r="E38" s="214"/>
      <c r="F38" s="253">
        <f>'数据-取费表'!B36</f>
        <v>1.4999999999999999E-2</v>
      </c>
      <c r="G38" s="213" t="s">
        <v>1528</v>
      </c>
    </row>
    <row r="39" spans="1:7" s="208" customFormat="1" ht="13.5" customHeight="1">
      <c r="A39" s="249" t="s">
        <v>1534</v>
      </c>
      <c r="B39" s="204" t="s">
        <v>1535</v>
      </c>
      <c r="C39" s="226">
        <f ca="1">ROUND(C33*F20,0)</f>
        <v>3102</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5458</v>
      </c>
      <c r="D41" s="229">
        <f ca="1">C44</f>
        <v>6.9999999999999999E-4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5351</v>
      </c>
      <c r="D42" s="232"/>
      <c r="E42" s="232"/>
      <c r="F42" s="233"/>
      <c r="G42" s="3674" t="s">
        <v>1591</v>
      </c>
    </row>
    <row r="43" spans="1:7" ht="13.5" customHeight="1">
      <c r="A43" s="771" t="s">
        <v>347</v>
      </c>
      <c r="B43" s="209" t="s">
        <v>1545</v>
      </c>
      <c r="C43" s="232">
        <f ca="1">ROUND(IF('数据-取费表'!B22&lt;=1,C39*F22*'数据-取费表'!B20/2,C39*(POWER((1+F22),'数据-取费表'!B20/2)-1)),0)</f>
        <v>107</v>
      </c>
      <c r="D43" s="232"/>
      <c r="E43" s="232"/>
      <c r="F43" s="233"/>
      <c r="G43" s="3675"/>
    </row>
    <row r="44" spans="1:7" ht="13.5" customHeight="1">
      <c r="A44" s="771" t="s">
        <v>348</v>
      </c>
      <c r="B44" s="209" t="s">
        <v>1546</v>
      </c>
      <c r="C44" s="232">
        <f ca="1">ROUND(IF('数据-取费表'!B22&lt;=1,C40*F22*'数据-取费表'!B20/2,C40*(POWER((1+F22),'数据-取费表'!B20/2)-1)),4)</f>
        <v>6.9999999999999999E-4</v>
      </c>
      <c r="D44" s="232"/>
      <c r="E44" s="232"/>
      <c r="F44" s="233"/>
      <c r="G44" s="3676"/>
    </row>
    <row r="45" spans="1:7" s="208" customFormat="1" ht="13.5" customHeight="1">
      <c r="A45" s="249" t="s">
        <v>1547</v>
      </c>
      <c r="B45" s="238" t="s">
        <v>1513</v>
      </c>
      <c r="C45" s="239">
        <f ca="1">C46</f>
        <v>31640</v>
      </c>
      <c r="D45" s="229">
        <f ca="1">C47</f>
        <v>4.0000000000000001E-3</v>
      </c>
      <c r="E45" s="230" t="s">
        <v>1539</v>
      </c>
      <c r="F45" s="240">
        <f ca="1">F27</f>
        <v>0.2</v>
      </c>
      <c r="G45" s="241" t="s">
        <v>1548</v>
      </c>
    </row>
    <row r="46" spans="1:7" s="208" customFormat="1" ht="13.5" customHeight="1">
      <c r="A46" s="771" t="s">
        <v>346</v>
      </c>
      <c r="B46" s="242" t="s">
        <v>1549</v>
      </c>
      <c r="C46" s="243">
        <f ca="1">ROUND((C33+C39)*F27,0)</f>
        <v>31640</v>
      </c>
      <c r="D46" s="257"/>
      <c r="E46" s="230"/>
      <c r="F46" s="240"/>
      <c r="G46" s="241"/>
    </row>
    <row r="47" spans="1:7" s="208" customFormat="1" ht="13.5" customHeight="1">
      <c r="A47" s="771" t="s">
        <v>347</v>
      </c>
      <c r="B47" s="242" t="s">
        <v>1550</v>
      </c>
      <c r="C47" s="232">
        <f ca="1">ROUND(C40*F27,4)</f>
        <v>4.0000000000000001E-3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211611</v>
      </c>
      <c r="D49" s="226"/>
      <c r="E49" s="226"/>
      <c r="F49" s="258"/>
      <c r="G49" s="228" t="s">
        <v>1554</v>
      </c>
    </row>
    <row r="50" spans="1:7" s="252" customFormat="1">
      <c r="A50" s="249" t="s">
        <v>1555</v>
      </c>
      <c r="B50" s="204" t="s">
        <v>1556</v>
      </c>
      <c r="C50" s="226"/>
      <c r="D50" s="226"/>
      <c r="E50" s="226"/>
      <c r="F50" s="258">
        <f>IF('数据-取费表'!B24=0,'数据-取费表'!N16,1)</f>
        <v>0.96</v>
      </c>
      <c r="G50" s="241"/>
    </row>
    <row r="51" spans="1:7" ht="16.5" customHeight="1">
      <c r="A51" s="249" t="s">
        <v>1558</v>
      </c>
      <c r="B51" s="204" t="s">
        <v>1593</v>
      </c>
      <c r="C51" s="226">
        <f ca="1">ROUND(C49*F50,0)</f>
        <v>203147</v>
      </c>
      <c r="D51" s="226"/>
      <c r="E51" s="226"/>
      <c r="F51" s="258"/>
      <c r="G51" s="228" t="s">
        <v>1560</v>
      </c>
    </row>
    <row r="52" spans="1:7" s="202" customFormat="1" ht="16.5" thickBot="1">
      <c r="A52" s="259" t="s">
        <v>1561</v>
      </c>
      <c r="B52" s="260"/>
      <c r="C52" s="261">
        <f ca="1">C31+C51</f>
        <v>222523</v>
      </c>
      <c r="D52" s="260"/>
      <c r="E52" s="260"/>
      <c r="F52" s="260"/>
      <c r="G52" s="262"/>
    </row>
    <row r="55" spans="1:7" ht="15">
      <c r="B55" s="264" t="s">
        <v>1562</v>
      </c>
      <c r="C55" s="265"/>
    </row>
    <row r="56" spans="1:7">
      <c r="B56" s="267" t="s">
        <v>802</v>
      </c>
      <c r="C56" s="269">
        <f ca="1">1-C57</f>
        <v>8.6999999999999966E-2</v>
      </c>
    </row>
    <row r="57" spans="1:7">
      <c r="B57" s="267" t="s">
        <v>803</v>
      </c>
      <c r="C57" s="268">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35.409999999999997</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35.409999999999997</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1</v>
      </c>
      <c r="D20" s="837">
        <f ca="1">IF(C1="",'数据-汇总表'!E6,IF(INDIRECT("'数据-取费表'!c"&amp;$K$1)="住宅",INDIRECT("'数据-取费表'!s"&amp;$K$1),INDIRECT("'数据-取费表'!k"&amp;$K$1)+INDIRECT("'数据-取费表'!s"&amp;$K$1)))</f>
        <v>35.409999999999997</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0.2</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zoomScaleSheetLayoutView="100" workbookViewId="0">
      <selection activeCell="C49" sqref="C4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3419</v>
      </c>
      <c r="E1" s="3415" t="s">
        <v>3417</v>
      </c>
      <c r="F1" s="1870" t="s">
        <v>3418</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101.1699</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28571</v>
      </c>
      <c r="C3" s="348" t="s">
        <v>1768</v>
      </c>
      <c r="D3" s="347">
        <f>IF(D1="",'数据-汇总表'!E3,SUMIF('数据-汇总表'!$C19:$C33,D1,'数据-汇总表'!$E19:$E33))</f>
        <v>35.409999999999997</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1" t="s">
        <v>1772</v>
      </c>
      <c r="AC4" s="3693" t="s">
        <v>1773</v>
      </c>
    </row>
    <row r="5" spans="1:29" ht="15">
      <c r="A5" s="352"/>
      <c r="B5" s="353"/>
      <c r="C5" s="3719" t="s">
        <v>1673</v>
      </c>
      <c r="D5" s="3715"/>
      <c r="E5" s="3722" t="s">
        <v>3421</v>
      </c>
      <c r="F5" s="3723"/>
      <c r="G5" s="3714" t="s">
        <v>3457</v>
      </c>
      <c r="H5" s="3715"/>
      <c r="I5" s="3714" t="s">
        <v>3457</v>
      </c>
      <c r="J5" s="3715"/>
      <c r="K5" s="553"/>
      <c r="L5" s="2704"/>
      <c r="M5" s="2705"/>
      <c r="N5" s="2705"/>
      <c r="O5" s="2705"/>
      <c r="P5" s="3702"/>
      <c r="Q5" s="3703"/>
      <c r="R5" s="3708"/>
      <c r="S5" s="3709"/>
      <c r="T5" s="3708"/>
      <c r="U5" s="3709"/>
      <c r="V5" s="3691"/>
      <c r="W5" s="3691"/>
      <c r="X5" s="1346"/>
      <c r="Y5" s="3708"/>
      <c r="Z5" s="3709"/>
      <c r="AA5" s="3694"/>
      <c r="AB5" s="3691"/>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1"/>
      <c r="AC6" s="3695"/>
    </row>
    <row r="7" spans="1:29" s="108" customFormat="1" ht="15.75" thickBot="1">
      <c r="A7" s="356" t="s">
        <v>1679</v>
      </c>
      <c r="B7" s="357"/>
      <c r="C7" s="358">
        <f>'数据-取费表'!B2</f>
        <v>45345</v>
      </c>
      <c r="D7" s="359">
        <v>100</v>
      </c>
      <c r="E7" s="360">
        <v>45323</v>
      </c>
      <c r="F7" s="361">
        <f>SUMIF(58:58,YEAR(E7)&amp;"-"&amp;MONTH(E7),59:59)</f>
        <v>100</v>
      </c>
      <c r="G7" s="360">
        <v>45323</v>
      </c>
      <c r="H7" s="359">
        <f>SUMIF(58:58,YEAR(G7)&amp;"-"&amp;MONTH(G7),59:59)</f>
        <v>100</v>
      </c>
      <c r="I7" s="360">
        <v>45323</v>
      </c>
      <c r="J7" s="359">
        <f>SUMIF(58:58,YEAR(I7)&amp;"-"&amp;MONTH(I7),59:59)</f>
        <v>100</v>
      </c>
      <c r="K7" s="554"/>
      <c r="L7" s="2706"/>
      <c r="M7" s="2707"/>
      <c r="N7" s="2707"/>
      <c r="O7" s="2707"/>
      <c r="P7" s="3716" t="s">
        <v>1680</v>
      </c>
      <c r="Q7" s="3718"/>
      <c r="R7" s="692" t="s">
        <v>14</v>
      </c>
      <c r="S7" s="693">
        <f t="shared" ref="S7:S15" si="0">F7</f>
        <v>100</v>
      </c>
      <c r="T7" s="692" t="s">
        <v>14</v>
      </c>
      <c r="U7" s="693">
        <f t="shared" ref="U7:U15" si="1">H7</f>
        <v>100</v>
      </c>
      <c r="V7" s="692" t="s">
        <v>14</v>
      </c>
      <c r="W7" s="693">
        <f t="shared" ref="W7:W15" si="2">J7</f>
        <v>100</v>
      </c>
      <c r="X7" s="694"/>
      <c r="Y7" s="3716" t="s">
        <v>1680</v>
      </c>
      <c r="Z7" s="3717"/>
      <c r="AA7" s="695">
        <f>D7/F7</f>
        <v>1</v>
      </c>
      <c r="AB7" s="695">
        <f>D7/H7</f>
        <v>1</v>
      </c>
      <c r="AC7" s="695">
        <f>D7/J7</f>
        <v>1</v>
      </c>
    </row>
    <row r="8" spans="1:29" s="108" customFormat="1" ht="15.75" thickBot="1">
      <c r="A8" s="356" t="s">
        <v>1681</v>
      </c>
      <c r="B8" s="357"/>
      <c r="C8" s="362" t="s">
        <v>3424</v>
      </c>
      <c r="D8" s="359">
        <v>100</v>
      </c>
      <c r="E8" s="362" t="s">
        <v>3422</v>
      </c>
      <c r="F8" s="361">
        <f>SUMIF(61:61,E8,62:62)-SUMIF(61:61,C8,62:62)+100</f>
        <v>105</v>
      </c>
      <c r="G8" s="362" t="s">
        <v>3422</v>
      </c>
      <c r="H8" s="359">
        <f>SUMIF(61:61,G8,62:62)-SUMIF(61:61,C8,62:62)+100</f>
        <v>105</v>
      </c>
      <c r="I8" s="362" t="s">
        <v>3422</v>
      </c>
      <c r="J8" s="359">
        <f>SUMIF(61:61,I8,62:62)-SUMIF(61:61,C8,62:62)+100</f>
        <v>105</v>
      </c>
      <c r="K8" s="554"/>
      <c r="L8" s="2706"/>
      <c r="M8" s="2707"/>
      <c r="N8" s="2707"/>
      <c r="O8" s="2707"/>
      <c r="P8" s="3716" t="s">
        <v>1683</v>
      </c>
      <c r="Q8" s="3717"/>
      <c r="R8" s="692" t="s">
        <v>14</v>
      </c>
      <c r="S8" s="693">
        <f t="shared" si="0"/>
        <v>105</v>
      </c>
      <c r="T8" s="692" t="s">
        <v>14</v>
      </c>
      <c r="U8" s="693">
        <f t="shared" si="1"/>
        <v>105</v>
      </c>
      <c r="V8" s="692" t="s">
        <v>14</v>
      </c>
      <c r="W8" s="693">
        <f t="shared" si="2"/>
        <v>105</v>
      </c>
      <c r="X8" s="694"/>
      <c r="Y8" s="3716" t="s">
        <v>1683</v>
      </c>
      <c r="Z8" s="3717"/>
      <c r="AA8" s="695">
        <f t="shared" ref="AA8:AA46" si="3">D8/F8</f>
        <v>0.95238095238095233</v>
      </c>
      <c r="AB8" s="695">
        <f t="shared" ref="AB8:AB46" si="4">D8/H8</f>
        <v>0.95238095238095233</v>
      </c>
      <c r="AC8" s="695">
        <f t="shared" ref="AC8:AC46" si="5">D8/J8</f>
        <v>0.95238095238095233</v>
      </c>
    </row>
    <row r="9" spans="1:29" s="108" customFormat="1">
      <c r="A9" s="363" t="s">
        <v>1684</v>
      </c>
      <c r="B9" s="63" t="s">
        <v>1685</v>
      </c>
      <c r="C9" s="3465" t="s">
        <v>3425</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2"/>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2"/>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2"/>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2"/>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682" t="s">
        <v>1691</v>
      </c>
      <c r="Q15" s="1343" t="str">
        <f t="shared" si="6"/>
        <v>商业繁华度</v>
      </c>
      <c r="R15" s="696" t="s">
        <v>14</v>
      </c>
      <c r="S15" s="697">
        <f t="shared" si="0"/>
        <v>100</v>
      </c>
      <c r="T15" s="696" t="s">
        <v>14</v>
      </c>
      <c r="U15" s="697">
        <f t="shared" si="1"/>
        <v>100</v>
      </c>
      <c r="V15" s="696" t="s">
        <v>14</v>
      </c>
      <c r="W15" s="697">
        <f t="shared" si="2"/>
        <v>100</v>
      </c>
      <c r="X15" s="1346"/>
      <c r="Y15" s="3684" t="s">
        <v>1691</v>
      </c>
      <c r="Z15" s="1347" t="str">
        <f t="shared" si="7"/>
        <v>商业繁华度</v>
      </c>
      <c r="AA15" s="1344">
        <f t="shared" si="3"/>
        <v>1</v>
      </c>
      <c r="AB15" s="1344">
        <f t="shared" si="4"/>
        <v>1</v>
      </c>
      <c r="AC15" s="1344">
        <f t="shared" si="5"/>
        <v>1</v>
      </c>
    </row>
    <row r="16" spans="1:29" ht="15">
      <c r="A16" s="373"/>
      <c r="B16" s="391"/>
      <c r="C16" s="392" t="s">
        <v>3408</v>
      </c>
      <c r="D16" s="393"/>
      <c r="E16" s="392" t="s">
        <v>3408</v>
      </c>
      <c r="F16" s="394"/>
      <c r="G16" s="392" t="s">
        <v>3408</v>
      </c>
      <c r="H16" s="395"/>
      <c r="I16" s="392" t="s">
        <v>3408</v>
      </c>
      <c r="J16" s="393"/>
      <c r="K16" s="558"/>
      <c r="L16" s="2711"/>
      <c r="M16" s="2705"/>
      <c r="N16" s="2705"/>
      <c r="O16" s="2705"/>
      <c r="P16" s="3683"/>
      <c r="Q16" s="1343"/>
      <c r="R16" s="696"/>
      <c r="S16" s="697"/>
      <c r="T16" s="696"/>
      <c r="U16" s="697"/>
      <c r="V16" s="696"/>
      <c r="W16" s="697"/>
      <c r="X16" s="1346"/>
      <c r="Y16" s="3685"/>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683"/>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401"/>
      <c r="C18" s="1892" t="s">
        <v>3408</v>
      </c>
      <c r="D18" s="395"/>
      <c r="E18" s="1894" t="s">
        <v>3408</v>
      </c>
      <c r="F18" s="398"/>
      <c r="G18" s="1894" t="s">
        <v>3408</v>
      </c>
      <c r="H18" s="393"/>
      <c r="I18" s="1894" t="s">
        <v>3408</v>
      </c>
      <c r="J18" s="393"/>
      <c r="K18" s="558"/>
      <c r="L18" s="2711"/>
      <c r="M18" s="2705"/>
      <c r="N18" s="2705"/>
      <c r="O18" s="2705"/>
      <c r="P18" s="3683"/>
      <c r="Q18" s="1343"/>
      <c r="R18" s="696"/>
      <c r="S18" s="697"/>
      <c r="T18" s="696"/>
      <c r="U18" s="697"/>
      <c r="V18" s="696"/>
      <c r="W18" s="697"/>
      <c r="X18" s="1346"/>
      <c r="Y18" s="3685"/>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683"/>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344">
        <f t="shared" si="5"/>
        <v>1</v>
      </c>
    </row>
    <row r="20" spans="1:29" ht="15">
      <c r="A20" s="373"/>
      <c r="B20" s="401"/>
      <c r="C20" s="392" t="s">
        <v>3407</v>
      </c>
      <c r="D20" s="393"/>
      <c r="E20" s="1889" t="s">
        <v>3407</v>
      </c>
      <c r="F20" s="394"/>
      <c r="G20" s="1889" t="s">
        <v>3407</v>
      </c>
      <c r="H20" s="393"/>
      <c r="I20" s="1889" t="s">
        <v>3407</v>
      </c>
      <c r="J20" s="393"/>
      <c r="K20" s="558"/>
      <c r="L20" s="2711"/>
      <c r="M20" s="2705"/>
      <c r="N20" s="2705"/>
      <c r="O20" s="2705"/>
      <c r="P20" s="3683"/>
      <c r="Q20" s="1343"/>
      <c r="R20" s="696"/>
      <c r="S20" s="697"/>
      <c r="T20" s="696"/>
      <c r="U20" s="697"/>
      <c r="V20" s="696"/>
      <c r="W20" s="697"/>
      <c r="X20" s="1346"/>
      <c r="Y20" s="3685"/>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t="s">
        <v>3429</v>
      </c>
      <c r="D22" s="393"/>
      <c r="E22" s="392" t="s">
        <v>3429</v>
      </c>
      <c r="F22" s="394"/>
      <c r="G22" s="392" t="s">
        <v>3429</v>
      </c>
      <c r="H22" s="393"/>
      <c r="I22" s="392" t="s">
        <v>3429</v>
      </c>
      <c r="J22" s="393"/>
      <c r="K22" s="1121"/>
      <c r="L22" s="2711"/>
      <c r="M22" s="2705"/>
      <c r="N22" s="2705"/>
      <c r="O22" s="2705"/>
      <c r="P22" s="3683"/>
      <c r="Q22" s="1343"/>
      <c r="R22" s="696"/>
      <c r="S22" s="697"/>
      <c r="T22" s="696"/>
      <c r="U22" s="697"/>
      <c r="V22" s="696"/>
      <c r="W22" s="697"/>
      <c r="X22" s="1346"/>
      <c r="Y22" s="3685"/>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683"/>
      <c r="Q23" s="1343" t="str">
        <f>B23</f>
        <v>自然及人文环境</v>
      </c>
      <c r="R23" s="696" t="s">
        <v>14</v>
      </c>
      <c r="S23" s="697">
        <f>F23</f>
        <v>100</v>
      </c>
      <c r="T23" s="696" t="s">
        <v>14</v>
      </c>
      <c r="U23" s="697">
        <f>H23</f>
        <v>100</v>
      </c>
      <c r="V23" s="696" t="s">
        <v>14</v>
      </c>
      <c r="W23" s="697">
        <f>J23</f>
        <v>100</v>
      </c>
      <c r="X23" s="1346"/>
      <c r="Y23" s="3685"/>
      <c r="Z23" s="1347" t="str">
        <f>Q23</f>
        <v>自然及人文环境</v>
      </c>
      <c r="AA23" s="1344">
        <f t="shared" si="3"/>
        <v>1</v>
      </c>
      <c r="AB23" s="1344">
        <f t="shared" si="4"/>
        <v>1</v>
      </c>
      <c r="AC23" s="1344">
        <f t="shared" si="5"/>
        <v>1</v>
      </c>
    </row>
    <row r="24" spans="1:29" ht="15">
      <c r="A24" s="373"/>
      <c r="B24" s="401"/>
      <c r="C24" s="392" t="s">
        <v>3407</v>
      </c>
      <c r="D24" s="393"/>
      <c r="E24" s="1889" t="s">
        <v>3407</v>
      </c>
      <c r="F24" s="394"/>
      <c r="G24" s="1889" t="s">
        <v>3407</v>
      </c>
      <c r="H24" s="393"/>
      <c r="I24" s="1889" t="s">
        <v>3407</v>
      </c>
      <c r="J24" s="393"/>
      <c r="K24" s="558"/>
      <c r="L24" s="2711"/>
      <c r="M24" s="2705"/>
      <c r="N24" s="2705"/>
      <c r="O24" s="2705"/>
      <c r="P24" s="3683"/>
      <c r="Q24" s="1343"/>
      <c r="R24" s="696"/>
      <c r="S24" s="697"/>
      <c r="T24" s="696"/>
      <c r="U24" s="697"/>
      <c r="V24" s="696"/>
      <c r="W24" s="697"/>
      <c r="X24" s="1346"/>
      <c r="Y24" s="3685"/>
      <c r="Z24" s="1347"/>
      <c r="AA24" s="1344">
        <v>1</v>
      </c>
      <c r="AB24" s="1344">
        <v>1</v>
      </c>
      <c r="AC24" s="1344">
        <v>1</v>
      </c>
    </row>
    <row r="25" spans="1:29" ht="15">
      <c r="A25" s="373"/>
      <c r="B25" s="369" t="s">
        <v>1780</v>
      </c>
      <c r="C25" s="559" t="s">
        <v>3434</v>
      </c>
      <c r="D25" s="380">
        <v>100</v>
      </c>
      <c r="E25" s="559" t="s">
        <v>3434</v>
      </c>
      <c r="F25" s="406">
        <f>SUMIF(86:86,E25,87:87)-SUMIF(86:86,C25,87:87)+100</f>
        <v>100</v>
      </c>
      <c r="G25" s="559" t="s">
        <v>3434</v>
      </c>
      <c r="H25" s="380">
        <f>SUMIF(86:86,G25,87:87)-SUMIF(86:86,C25,87:87)+100</f>
        <v>100</v>
      </c>
      <c r="I25" s="559" t="s">
        <v>3434</v>
      </c>
      <c r="J25" s="380">
        <f>SUMIF(86:86,I25,87:87)-SUMIF(86:86,C25,87:87)+100</f>
        <v>100</v>
      </c>
      <c r="K25" s="555">
        <v>2</v>
      </c>
      <c r="L25" s="2711"/>
      <c r="M25" s="2705"/>
      <c r="N25" s="2705"/>
      <c r="O25" s="2705"/>
      <c r="P25" s="3683"/>
      <c r="Q25" s="1343" t="str">
        <f t="shared" ref="Q25:Q46" si="11">B25</f>
        <v>临街状况</v>
      </c>
      <c r="R25" s="696" t="s">
        <v>14</v>
      </c>
      <c r="S25" s="697">
        <f>F25</f>
        <v>100</v>
      </c>
      <c r="T25" s="696" t="s">
        <v>14</v>
      </c>
      <c r="U25" s="697">
        <f>H25</f>
        <v>100</v>
      </c>
      <c r="V25" s="696" t="s">
        <v>14</v>
      </c>
      <c r="W25" s="697">
        <f>J25</f>
        <v>100</v>
      </c>
      <c r="X25" s="1346"/>
      <c r="Y25" s="3685"/>
      <c r="Z25" s="1347" t="str">
        <f>Q25</f>
        <v>临街状况</v>
      </c>
      <c r="AA25" s="1344">
        <f t="shared" si="3"/>
        <v>1</v>
      </c>
      <c r="AB25" s="1344">
        <f t="shared" si="4"/>
        <v>1</v>
      </c>
      <c r="AC25" s="1344">
        <f t="shared" si="5"/>
        <v>1</v>
      </c>
    </row>
    <row r="26" spans="1:29" ht="15">
      <c r="A26" s="373"/>
      <c r="B26" s="1124" t="s">
        <v>1781</v>
      </c>
      <c r="C26" s="3471" t="s">
        <v>3467</v>
      </c>
      <c r="D26" s="380">
        <v>100</v>
      </c>
      <c r="E26" s="3471" t="s">
        <v>3467</v>
      </c>
      <c r="F26" s="406">
        <f>SUMIF(88:88,E26,89:89)-SUMIF(88:88,C26,89:89)+100</f>
        <v>100</v>
      </c>
      <c r="G26" s="3471" t="s">
        <v>3467</v>
      </c>
      <c r="H26" s="380">
        <f>SUMIF(88:88,G26,89:89)-SUMIF(88:88,C26,89:89)+100</f>
        <v>100</v>
      </c>
      <c r="I26" s="3471" t="s">
        <v>3467</v>
      </c>
      <c r="J26" s="380">
        <f>SUMIF(88:88,I26,89:89)-SUMIF(88:88,C26,89:89)+100</f>
        <v>100</v>
      </c>
      <c r="K26" s="556"/>
      <c r="L26" s="2711"/>
      <c r="M26" s="2705"/>
      <c r="N26" s="2705"/>
      <c r="O26" s="2705"/>
      <c r="P26" s="3683"/>
      <c r="Q26" s="1343" t="str">
        <f t="shared" si="11"/>
        <v>平面位置/可视性</v>
      </c>
      <c r="R26" s="696" t="s">
        <v>14</v>
      </c>
      <c r="S26" s="697">
        <f>F26</f>
        <v>100</v>
      </c>
      <c r="T26" s="696" t="s">
        <v>14</v>
      </c>
      <c r="U26" s="697">
        <f>H26</f>
        <v>100</v>
      </c>
      <c r="V26" s="696" t="s">
        <v>14</v>
      </c>
      <c r="W26" s="697">
        <f>J26</f>
        <v>100</v>
      </c>
      <c r="X26" s="1346"/>
      <c r="Y26" s="3685"/>
      <c r="Z26" s="1347" t="str">
        <f>Q26</f>
        <v>平面位置/可视性</v>
      </c>
      <c r="AA26" s="1344">
        <f t="shared" si="3"/>
        <v>1</v>
      </c>
      <c r="AB26" s="1344">
        <f t="shared" si="4"/>
        <v>1</v>
      </c>
      <c r="AC26" s="1344">
        <f t="shared" si="5"/>
        <v>1</v>
      </c>
    </row>
    <row r="27" spans="1:29" s="108" customFormat="1" ht="15">
      <c r="A27" s="376"/>
      <c r="B27" s="396" t="s">
        <v>1782</v>
      </c>
      <c r="C27" s="1947" t="s">
        <v>3408</v>
      </c>
      <c r="D27" s="407">
        <v>100</v>
      </c>
      <c r="E27" s="1947" t="s">
        <v>3408</v>
      </c>
      <c r="F27" s="409">
        <f>SUMIF(90:90,E27,91:91)-SUMIF(90:90,C27,91:91)+100</f>
        <v>100</v>
      </c>
      <c r="G27" s="1947" t="s">
        <v>3408</v>
      </c>
      <c r="H27" s="407">
        <f>SUMIF(90:90,G27,91:91)-SUMIF(90:90,C27,91:91)+100</f>
        <v>100</v>
      </c>
      <c r="I27" s="1947" t="s">
        <v>3408</v>
      </c>
      <c r="J27" s="407">
        <f>SUMIF(90:90,I27,91:91)-SUMIF(90:90,C27,91:91)+100</f>
        <v>100</v>
      </c>
      <c r="K27" s="555">
        <v>2</v>
      </c>
      <c r="L27" s="2706"/>
      <c r="M27" s="2707"/>
      <c r="N27" s="2707"/>
      <c r="O27" s="2707"/>
      <c r="P27" s="3683"/>
      <c r="Q27" s="1334" t="str">
        <f t="shared" si="11"/>
        <v>人流量</v>
      </c>
      <c r="R27" s="692" t="s">
        <v>14</v>
      </c>
      <c r="S27" s="693">
        <f>F27</f>
        <v>100</v>
      </c>
      <c r="T27" s="692" t="s">
        <v>14</v>
      </c>
      <c r="U27" s="693">
        <f>H27</f>
        <v>100</v>
      </c>
      <c r="V27" s="692" t="s">
        <v>14</v>
      </c>
      <c r="W27" s="693">
        <f>J27</f>
        <v>100</v>
      </c>
      <c r="X27" s="694"/>
      <c r="Y27" s="3685"/>
      <c r="Z27" s="52" t="str">
        <f>Q27</f>
        <v>人流量</v>
      </c>
      <c r="AA27" s="1344">
        <f>D27/F27</f>
        <v>1</v>
      </c>
      <c r="AB27" s="1344">
        <f>D27/H27</f>
        <v>1</v>
      </c>
      <c r="AC27" s="1344">
        <f>D27/J27</f>
        <v>1</v>
      </c>
    </row>
    <row r="28" spans="1:29" ht="15">
      <c r="A28" s="373"/>
      <c r="B28" s="369" t="s">
        <v>1783</v>
      </c>
      <c r="C28" s="559" t="s">
        <v>3451</v>
      </c>
      <c r="D28" s="380">
        <v>100</v>
      </c>
      <c r="E28" s="559" t="s">
        <v>3451</v>
      </c>
      <c r="F28" s="406">
        <f>SUMIF(92:92,E28,93:93)-SUMIF(92:92,C28,93:93)+100</f>
        <v>100</v>
      </c>
      <c r="G28" s="559" t="s">
        <v>3451</v>
      </c>
      <c r="H28" s="380">
        <f>SUMIF(92:92,G28,93:93)-SUMIF(92:92,C28,93:93)+100</f>
        <v>100</v>
      </c>
      <c r="I28" s="559" t="s">
        <v>3451</v>
      </c>
      <c r="J28" s="380">
        <f>SUMIF(92:92,I28,93:93)-SUMIF(92:92,C28,93:93)+100</f>
        <v>100</v>
      </c>
      <c r="K28" s="556"/>
      <c r="L28" s="2711"/>
      <c r="M28" s="2705"/>
      <c r="N28" s="2705"/>
      <c r="O28" s="2705"/>
      <c r="P28" s="3683"/>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685"/>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683"/>
      <c r="Q29" s="1343">
        <f t="shared" si="11"/>
        <v>111</v>
      </c>
      <c r="R29" s="696" t="s">
        <v>14</v>
      </c>
      <c r="S29" s="697">
        <f t="shared" si="12"/>
        <v>100</v>
      </c>
      <c r="T29" s="696" t="s">
        <v>14</v>
      </c>
      <c r="U29" s="697">
        <f t="shared" si="13"/>
        <v>100</v>
      </c>
      <c r="V29" s="696" t="s">
        <v>14</v>
      </c>
      <c r="W29" s="697">
        <f t="shared" si="14"/>
        <v>100</v>
      </c>
      <c r="X29" s="1346"/>
      <c r="Y29" s="3685"/>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683"/>
      <c r="Q30" s="1343">
        <f t="shared" si="11"/>
        <v>111</v>
      </c>
      <c r="R30" s="696" t="s">
        <v>14</v>
      </c>
      <c r="S30" s="697">
        <f t="shared" si="12"/>
        <v>100</v>
      </c>
      <c r="T30" s="696" t="s">
        <v>14</v>
      </c>
      <c r="U30" s="697">
        <f t="shared" si="13"/>
        <v>100</v>
      </c>
      <c r="V30" s="696" t="s">
        <v>14</v>
      </c>
      <c r="W30" s="697">
        <f t="shared" si="14"/>
        <v>100</v>
      </c>
      <c r="X30" s="1346"/>
      <c r="Y30" s="3685"/>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683"/>
      <c r="Q31" s="1343">
        <f t="shared" si="11"/>
        <v>111</v>
      </c>
      <c r="R31" s="696" t="s">
        <v>14</v>
      </c>
      <c r="S31" s="697">
        <f t="shared" si="12"/>
        <v>100</v>
      </c>
      <c r="T31" s="696" t="s">
        <v>14</v>
      </c>
      <c r="U31" s="697">
        <f t="shared" si="13"/>
        <v>100</v>
      </c>
      <c r="V31" s="696" t="s">
        <v>14</v>
      </c>
      <c r="W31" s="697">
        <f t="shared" si="14"/>
        <v>100</v>
      </c>
      <c r="X31" s="1346"/>
      <c r="Y31" s="3685"/>
      <c r="Z31" s="1347">
        <f t="shared" si="15"/>
        <v>111</v>
      </c>
      <c r="AA31" s="1344">
        <f t="shared" si="3"/>
        <v>1</v>
      </c>
      <c r="AB31" s="1344">
        <f t="shared" si="4"/>
        <v>1</v>
      </c>
      <c r="AC31" s="1344">
        <f t="shared" si="5"/>
        <v>1</v>
      </c>
    </row>
    <row r="32" spans="1:29" ht="15">
      <c r="A32" s="385" t="s">
        <v>1694</v>
      </c>
      <c r="B32" s="63" t="s">
        <v>1784</v>
      </c>
      <c r="C32" s="1901" t="s">
        <v>3442</v>
      </c>
      <c r="D32" s="412">
        <v>100</v>
      </c>
      <c r="E32" s="1901" t="s">
        <v>3442</v>
      </c>
      <c r="F32" s="406">
        <f>SUMIF(100:100,E32,101:101)-SUMIF(100:100,C32,101:101)+100</f>
        <v>100</v>
      </c>
      <c r="G32" s="1901" t="s">
        <v>3442</v>
      </c>
      <c r="H32" s="380">
        <f>SUMIF(100:100,G32,101:101)-SUMIF(100:100,C32,101:101)+100</f>
        <v>100</v>
      </c>
      <c r="I32" s="1901" t="s">
        <v>3442</v>
      </c>
      <c r="J32" s="412">
        <f>SUMIF(100:100,I32,101:101)-SUMIF(100:100,C32,101:101)+100</f>
        <v>100</v>
      </c>
      <c r="K32" s="555"/>
      <c r="L32" s="2711"/>
      <c r="M32" s="2705"/>
      <c r="N32" s="2705"/>
      <c r="O32" s="2705"/>
      <c r="P32" s="3686" t="s">
        <v>1696</v>
      </c>
      <c r="Q32" s="1343" t="str">
        <f t="shared" si="11"/>
        <v>商业类型</v>
      </c>
      <c r="R32" s="696" t="s">
        <v>14</v>
      </c>
      <c r="S32" s="697">
        <f t="shared" si="12"/>
        <v>100</v>
      </c>
      <c r="T32" s="696" t="s">
        <v>14</v>
      </c>
      <c r="U32" s="697">
        <f t="shared" si="13"/>
        <v>100</v>
      </c>
      <c r="V32" s="696" t="s">
        <v>14</v>
      </c>
      <c r="W32" s="697">
        <f t="shared" si="14"/>
        <v>100</v>
      </c>
      <c r="X32" s="1346"/>
      <c r="Y32" s="3689"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35.409999999999997</v>
      </c>
      <c r="D33" s="121">
        <v>100</v>
      </c>
      <c r="E33" s="375"/>
      <c r="F33" s="370">
        <f>LOOKUP(E33,103:103,104:104)-LOOKUP(C33,103:103,104:104)+100</f>
        <v>100</v>
      </c>
      <c r="G33" s="374"/>
      <c r="H33" s="121">
        <f>LOOKUP(G33,103:103,104:104)-LOOKUP(C33,103:103,104:104)+100</f>
        <v>100</v>
      </c>
      <c r="I33" s="374"/>
      <c r="J33" s="121">
        <f>LOOKUP(I33,103:103,104:104)-LOOKUP(C33,103:103,104:104)+100</f>
        <v>100</v>
      </c>
      <c r="K33" s="556"/>
      <c r="L33" s="2710"/>
      <c r="M33" s="2712"/>
      <c r="N33" s="2712"/>
      <c r="O33" s="2712"/>
      <c r="P33" s="3687"/>
      <c r="Q33" s="698" t="str">
        <f t="shared" si="11"/>
        <v>项目建筑规模</v>
      </c>
      <c r="R33" s="699" t="s">
        <v>14</v>
      </c>
      <c r="S33" s="700">
        <f t="shared" si="12"/>
        <v>100</v>
      </c>
      <c r="T33" s="699" t="s">
        <v>14</v>
      </c>
      <c r="U33" s="700">
        <f t="shared" si="13"/>
        <v>100</v>
      </c>
      <c r="V33" s="699" t="s">
        <v>14</v>
      </c>
      <c r="W33" s="700">
        <f t="shared" si="14"/>
        <v>100</v>
      </c>
      <c r="X33" s="701"/>
      <c r="Y33" s="3689"/>
      <c r="Z33" s="702" t="str">
        <f t="shared" si="15"/>
        <v>项目建筑规模</v>
      </c>
      <c r="AA33" s="1344">
        <f t="shared" si="3"/>
        <v>1</v>
      </c>
      <c r="AB33" s="1344">
        <f t="shared" si="4"/>
        <v>1</v>
      </c>
      <c r="AC33" s="1344">
        <f t="shared" si="5"/>
        <v>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687"/>
      <c r="Q34" s="1343" t="str">
        <f t="shared" si="11"/>
        <v>建筑结构</v>
      </c>
      <c r="R34" s="696" t="s">
        <v>14</v>
      </c>
      <c r="S34" s="697">
        <f t="shared" si="12"/>
        <v>100</v>
      </c>
      <c r="T34" s="696" t="s">
        <v>14</v>
      </c>
      <c r="U34" s="697">
        <f t="shared" si="13"/>
        <v>100</v>
      </c>
      <c r="V34" s="696" t="s">
        <v>14</v>
      </c>
      <c r="W34" s="697">
        <f t="shared" si="14"/>
        <v>100</v>
      </c>
      <c r="X34" s="1346"/>
      <c r="Y34" s="3689"/>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687"/>
      <c r="Q35" s="1343" t="str">
        <f t="shared" si="11"/>
        <v>公共部分装修</v>
      </c>
      <c r="R35" s="696" t="s">
        <v>14</v>
      </c>
      <c r="S35" s="697">
        <f t="shared" si="12"/>
        <v>100</v>
      </c>
      <c r="T35" s="696" t="s">
        <v>14</v>
      </c>
      <c r="U35" s="697">
        <f t="shared" si="13"/>
        <v>100</v>
      </c>
      <c r="V35" s="696" t="s">
        <v>14</v>
      </c>
      <c r="W35" s="697">
        <f t="shared" si="14"/>
        <v>100</v>
      </c>
      <c r="X35" s="1346"/>
      <c r="Y35" s="3689"/>
      <c r="Z35" s="1347" t="str">
        <f t="shared" si="15"/>
        <v>公共部分装修</v>
      </c>
      <c r="AA35" s="1344">
        <f t="shared" si="3"/>
        <v>1</v>
      </c>
      <c r="AB35" s="1344">
        <f t="shared" si="4"/>
        <v>1</v>
      </c>
      <c r="AC35" s="1344">
        <f t="shared" si="5"/>
        <v>1</v>
      </c>
    </row>
    <row r="36" spans="1:29" ht="15">
      <c r="A36" s="417"/>
      <c r="B36" s="369" t="s">
        <v>1786</v>
      </c>
      <c r="C36" s="419">
        <f>'数据-取费表'!N6</f>
        <v>0.96</v>
      </c>
      <c r="D36" s="380">
        <v>100</v>
      </c>
      <c r="E36" s="419">
        <f>C36</f>
        <v>0.96</v>
      </c>
      <c r="F36" s="406">
        <f>LOOKUP(E36,110:110,111:111)-LOOKUP(C36,110:110,111:111)+100</f>
        <v>100</v>
      </c>
      <c r="G36" s="419">
        <f>E36</f>
        <v>0.96</v>
      </c>
      <c r="H36" s="406">
        <f>LOOKUP(G36,110:110,111:111)-LOOKUP(C36,110:110,111:111)+100</f>
        <v>100</v>
      </c>
      <c r="I36" s="419">
        <f>G36</f>
        <v>0.96</v>
      </c>
      <c r="J36" s="380">
        <f>LOOKUP(I36,110:110,111:111)-LOOKUP(C36,110:110,111:111)+100</f>
        <v>100</v>
      </c>
      <c r="K36" s="555">
        <v>1</v>
      </c>
      <c r="L36" s="2711"/>
      <c r="M36" s="2705"/>
      <c r="N36" s="2705"/>
      <c r="O36" s="2705"/>
      <c r="P36" s="3687"/>
      <c r="Q36" s="1343" t="str">
        <f t="shared" si="11"/>
        <v>成新度</v>
      </c>
      <c r="R36" s="696" t="s">
        <v>14</v>
      </c>
      <c r="S36" s="697">
        <f t="shared" si="12"/>
        <v>100</v>
      </c>
      <c r="T36" s="696" t="s">
        <v>14</v>
      </c>
      <c r="U36" s="697">
        <f t="shared" si="13"/>
        <v>100</v>
      </c>
      <c r="V36" s="696" t="s">
        <v>14</v>
      </c>
      <c r="W36" s="697">
        <f t="shared" si="14"/>
        <v>100</v>
      </c>
      <c r="X36" s="1346"/>
      <c r="Y36" s="3689"/>
      <c r="Z36" s="1347" t="str">
        <f t="shared" si="15"/>
        <v>成新度</v>
      </c>
      <c r="AA36" s="1344">
        <f t="shared" si="3"/>
        <v>1</v>
      </c>
      <c r="AB36" s="1344">
        <f t="shared" si="4"/>
        <v>1</v>
      </c>
      <c r="AC36" s="1344">
        <f t="shared" si="5"/>
        <v>1</v>
      </c>
    </row>
    <row r="37" spans="1:29" s="108" customFormat="1" ht="15">
      <c r="A37" s="418"/>
      <c r="B37" s="369" t="s">
        <v>1787</v>
      </c>
      <c r="C37" s="1897" t="s">
        <v>3453</v>
      </c>
      <c r="D37" s="121">
        <v>100</v>
      </c>
      <c r="E37" s="1897" t="s">
        <v>3453</v>
      </c>
      <c r="F37" s="406">
        <f>SUMIF(112:112,E37,113:113)-SUMIF(112:112,C37,113:113)+100</f>
        <v>100</v>
      </c>
      <c r="G37" s="1897" t="s">
        <v>3453</v>
      </c>
      <c r="H37" s="380">
        <f>SUMIF(112:112,G37,113:113)-SUMIF(112:112,C37,113:113)+100</f>
        <v>100</v>
      </c>
      <c r="I37" s="1897" t="s">
        <v>3453</v>
      </c>
      <c r="J37" s="380">
        <f>SUMIF(112:112,I37,113:113)-SUMIF(112:112,C37,113:113)+100</f>
        <v>100</v>
      </c>
      <c r="K37" s="555">
        <v>1</v>
      </c>
      <c r="L37" s="2706"/>
      <c r="M37" s="2707"/>
      <c r="N37" s="2707"/>
      <c r="O37" s="2707"/>
      <c r="P37" s="3687"/>
      <c r="Q37" s="1334" t="str">
        <f t="shared" si="11"/>
        <v>市政基础设施</v>
      </c>
      <c r="R37" s="692" t="s">
        <v>14</v>
      </c>
      <c r="S37" s="693">
        <f t="shared" si="12"/>
        <v>100</v>
      </c>
      <c r="T37" s="692" t="s">
        <v>14</v>
      </c>
      <c r="U37" s="693">
        <f t="shared" si="13"/>
        <v>100</v>
      </c>
      <c r="V37" s="692" t="s">
        <v>14</v>
      </c>
      <c r="W37" s="693">
        <f t="shared" si="14"/>
        <v>100</v>
      </c>
      <c r="X37" s="694"/>
      <c r="Y37" s="3689"/>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687" t="s">
        <v>1696</v>
      </c>
      <c r="Q38" s="1343" t="str">
        <f t="shared" si="11"/>
        <v>业态</v>
      </c>
      <c r="R38" s="696" t="s">
        <v>14</v>
      </c>
      <c r="S38" s="697">
        <f t="shared" si="12"/>
        <v>100</v>
      </c>
      <c r="T38" s="696" t="s">
        <v>14</v>
      </c>
      <c r="U38" s="697">
        <f t="shared" si="13"/>
        <v>100</v>
      </c>
      <c r="V38" s="696" t="s">
        <v>14</v>
      </c>
      <c r="W38" s="697">
        <f t="shared" si="14"/>
        <v>100</v>
      </c>
      <c r="X38" s="1346"/>
      <c r="Y38" s="3689" t="s">
        <v>1696</v>
      </c>
      <c r="Z38" s="1347" t="str">
        <f t="shared" si="15"/>
        <v>业态</v>
      </c>
      <c r="AA38" s="1344">
        <f t="shared" si="3"/>
        <v>1</v>
      </c>
      <c r="AB38" s="1344">
        <f t="shared" si="4"/>
        <v>1</v>
      </c>
      <c r="AC38" s="1344">
        <f t="shared" si="5"/>
        <v>1</v>
      </c>
    </row>
    <row r="39" spans="1:29" ht="15">
      <c r="A39" s="417"/>
      <c r="B39" s="369" t="s">
        <v>1789</v>
      </c>
      <c r="C39" s="1897" t="s">
        <v>3449</v>
      </c>
      <c r="D39" s="380">
        <v>100</v>
      </c>
      <c r="E39" s="1897" t="s">
        <v>3449</v>
      </c>
      <c r="F39" s="406">
        <f>SUMIF(116:116,E39,117:117)-SUMIF(116:116,C39,117:117)+100</f>
        <v>100</v>
      </c>
      <c r="G39" s="1897" t="s">
        <v>3449</v>
      </c>
      <c r="H39" s="380">
        <f>SUMIF(116:116,G39,117:117)-SUMIF(116:116,C39,117:117)+100</f>
        <v>100</v>
      </c>
      <c r="I39" s="1897" t="s">
        <v>3449</v>
      </c>
      <c r="J39" s="380">
        <f>SUMIF(116:116,I39,117:117)-SUMIF(116:116,C39,117:117)+100</f>
        <v>100</v>
      </c>
      <c r="K39" s="555">
        <v>3</v>
      </c>
      <c r="L39" s="2711"/>
      <c r="M39" s="2705"/>
      <c r="N39" s="2705"/>
      <c r="O39" s="2705"/>
      <c r="P39" s="3687"/>
      <c r="Q39" s="1343" t="str">
        <f t="shared" si="11"/>
        <v>层高</v>
      </c>
      <c r="R39" s="696" t="s">
        <v>14</v>
      </c>
      <c r="S39" s="697">
        <f t="shared" si="12"/>
        <v>100</v>
      </c>
      <c r="T39" s="696" t="s">
        <v>14</v>
      </c>
      <c r="U39" s="697">
        <f t="shared" si="13"/>
        <v>100</v>
      </c>
      <c r="V39" s="696" t="s">
        <v>14</v>
      </c>
      <c r="W39" s="697">
        <f t="shared" si="14"/>
        <v>100</v>
      </c>
      <c r="X39" s="1346"/>
      <c r="Y39" s="3689"/>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687"/>
      <c r="Q40" s="1343" t="str">
        <f t="shared" si="11"/>
        <v>单套建筑面积</v>
      </c>
      <c r="R40" s="696" t="s">
        <v>14</v>
      </c>
      <c r="S40" s="697">
        <f t="shared" si="12"/>
        <v>100</v>
      </c>
      <c r="T40" s="696" t="s">
        <v>14</v>
      </c>
      <c r="U40" s="697">
        <f t="shared" si="13"/>
        <v>100</v>
      </c>
      <c r="V40" s="696" t="s">
        <v>14</v>
      </c>
      <c r="W40" s="697">
        <f t="shared" si="14"/>
        <v>100</v>
      </c>
      <c r="X40" s="1346"/>
      <c r="Y40" s="3689"/>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687"/>
      <c r="Q41" s="698" t="str">
        <f t="shared" si="11"/>
        <v>进深比</v>
      </c>
      <c r="R41" s="699" t="s">
        <v>14</v>
      </c>
      <c r="S41" s="700">
        <f t="shared" si="12"/>
        <v>100</v>
      </c>
      <c r="T41" s="699" t="s">
        <v>14</v>
      </c>
      <c r="U41" s="700">
        <f t="shared" si="13"/>
        <v>100</v>
      </c>
      <c r="V41" s="699" t="s">
        <v>14</v>
      </c>
      <c r="W41" s="700">
        <f t="shared" si="14"/>
        <v>100</v>
      </c>
      <c r="X41" s="701"/>
      <c r="Y41" s="3689"/>
      <c r="Z41" s="702" t="str">
        <f t="shared" si="15"/>
        <v>进深比</v>
      </c>
      <c r="AA41" s="1344">
        <f t="shared" si="3"/>
        <v>1</v>
      </c>
      <c r="AB41" s="1344">
        <f t="shared" si="4"/>
        <v>1</v>
      </c>
      <c r="AC41" s="1344">
        <f t="shared" si="5"/>
        <v>1</v>
      </c>
    </row>
    <row r="42" spans="1:29" ht="15">
      <c r="A42" s="417"/>
      <c r="B42" s="369" t="s">
        <v>1792</v>
      </c>
      <c r="C42" s="1897" t="s">
        <v>3445</v>
      </c>
      <c r="D42" s="380">
        <v>100</v>
      </c>
      <c r="E42" s="1897" t="s">
        <v>3445</v>
      </c>
      <c r="F42" s="406">
        <f>SUMIF(122:122,E42,123:123)-SUMIF(122:122,C42,123:123)+100</f>
        <v>100</v>
      </c>
      <c r="G42" s="1897" t="s">
        <v>3445</v>
      </c>
      <c r="H42" s="380">
        <f>SUMIF(122:122,G42,123:123)-SUMIF(122:122,C42,123:123)+100</f>
        <v>100</v>
      </c>
      <c r="I42" s="1897" t="s">
        <v>3445</v>
      </c>
      <c r="J42" s="380">
        <f>SUMIF(122:122,I42,123:123)-SUMIF(122:122,C42,123:123)+100</f>
        <v>100</v>
      </c>
      <c r="K42" s="555">
        <v>1</v>
      </c>
      <c r="L42" s="2711"/>
      <c r="M42" s="2705"/>
      <c r="N42" s="2705"/>
      <c r="O42" s="2705"/>
      <c r="P42" s="3687"/>
      <c r="Q42" s="1343" t="str">
        <f t="shared" si="11"/>
        <v>内部装修</v>
      </c>
      <c r="R42" s="696" t="s">
        <v>14</v>
      </c>
      <c r="S42" s="697">
        <f t="shared" si="12"/>
        <v>100</v>
      </c>
      <c r="T42" s="696" t="s">
        <v>14</v>
      </c>
      <c r="U42" s="697">
        <f t="shared" si="13"/>
        <v>100</v>
      </c>
      <c r="V42" s="696" t="s">
        <v>14</v>
      </c>
      <c r="W42" s="697">
        <f t="shared" si="14"/>
        <v>100</v>
      </c>
      <c r="X42" s="1346"/>
      <c r="Y42" s="3689"/>
      <c r="Z42" s="1347" t="str">
        <f t="shared" si="15"/>
        <v>内部装修</v>
      </c>
      <c r="AA42" s="1344">
        <f t="shared" si="3"/>
        <v>1</v>
      </c>
      <c r="AB42" s="1344">
        <f t="shared" si="4"/>
        <v>1</v>
      </c>
      <c r="AC42" s="1344">
        <f t="shared" si="5"/>
        <v>1</v>
      </c>
    </row>
    <row r="43" spans="1:29" ht="15">
      <c r="A43" s="417"/>
      <c r="B43" s="369" t="s">
        <v>1707</v>
      </c>
      <c r="C43" s="1897" t="s">
        <v>3407</v>
      </c>
      <c r="D43" s="380">
        <v>100</v>
      </c>
      <c r="E43" s="1897" t="s">
        <v>3407</v>
      </c>
      <c r="F43" s="406">
        <f>SUMIF(124:124,E43,125:125)-SUMIF(124:124,C43,125:125)+100</f>
        <v>100</v>
      </c>
      <c r="G43" s="1897" t="s">
        <v>3407</v>
      </c>
      <c r="H43" s="380">
        <f>SUMIF(124:124,G43,125:125)-SUMIF(124:124,C43,125:125)+100</f>
        <v>100</v>
      </c>
      <c r="I43" s="1897" t="s">
        <v>3407</v>
      </c>
      <c r="J43" s="380">
        <f>SUMIF(124:124,I43,125:125)-SUMIF(124:124,C43,125:125)+100</f>
        <v>100</v>
      </c>
      <c r="K43" s="555">
        <v>2</v>
      </c>
      <c r="L43" s="2711"/>
      <c r="M43" s="2705"/>
      <c r="N43" s="2705"/>
      <c r="O43" s="2705"/>
      <c r="P43" s="3687"/>
      <c r="Q43" s="1343" t="str">
        <f t="shared" si="11"/>
        <v>内部装修维护情况</v>
      </c>
      <c r="R43" s="696" t="s">
        <v>14</v>
      </c>
      <c r="S43" s="697">
        <f t="shared" si="12"/>
        <v>100</v>
      </c>
      <c r="T43" s="696" t="s">
        <v>14</v>
      </c>
      <c r="U43" s="697">
        <f t="shared" si="13"/>
        <v>100</v>
      </c>
      <c r="V43" s="696" t="s">
        <v>14</v>
      </c>
      <c r="W43" s="697">
        <f t="shared" si="14"/>
        <v>100</v>
      </c>
      <c r="X43" s="1346"/>
      <c r="Y43" s="3689"/>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687"/>
      <c r="Q44" s="1334">
        <f t="shared" si="11"/>
        <v>111</v>
      </c>
      <c r="R44" s="692" t="s">
        <v>14</v>
      </c>
      <c r="S44" s="693">
        <f t="shared" si="12"/>
        <v>100</v>
      </c>
      <c r="T44" s="692" t="s">
        <v>14</v>
      </c>
      <c r="U44" s="693">
        <f t="shared" si="13"/>
        <v>100</v>
      </c>
      <c r="V44" s="692" t="s">
        <v>14</v>
      </c>
      <c r="W44" s="693">
        <f t="shared" si="14"/>
        <v>100</v>
      </c>
      <c r="X44" s="694"/>
      <c r="Y44" s="3689"/>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687"/>
      <c r="Q45" s="1343">
        <f t="shared" si="11"/>
        <v>111</v>
      </c>
      <c r="R45" s="696" t="s">
        <v>14</v>
      </c>
      <c r="S45" s="697">
        <f t="shared" si="12"/>
        <v>100</v>
      </c>
      <c r="T45" s="696" t="s">
        <v>14</v>
      </c>
      <c r="U45" s="697">
        <f t="shared" si="13"/>
        <v>100</v>
      </c>
      <c r="V45" s="696" t="s">
        <v>14</v>
      </c>
      <c r="W45" s="697">
        <f t="shared" si="14"/>
        <v>100</v>
      </c>
      <c r="X45" s="1346"/>
      <c r="Y45" s="3689"/>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688"/>
      <c r="Q46" s="1343">
        <f t="shared" si="11"/>
        <v>111</v>
      </c>
      <c r="R46" s="696" t="s">
        <v>14</v>
      </c>
      <c r="S46" s="697">
        <f t="shared" si="12"/>
        <v>100</v>
      </c>
      <c r="T46" s="696" t="s">
        <v>14</v>
      </c>
      <c r="U46" s="697">
        <f t="shared" si="13"/>
        <v>100</v>
      </c>
      <c r="V46" s="696" t="s">
        <v>14</v>
      </c>
      <c r="W46" s="697">
        <f t="shared" si="14"/>
        <v>100</v>
      </c>
      <c r="X46" s="1346"/>
      <c r="Y46" s="3690"/>
      <c r="Z46" s="1347">
        <f t="shared" si="15"/>
        <v>111</v>
      </c>
      <c r="AA46" s="1344">
        <f t="shared" si="3"/>
        <v>1</v>
      </c>
      <c r="AB46" s="1344">
        <f t="shared" si="4"/>
        <v>1</v>
      </c>
      <c r="AC46" s="1344">
        <f t="shared" si="5"/>
        <v>1</v>
      </c>
    </row>
    <row r="47" spans="1:29" ht="15">
      <c r="A47" s="424" t="s">
        <v>1708</v>
      </c>
      <c r="B47" s="425"/>
      <c r="C47" s="1145" t="s">
        <v>0</v>
      </c>
      <c r="D47" s="1146"/>
      <c r="E47" s="1147">
        <v>30000</v>
      </c>
      <c r="F47" s="1148"/>
      <c r="G47" s="1147">
        <v>30000</v>
      </c>
      <c r="H47" s="1150"/>
      <c r="I47" s="1147">
        <v>30000</v>
      </c>
      <c r="J47" s="1150"/>
      <c r="K47" s="705"/>
      <c r="L47" s="2713"/>
      <c r="M47" s="2714"/>
      <c r="N47" s="2705"/>
      <c r="O47" s="2714"/>
      <c r="P47" s="3677" t="str">
        <f>A47</f>
        <v>成交单价（元/平方米）</v>
      </c>
      <c r="Q47" s="3677"/>
      <c r="R47" s="3691">
        <f>E47</f>
        <v>30000</v>
      </c>
      <c r="S47" s="3691"/>
      <c r="T47" s="3691">
        <f>G47</f>
        <v>30000</v>
      </c>
      <c r="U47" s="3691"/>
      <c r="V47" s="3691">
        <f>I47</f>
        <v>30000</v>
      </c>
      <c r="W47" s="3691"/>
      <c r="X47" s="681"/>
      <c r="Y47" s="703"/>
      <c r="Z47" s="681"/>
      <c r="AA47" s="681"/>
      <c r="AB47" s="681"/>
      <c r="AC47" s="681"/>
    </row>
    <row r="48" spans="1:29" ht="15.75" thickBot="1">
      <c r="A48" s="431" t="s">
        <v>1793</v>
      </c>
      <c r="B48" s="432"/>
      <c r="C48" s="1151">
        <f>R49</f>
        <v>28571</v>
      </c>
      <c r="D48" s="2308" t="s">
        <v>2138</v>
      </c>
      <c r="E48" s="1152">
        <f>R48</f>
        <v>28571</v>
      </c>
      <c r="F48" s="2309"/>
      <c r="G48" s="1151">
        <f>T48</f>
        <v>28571</v>
      </c>
      <c r="H48" s="2309"/>
      <c r="I48" s="1152">
        <f>V48</f>
        <v>28571</v>
      </c>
      <c r="J48" s="2309"/>
      <c r="K48" s="2311">
        <f>F48+H48+J48</f>
        <v>0</v>
      </c>
      <c r="L48" s="2713"/>
      <c r="M48" s="2714"/>
      <c r="N48" s="2705"/>
      <c r="O48" s="2714"/>
      <c r="P48" s="3677" t="str">
        <f>A48</f>
        <v>比较价值（元/平方米）</v>
      </c>
      <c r="Q48" s="3677"/>
      <c r="R48" s="3678">
        <f>IF(F1="售价",ROUND(PRODUCT(R47,AA7:AA46),0),ROUND(PRODUCT(R47,AA7:AA46),1))</f>
        <v>28571</v>
      </c>
      <c r="S48" s="3678"/>
      <c r="T48" s="3678">
        <f>IF(F1="售价",ROUND(PRODUCT(T47,AB7:AB46),0),ROUND(PRODUCT(T47,AB7:AB46),1))</f>
        <v>28571</v>
      </c>
      <c r="U48" s="3678"/>
      <c r="V48" s="3678">
        <f>IF(F1="售价",ROUND(PRODUCT(V47,AC7:AC46),0),ROUND(PRODUCT(V47,AC7:AC46),1))</f>
        <v>28571</v>
      </c>
      <c r="W48" s="3678"/>
      <c r="X48" s="681"/>
      <c r="Y48" s="681"/>
      <c r="Z48" s="681"/>
      <c r="AA48" s="681"/>
      <c r="AB48" s="681"/>
      <c r="AC48" s="681"/>
    </row>
    <row r="49" spans="1:29" ht="15.75" thickBot="1">
      <c r="A49" s="435" t="s">
        <v>1794</v>
      </c>
      <c r="B49" s="436"/>
      <c r="C49" s="1154">
        <f>R49</f>
        <v>28571</v>
      </c>
      <c r="D49" s="1154"/>
      <c r="E49" s="1154"/>
      <c r="F49" s="1154"/>
      <c r="G49" s="1154"/>
      <c r="H49" s="1154"/>
      <c r="I49" s="1154"/>
      <c r="J49" s="1154"/>
      <c r="K49" s="706"/>
      <c r="L49" s="2713"/>
      <c r="M49" s="2714"/>
      <c r="N49" s="2705"/>
      <c r="O49" s="2714"/>
      <c r="P49" s="3679" t="str">
        <f>A49</f>
        <v>估价对象XX用房的比较价值（楼面单价，元/平方米）</v>
      </c>
      <c r="Q49" s="3680"/>
      <c r="R49" s="3681">
        <f>IF(F1="售价",ROUND(IF(D48="简单平均",AVERAGE(R48:V48),R48*F48+T48*H48+V48*J48),0),ROUND(IF(D48="简单平均",AVERAGE(R48:V48),R48*F48+T48*H48+V48*J48),1))</f>
        <v>28571</v>
      </c>
      <c r="S49" s="3681"/>
      <c r="T49" s="3681"/>
      <c r="U49" s="3681"/>
      <c r="V49" s="3681"/>
      <c r="W49" s="368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5.0015750236253487E-2</v>
      </c>
      <c r="F52" s="443" t="str">
        <f>IF(OR(E52&gt;=0.3,E52&lt;=-0.3),"超过30%","")</f>
        <v/>
      </c>
      <c r="G52" s="442">
        <f>IF(G47&lt;G48,G48/G47-1,G47/G48-1)</f>
        <v>5.0015750236253487E-2</v>
      </c>
      <c r="H52" s="443" t="str">
        <f>IF(OR(G52&gt;=0.3,G52&lt;=-0.3),"超过30%","")</f>
        <v/>
      </c>
      <c r="I52" s="442">
        <f>IF(I47&lt;I48,I48/I47-1,I47/I48-1)</f>
        <v>5.0015750236253487E-2</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v>
      </c>
      <c r="F53" s="443" t="str">
        <f>IF(OR(E53&gt;=0.2,E53&lt;=-0.2),"超过20%","")</f>
        <v/>
      </c>
      <c r="G53" s="442">
        <f>IF(G48&lt;I48,I48/G48-1,G48/I48-1)</f>
        <v>0</v>
      </c>
      <c r="H53" s="443" t="str">
        <f>IF(OR(G53&gt;=0.2,G53&lt;=-0.2),"超过20%","")</f>
        <v/>
      </c>
      <c r="I53" s="442">
        <f>IF(I48&lt;E48,E48/I48-1,I48/E48-1)</f>
        <v>0</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v>
      </c>
      <c r="F54" s="443" t="str">
        <f>IF(OR(E54&gt;=0.3,E54&lt;=-0.3),"超过30%","")</f>
        <v/>
      </c>
      <c r="G54" s="442">
        <f>IF(G47&lt;I47,I47/G47-1,G47/I47-1)</f>
        <v>0</v>
      </c>
      <c r="H54" s="443" t="str">
        <f>IF(OR(G54&gt;=0.3,G54&lt;=-0.3),"超过30%","")</f>
        <v/>
      </c>
      <c r="I54" s="442">
        <f>IF(I47&lt;E47,E47/I47-1,I47/E47-1)</f>
        <v>0</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2024-2</v>
      </c>
      <c r="D58" s="1176">
        <f>EDATE(C58,-1)</f>
        <v>45292</v>
      </c>
      <c r="E58" s="1176">
        <f t="shared" ref="E58:N58" si="16">EDATE(D58,-1)</f>
        <v>45261</v>
      </c>
      <c r="F58" s="1176">
        <f t="shared" si="16"/>
        <v>45231</v>
      </c>
      <c r="G58" s="1176">
        <f t="shared" si="16"/>
        <v>45200</v>
      </c>
      <c r="H58" s="1176">
        <f t="shared" si="16"/>
        <v>45170</v>
      </c>
      <c r="I58" s="1176">
        <f t="shared" si="16"/>
        <v>45139</v>
      </c>
      <c r="J58" s="1176">
        <f t="shared" si="16"/>
        <v>45108</v>
      </c>
      <c r="K58" s="1176">
        <f t="shared" si="16"/>
        <v>45078</v>
      </c>
      <c r="L58" s="1176">
        <f t="shared" si="16"/>
        <v>45047</v>
      </c>
      <c r="M58" s="1176">
        <f t="shared" si="16"/>
        <v>45017</v>
      </c>
      <c r="N58" s="1176">
        <f t="shared" si="16"/>
        <v>44986</v>
      </c>
      <c r="O58" s="1176">
        <f>EDATE(N58,-1)</f>
        <v>44958</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3423</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105</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3435</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3436</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3430</v>
      </c>
      <c r="D90" s="3469" t="s">
        <v>3431</v>
      </c>
      <c r="E90" s="3469" t="s">
        <v>3426</v>
      </c>
      <c r="F90" s="3469" t="s">
        <v>3432</v>
      </c>
      <c r="G90" s="3469" t="s">
        <v>3433</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3437</v>
      </c>
      <c r="D92" s="497" t="s">
        <v>3438</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3439</v>
      </c>
      <c r="D100" s="3464" t="s">
        <v>3440</v>
      </c>
      <c r="E100" s="3464" t="s">
        <v>3441</v>
      </c>
      <c r="F100" s="3464" t="s">
        <v>3442</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3443</v>
      </c>
      <c r="D105" s="3469" t="s">
        <v>3452</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3448</v>
      </c>
      <c r="D107" s="3469" t="s">
        <v>3447</v>
      </c>
      <c r="E107" s="3469" t="s">
        <v>3446</v>
      </c>
      <c r="F107" s="3469" t="s">
        <v>3444</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3429</v>
      </c>
      <c r="D112" s="497" t="s">
        <v>3453</v>
      </c>
      <c r="E112" s="497" t="s">
        <v>3454</v>
      </c>
      <c r="F112" s="497" t="s">
        <v>3455</v>
      </c>
      <c r="G112" s="497" t="s">
        <v>3456</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3450</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3448</v>
      </c>
      <c r="D122" s="3469" t="s">
        <v>3447</v>
      </c>
      <c r="E122" s="3469" t="s">
        <v>3446</v>
      </c>
      <c r="F122" s="3469" t="s">
        <v>3444</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3419</v>
      </c>
      <c r="D1" s="1353" t="s">
        <v>43</v>
      </c>
      <c r="E1" s="1354" t="s">
        <v>678</v>
      </c>
      <c r="F1" s="1053">
        <f ca="1">J53</f>
        <v>34.369999999999997</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79</v>
      </c>
      <c r="C2" s="1378" t="s">
        <v>805</v>
      </c>
      <c r="D2" s="1378"/>
      <c r="E2" s="1379"/>
      <c r="F2" s="1380"/>
      <c r="G2" s="2695"/>
      <c r="H2" s="2684"/>
      <c r="I2" s="2684"/>
      <c r="J2" s="2684"/>
      <c r="K2" s="2685"/>
      <c r="L2" s="2684"/>
      <c r="M2" s="2684"/>
    </row>
    <row r="3" spans="1:37" ht="18" customHeight="1" thickBot="1">
      <c r="A3" s="1381" t="s">
        <v>806</v>
      </c>
      <c r="B3" s="1382">
        <f ca="1">IF(ISERROR(B2*10000/F43),0,ROUND(B2*10000/F43,0))</f>
        <v>22310</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5</v>
      </c>
      <c r="D5" s="1355" t="s">
        <v>693</v>
      </c>
      <c r="E5" s="1062"/>
      <c r="F5" s="1063"/>
      <c r="G5" s="1375"/>
      <c r="H5" s="293">
        <v>1</v>
      </c>
      <c r="I5" s="294" t="s">
        <v>692</v>
      </c>
      <c r="J5" s="1061">
        <f ca="1">J6+J10+J12</f>
        <v>0</v>
      </c>
      <c r="K5" s="1355" t="s">
        <v>693</v>
      </c>
      <c r="L5" s="1062"/>
      <c r="M5" s="1063"/>
    </row>
    <row r="6" spans="1:37" ht="18" customHeight="1">
      <c r="A6" s="1060" t="s">
        <v>398</v>
      </c>
      <c r="B6" s="3726" t="s">
        <v>694</v>
      </c>
      <c r="C6" s="1065">
        <f ca="1">ROUND(F6*F8*F7*(1-F9)/10000,0)</f>
        <v>5</v>
      </c>
      <c r="D6" s="149" t="s">
        <v>2109</v>
      </c>
      <c r="E6" s="296" t="s">
        <v>696</v>
      </c>
      <c r="F6" s="297">
        <f ca="1">INDIRECT("'数据-取费表'!u"&amp;$G$1)</f>
        <v>4</v>
      </c>
      <c r="G6" s="1375"/>
      <c r="H6" s="1060" t="s">
        <v>398</v>
      </c>
      <c r="I6" s="3726" t="s">
        <v>694</v>
      </c>
      <c r="J6" s="295">
        <f ca="1">ROUND(M6*M8*M7*(1-M9)/10000,0)</f>
        <v>0</v>
      </c>
      <c r="K6" s="149" t="s">
        <v>2108</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35.409999999999997</v>
      </c>
      <c r="G7" s="1375"/>
      <c r="H7" s="298"/>
      <c r="I7" s="3727"/>
      <c r="J7" s="300"/>
      <c r="K7" s="301"/>
      <c r="L7" s="296" t="s">
        <v>697</v>
      </c>
      <c r="M7" s="297">
        <f ca="1">F7</f>
        <v>35.409999999999997</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3410</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20</v>
      </c>
      <c r="D13" s="1072" t="s">
        <v>705</v>
      </c>
      <c r="E13" s="1072" t="s">
        <v>706</v>
      </c>
      <c r="F13" s="1073">
        <f ca="1">INDIRECT("'数据-取费表'!y"&amp;$G$1)</f>
        <v>0.96</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14</v>
      </c>
      <c r="D14" s="1336" t="s">
        <v>708</v>
      </c>
      <c r="E14" s="1333"/>
      <c r="F14" s="313"/>
      <c r="G14" s="1375"/>
      <c r="H14" s="973" t="s">
        <v>398</v>
      </c>
      <c r="I14" s="296" t="s">
        <v>709</v>
      </c>
      <c r="J14" s="21">
        <f ca="1">C29</f>
        <v>21</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1</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15</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0.32</v>
      </c>
      <c r="K22" s="1335" t="s">
        <v>739</v>
      </c>
      <c r="L22" s="296" t="s">
        <v>712</v>
      </c>
      <c r="M22" s="322">
        <f ca="1">INDIRECT("'数据-取费表'!Ak"&amp;$G$1)</f>
        <v>1.4999999999999999E-2</v>
      </c>
    </row>
    <row r="23" spans="1:37" s="1388" customFormat="1" ht="18" customHeight="1">
      <c r="A23" s="973" t="s">
        <v>397</v>
      </c>
      <c r="B23" s="296" t="s">
        <v>740</v>
      </c>
      <c r="C23" s="21">
        <f ca="1">IF('数据-取费表'!B22&lt;=1,ROUND(C19*F24*F23/2,0)+ROUND(C20*F24*F23/2,0),ROUND(C19*(POWER((1+F24),F23/2)-1),0)+ROUND(C20*(POWER((1+F24),F23/2)-1),0))</f>
        <v>1</v>
      </c>
      <c r="D23" s="323" t="str">
        <f>IF(F23&lt;=1,"(建造成本+管理费用)×利率×(建设周期÷2)","(建造成本+管理费用)×((1+利率)^(建设周期÷2)-1)")</f>
        <v>(建造成本+管理费用)×((1+利率)^(建设周期÷2)-1)</v>
      </c>
      <c r="E23" s="296" t="s">
        <v>741</v>
      </c>
      <c r="F23" s="319">
        <f>'数据-取费表'!B20</f>
        <v>2</v>
      </c>
      <c r="G23" s="1387"/>
      <c r="H23" s="973" t="s">
        <v>437</v>
      </c>
      <c r="I23" s="296" t="s">
        <v>742</v>
      </c>
      <c r="J23" s="21">
        <f ca="1">ROUND(J13*M23,2)</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6.9999999999999999E-4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1.4999999999999999E-2</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3</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21</v>
      </c>
      <c r="D29" s="1083"/>
      <c r="E29" s="1081"/>
      <c r="F29" s="1084"/>
      <c r="G29" s="1387"/>
      <c r="H29" s="328" t="s">
        <v>396</v>
      </c>
      <c r="I29" s="329" t="s">
        <v>768</v>
      </c>
      <c r="J29" s="330">
        <f ca="1">ROUND(J26/(1+F40)^F41,0)</f>
        <v>0</v>
      </c>
      <c r="K29" s="331" t="s">
        <v>769</v>
      </c>
      <c r="L29" s="332"/>
      <c r="M29" s="333">
        <f ca="1">INDIRECT("'数据-取费表'!k"&amp;$G$1)</f>
        <v>35.409999999999997</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0.83</v>
      </c>
      <c r="D31" s="1336" t="s">
        <v>720</v>
      </c>
      <c r="E31" s="1335" t="s">
        <v>770</v>
      </c>
      <c r="F31" s="2306" t="str">
        <f>IF(项目基本情况!B11="企业","——",IF(M47="住宅",IF(F6*F7*F8/12/(1+'数据-取费表'!F30)&gt;100000,4%,2.5%),IF(F6*F7*F8/12/(1+'数据-取费表'!F30)&gt;100000,12%,7%)))</f>
        <v>——</v>
      </c>
      <c r="G31" s="1375"/>
      <c r="H31" s="2797" t="s">
        <v>2306</v>
      </c>
      <c r="I31" s="1389"/>
      <c r="J31" s="1390"/>
      <c r="K31" s="2466"/>
      <c r="L31" s="2687"/>
      <c r="M31" s="2688"/>
    </row>
    <row r="32" spans="1:37" ht="18" customHeight="1">
      <c r="A32" s="973" t="s">
        <v>397</v>
      </c>
      <c r="B32" s="296" t="s">
        <v>723</v>
      </c>
      <c r="C32" s="21">
        <f ca="1">IF(项目基本情况!B11="自然人","——",ROUND(C6*F32/(1+'数据-取费表'!C42),2))</f>
        <v>0.26</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0.56999999999999995</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0.32</v>
      </c>
      <c r="D36" s="1335" t="s">
        <v>771</v>
      </c>
      <c r="E36" s="296" t="s">
        <v>712</v>
      </c>
      <c r="F36" s="322">
        <f ca="1">INDIRECT("'数据-取费表'!Ak"&amp;$G$1)</f>
        <v>1.4999999999999999E-2</v>
      </c>
      <c r="G36" s="1375"/>
      <c r="H36" s="2689"/>
      <c r="I36" s="1389"/>
      <c r="J36" s="1390"/>
      <c r="K36" s="2534"/>
      <c r="L36" s="2689"/>
      <c r="M36" s="2689"/>
    </row>
    <row r="37" spans="1:18" ht="18" customHeight="1">
      <c r="A37" s="973" t="s">
        <v>437</v>
      </c>
      <c r="B37" s="296" t="s">
        <v>742</v>
      </c>
      <c r="C37" s="21">
        <f ca="1">ROUND(C13*F37,2)</f>
        <v>0.03</v>
      </c>
      <c r="D37" s="1335" t="s">
        <v>743</v>
      </c>
      <c r="E37" s="296" t="s">
        <v>744</v>
      </c>
      <c r="F37" s="324">
        <f ca="1">INDIRECT("'数据-取费表'!Al"&amp;$G$1)</f>
        <v>1.5E-3</v>
      </c>
      <c r="G37" s="1375"/>
      <c r="H37" s="2689"/>
      <c r="I37" s="1389"/>
      <c r="J37" s="1390"/>
      <c r="K37" s="2534"/>
      <c r="L37" s="2689"/>
      <c r="M37" s="2689"/>
    </row>
    <row r="38" spans="1:18" ht="18" customHeight="1" thickBot="1">
      <c r="A38" s="1080" t="s">
        <v>684</v>
      </c>
      <c r="B38" s="1081" t="s">
        <v>728</v>
      </c>
      <c r="C38" s="1082">
        <f ca="1">ROUND(C5*F38,2)</f>
        <v>0.08</v>
      </c>
      <c r="D38" s="1083" t="s">
        <v>748</v>
      </c>
      <c r="E38" s="1081" t="s">
        <v>744</v>
      </c>
      <c r="F38" s="1077">
        <f ca="1">INDIRECT("'数据-取费表'!Am"&amp;$G$1)</f>
        <v>1.4999999999999999E-2</v>
      </c>
      <c r="G38" s="1375"/>
      <c r="H38" s="2689"/>
      <c r="I38" s="1389"/>
      <c r="J38" s="1390"/>
      <c r="K38" s="2693"/>
      <c r="L38" s="2689"/>
      <c r="M38" s="2689"/>
    </row>
    <row r="39" spans="1:18" ht="24.6" customHeight="1" thickTop="1">
      <c r="A39" s="1070" t="s">
        <v>394</v>
      </c>
      <c r="B39" s="1085" t="s">
        <v>772</v>
      </c>
      <c r="C39" s="304">
        <f ca="1">C5-C30</f>
        <v>4</v>
      </c>
      <c r="D39" s="1086" t="s">
        <v>773</v>
      </c>
      <c r="E39" s="1087"/>
      <c r="F39" s="1088"/>
      <c r="G39" s="1375"/>
      <c r="H39" s="2689"/>
      <c r="I39" s="1389"/>
      <c r="J39" s="1390"/>
      <c r="K39" s="2693"/>
      <c r="L39" s="2689"/>
      <c r="M39" s="2689"/>
    </row>
    <row r="40" spans="1:18" ht="18" customHeight="1">
      <c r="A40" s="293" t="s">
        <v>395</v>
      </c>
      <c r="B40" s="294" t="s">
        <v>774</v>
      </c>
      <c r="C40" s="295">
        <f ca="1">ROUND(C39*(1-((1+F42)/(1+F40))^F41)/(F40-F42),0)</f>
        <v>78</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34.369999999999997</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22028</v>
      </c>
      <c r="D43" s="331" t="s">
        <v>777</v>
      </c>
      <c r="E43" s="332" t="s">
        <v>778</v>
      </c>
      <c r="F43" s="333">
        <f ca="1">INDIRECT("'数据-取费表'!k"&amp;$G$1)</f>
        <v>35.409999999999997</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-78</v>
      </c>
      <c r="D46" s="1397" t="str">
        <f>C2</f>
        <v>万元</v>
      </c>
      <c r="E46" s="1391"/>
      <c r="F46" s="1391"/>
      <c r="I46" s="1398" t="s">
        <v>810</v>
      </c>
      <c r="J46" s="1399"/>
      <c r="K46" s="1400"/>
      <c r="L46" s="1401">
        <f ca="1">IF(M47="住宅",0,IF(L48&gt;J51,L60,J60))</f>
        <v>1</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3411</v>
      </c>
      <c r="K47" s="1407" t="s">
        <v>816</v>
      </c>
      <c r="L47" s="1408">
        <f ca="1">INDIRECT("'数据-取费表'!d"&amp;$G$1)</f>
        <v>40</v>
      </c>
      <c r="M47" s="1371" t="str">
        <f>IF(ISNUMBER(FIND("住宅",C1)),"住宅","非住宅")</f>
        <v>非住宅</v>
      </c>
      <c r="O47" s="1409" t="s">
        <v>403</v>
      </c>
      <c r="P47" s="1410" t="s">
        <v>817</v>
      </c>
      <c r="Q47" s="1411">
        <f ca="1">C40+J29</f>
        <v>78</v>
      </c>
      <c r="R47" s="1411" t="s">
        <v>818</v>
      </c>
    </row>
    <row r="48" spans="1:18" s="1375" customFormat="1" ht="28.5" thickBot="1">
      <c r="A48" s="1101" t="s">
        <v>438</v>
      </c>
      <c r="B48" s="294" t="s">
        <v>692</v>
      </c>
      <c r="C48" s="1350">
        <f ca="1">C49+C53+C55</f>
        <v>0</v>
      </c>
      <c r="D48" s="1103"/>
      <c r="E48" s="1104"/>
      <c r="F48" s="953"/>
      <c r="G48" s="713"/>
      <c r="H48" s="714"/>
      <c r="I48" s="1412" t="s">
        <v>819</v>
      </c>
      <c r="J48" s="1413" t="s">
        <v>3412</v>
      </c>
      <c r="K48" s="1414" t="s">
        <v>820</v>
      </c>
      <c r="L48" s="1415">
        <f ca="1">INDIRECT("'数据-取费表'!f"&amp;$G$1)</f>
        <v>34.369999999999997</v>
      </c>
      <c r="O48" s="1409" t="s">
        <v>404</v>
      </c>
      <c r="P48" s="1410" t="s">
        <v>821</v>
      </c>
      <c r="Q48" s="1411">
        <f ca="1">J60</f>
        <v>1</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2022</v>
      </c>
      <c r="K49" s="1414" t="s">
        <v>824</v>
      </c>
      <c r="L49" s="1418"/>
      <c r="O49" s="1419" t="s">
        <v>405</v>
      </c>
      <c r="P49" s="1410" t="s">
        <v>825</v>
      </c>
      <c r="Q49" s="1411">
        <f ca="1">C29</f>
        <v>21</v>
      </c>
      <c r="R49" s="1411" t="s">
        <v>818</v>
      </c>
    </row>
    <row r="50" spans="1:18" s="1375" customFormat="1" ht="13.5" thickBot="1">
      <c r="A50" s="967"/>
      <c r="B50" s="970"/>
      <c r="C50" s="1109"/>
      <c r="D50" s="944"/>
      <c r="E50" s="1047" t="s">
        <v>697</v>
      </c>
      <c r="F50" s="1048">
        <f ca="1">F7</f>
        <v>35.409999999999997</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48</v>
      </c>
      <c r="K51" s="1425" t="s">
        <v>830</v>
      </c>
      <c r="L51" s="1426">
        <f ca="1">ROUND(-PV(INDIRECT("'数据-取费表'!h"&amp;$G$1),J51,(C39-C13*C76),0),0)</f>
        <v>51</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34.369999999999997</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34.369999999999997</v>
      </c>
      <c r="K53" s="3724" t="s">
        <v>837</v>
      </c>
      <c r="L53" s="3725"/>
      <c r="O53" s="1409" t="s">
        <v>409</v>
      </c>
      <c r="P53" s="1410" t="s">
        <v>838</v>
      </c>
      <c r="Q53" s="1411">
        <f ca="1">Q47+Q48</f>
        <v>79</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0.27300000000000002</v>
      </c>
      <c r="K55" s="1436" t="s">
        <v>841</v>
      </c>
      <c r="L55" s="1437"/>
      <c r="O55" s="1402" t="s">
        <v>811</v>
      </c>
      <c r="P55" s="1403" t="s">
        <v>812</v>
      </c>
      <c r="Q55" s="1404" t="s">
        <v>813</v>
      </c>
      <c r="R55" s="1404" t="s">
        <v>814</v>
      </c>
    </row>
    <row r="56" spans="1:18" s="1375" customFormat="1" ht="25.5" thickTop="1" thickBot="1">
      <c r="A56" s="948">
        <v>2</v>
      </c>
      <c r="B56" s="949" t="s">
        <v>704</v>
      </c>
      <c r="C56" s="226">
        <f ca="1">C13</f>
        <v>20</v>
      </c>
      <c r="D56" s="1438"/>
      <c r="E56" s="1439"/>
      <c r="F56" s="1431"/>
      <c r="I56" s="1440" t="s">
        <v>842</v>
      </c>
      <c r="J56" s="1441" t="s">
        <v>3413</v>
      </c>
      <c r="K56" s="1412" t="s">
        <v>843</v>
      </c>
      <c r="L56" s="1415" t="str">
        <f ca="1">IF(L48&lt;J51,"——",L48-J53)</f>
        <v>——</v>
      </c>
      <c r="O56" s="1409" t="s">
        <v>403</v>
      </c>
      <c r="P56" s="1410" t="s">
        <v>817</v>
      </c>
      <c r="Q56" s="1411">
        <f ca="1">C40+J29</f>
        <v>78</v>
      </c>
      <c r="R56" s="1411" t="s">
        <v>818</v>
      </c>
    </row>
    <row r="57" spans="1:18" s="1375" customFormat="1" ht="24.75" thickBot="1">
      <c r="A57" s="1442"/>
      <c r="B57" s="941" t="s">
        <v>767</v>
      </c>
      <c r="C57" s="232">
        <f ca="1">C29</f>
        <v>21</v>
      </c>
      <c r="D57" s="1443"/>
      <c r="E57" s="1444"/>
      <c r="F57" s="1445"/>
      <c r="I57" s="1446" t="s">
        <v>844</v>
      </c>
      <c r="J57" s="1447">
        <f ca="1">IF(OR(M47="住宅",J51&lt;L48,J56="是"),"——",J51-L48)</f>
        <v>13.630000000000003</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0</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8</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19">
        <f t="shared" si="0"/>
        <v>1.5</v>
      </c>
      <c r="I62" s="1453" t="s">
        <v>858</v>
      </c>
      <c r="J62" s="1454" t="s">
        <v>859</v>
      </c>
      <c r="K62" s="1454" t="s">
        <v>860</v>
      </c>
      <c r="L62" s="1454" t="s">
        <v>861</v>
      </c>
      <c r="M62" s="1455" t="s">
        <v>862</v>
      </c>
      <c r="O62" s="1409" t="s">
        <v>409</v>
      </c>
      <c r="P62" s="1410" t="s">
        <v>863</v>
      </c>
      <c r="Q62" s="1411">
        <f ca="1">Q56+Q57</f>
        <v>78</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0.32</v>
      </c>
      <c r="D64" s="955" t="s">
        <v>791</v>
      </c>
      <c r="E64" s="941"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0.03</v>
      </c>
      <c r="D65" s="955" t="s">
        <v>743</v>
      </c>
      <c r="E65" s="941" t="s">
        <v>744</v>
      </c>
      <c r="F65" s="324">
        <f t="shared" ca="1" si="0"/>
        <v>1.5E-3</v>
      </c>
      <c r="I65" s="1453" t="s">
        <v>867</v>
      </c>
      <c r="J65" s="1454">
        <v>40</v>
      </c>
      <c r="K65" s="1454">
        <v>30</v>
      </c>
      <c r="L65" s="1454">
        <v>50</v>
      </c>
      <c r="M65" s="1456">
        <v>0.02</v>
      </c>
      <c r="O65" s="1409" t="s">
        <v>403</v>
      </c>
      <c r="P65" s="1410" t="s">
        <v>868</v>
      </c>
      <c r="Q65" s="1411">
        <f ca="1">C40+J29</f>
        <v>78</v>
      </c>
      <c r="R65" s="1411" t="s">
        <v>818</v>
      </c>
    </row>
    <row r="66" spans="1:18" s="1375" customFormat="1" ht="16.5" thickBot="1">
      <c r="A66" s="973" t="s">
        <v>793</v>
      </c>
      <c r="B66" s="941" t="s">
        <v>728</v>
      </c>
      <c r="C66" s="21">
        <f ca="1">ROUND(C48*F66,2)</f>
        <v>0</v>
      </c>
      <c r="D66" s="955" t="s">
        <v>794</v>
      </c>
      <c r="E66" s="941" t="s">
        <v>712</v>
      </c>
      <c r="F66" s="306">
        <f t="shared" ca="1" si="0"/>
        <v>1.4999999999999999E-2</v>
      </c>
      <c r="O66" s="1409" t="s">
        <v>404</v>
      </c>
      <c r="P66" s="1410" t="s">
        <v>846</v>
      </c>
      <c r="Q66" s="1411">
        <f ca="1">L60</f>
        <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51</v>
      </c>
      <c r="R67" s="1411" t="s">
        <v>870</v>
      </c>
    </row>
    <row r="68" spans="1:18" s="1375" customFormat="1" ht="16.5" thickBot="1">
      <c r="A68" s="938" t="s">
        <v>395</v>
      </c>
      <c r="B68" s="939" t="s">
        <v>774</v>
      </c>
      <c r="C68" s="295">
        <f ca="1">ROUND(C67*(1-((1+F70)/(1+F68))^F69)/(F68-F70),0)</f>
        <v>0</v>
      </c>
      <c r="D68" s="956" t="s">
        <v>758</v>
      </c>
      <c r="E68" s="941" t="s">
        <v>759</v>
      </c>
      <c r="F68" s="306">
        <f ca="1">F40</f>
        <v>5.5E-2</v>
      </c>
      <c r="O68" s="1419" t="s">
        <v>406</v>
      </c>
      <c r="P68" s="1458" t="s">
        <v>871</v>
      </c>
      <c r="Q68" s="1411">
        <f ca="1">ROUND(Q69-Q70*Q71,0)</f>
        <v>3</v>
      </c>
      <c r="R68" s="1411" t="s">
        <v>414</v>
      </c>
    </row>
    <row r="69" spans="1:18" s="1375" customFormat="1" ht="13.5" thickBot="1">
      <c r="A69" s="942"/>
      <c r="B69" s="943"/>
      <c r="C69" s="300"/>
      <c r="D69" s="961" t="s">
        <v>762</v>
      </c>
      <c r="E69" s="941" t="s">
        <v>763</v>
      </c>
      <c r="F69" s="327">
        <f ca="1">F41</f>
        <v>34.369999999999997</v>
      </c>
      <c r="O69" s="1419" t="s">
        <v>411</v>
      </c>
      <c r="P69" s="1458" t="s">
        <v>872</v>
      </c>
      <c r="Q69" s="1411">
        <f ca="1">C39</f>
        <v>4</v>
      </c>
      <c r="R69" s="1411" t="s">
        <v>818</v>
      </c>
    </row>
    <row r="70" spans="1:18" s="1375" customFormat="1" ht="13.5" thickBot="1">
      <c r="A70" s="945"/>
      <c r="B70" s="946"/>
      <c r="C70" s="304"/>
      <c r="D70" s="957"/>
      <c r="E70" s="941" t="s">
        <v>766</v>
      </c>
      <c r="F70" s="1045"/>
      <c r="O70" s="1419" t="s">
        <v>412</v>
      </c>
      <c r="P70" s="1458" t="s">
        <v>873</v>
      </c>
      <c r="Q70" s="1411">
        <f ca="1">C13</f>
        <v>20</v>
      </c>
      <c r="R70" s="1411" t="s">
        <v>818</v>
      </c>
    </row>
    <row r="71" spans="1:18" s="1375" customFormat="1" ht="13.5" thickBot="1">
      <c r="A71" s="962" t="s">
        <v>396</v>
      </c>
      <c r="B71" s="963" t="s">
        <v>776</v>
      </c>
      <c r="C71" s="330">
        <f ca="1">ROUND(C68*10000/F71,0)</f>
        <v>0</v>
      </c>
      <c r="D71" s="964" t="s">
        <v>777</v>
      </c>
      <c r="E71" s="965" t="s">
        <v>778</v>
      </c>
      <c r="F71" s="333">
        <f ca="1">F43</f>
        <v>35.409999999999997</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v>
      </c>
      <c r="D75" s="1375"/>
      <c r="E75" s="1375"/>
      <c r="F75" s="1375"/>
      <c r="K75" s="1393"/>
      <c r="L75" s="1375"/>
      <c r="O75" s="1409" t="s">
        <v>409</v>
      </c>
      <c r="P75" s="1410" t="s">
        <v>838</v>
      </c>
      <c r="Q75" s="1411">
        <f ca="1">Q65+Q66</f>
        <v>78</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0.75</v>
      </c>
    </row>
    <row r="80" spans="1:18">
      <c r="B80" s="334" t="s">
        <v>800</v>
      </c>
      <c r="C80" s="268">
        <f ca="1">ROUND(C75/C39,3)</f>
        <v>0.25</v>
      </c>
    </row>
    <row r="81" spans="2:3">
      <c r="B81" s="264" t="s">
        <v>801</v>
      </c>
      <c r="C81" s="232"/>
    </row>
    <row r="82" spans="2:3">
      <c r="B82" s="267" t="s">
        <v>802</v>
      </c>
      <c r="C82" s="269">
        <f ca="1">1-C83</f>
        <v>0.74399999999999999</v>
      </c>
    </row>
    <row r="83" spans="2:3">
      <c r="B83" s="267" t="s">
        <v>803</v>
      </c>
      <c r="C83" s="268">
        <f ca="1">ROUND(C13/C40,3)</f>
        <v>0.25600000000000001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3419</v>
      </c>
      <c r="D1" s="1353" t="s">
        <v>43</v>
      </c>
      <c r="E1" s="1354" t="s">
        <v>678</v>
      </c>
      <c r="F1" s="1053">
        <f ca="1">J53</f>
        <v>34.369999999999997</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f ca="1">ROUND(D2/10000,4)</f>
        <v>68.664500000000004</v>
      </c>
      <c r="C2" s="1378" t="s">
        <v>879</v>
      </c>
      <c r="D2" s="1462">
        <f ca="1">C40+J29+L46</f>
        <v>686645</v>
      </c>
      <c r="E2" s="1379" t="s">
        <v>880</v>
      </c>
      <c r="F2" s="1380"/>
      <c r="G2" s="2695"/>
      <c r="H2" s="2684"/>
      <c r="I2" s="2684"/>
      <c r="J2" s="2684"/>
      <c r="K2" s="2685"/>
      <c r="L2" s="2684"/>
      <c r="M2" s="2684"/>
    </row>
    <row r="3" spans="1:37" ht="18" customHeight="1" thickBot="1">
      <c r="A3" s="1381" t="s">
        <v>881</v>
      </c>
      <c r="B3" s="1382">
        <f ca="1">IF(ISERROR(D2/F43),0,ROUND(D2/F43,0))</f>
        <v>19391</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46587</v>
      </c>
      <c r="D5" s="1355" t="s">
        <v>889</v>
      </c>
      <c r="E5" s="1062"/>
      <c r="F5" s="1063"/>
      <c r="G5" s="1375"/>
      <c r="H5" s="293">
        <v>1</v>
      </c>
      <c r="I5" s="294" t="s">
        <v>888</v>
      </c>
      <c r="J5" s="1061">
        <f ca="1">J6+J10+J12</f>
        <v>0</v>
      </c>
      <c r="K5" s="1355" t="s">
        <v>889</v>
      </c>
      <c r="L5" s="1062"/>
      <c r="M5" s="1063"/>
    </row>
    <row r="6" spans="1:37" ht="18" customHeight="1">
      <c r="A6" s="1060" t="s">
        <v>398</v>
      </c>
      <c r="B6" s="3726" t="s">
        <v>694</v>
      </c>
      <c r="C6" s="1065">
        <f ca="1">ROUND(F6*F8*F7*(1-F9),0)</f>
        <v>46529</v>
      </c>
      <c r="D6" s="149" t="s">
        <v>2106</v>
      </c>
      <c r="E6" s="296" t="s">
        <v>696</v>
      </c>
      <c r="F6" s="297">
        <f ca="1">INDIRECT("'数据-取费表'!u"&amp;$G$1)</f>
        <v>4</v>
      </c>
      <c r="G6" s="1375"/>
      <c r="H6" s="1060" t="s">
        <v>398</v>
      </c>
      <c r="I6" s="3726" t="s">
        <v>694</v>
      </c>
      <c r="J6" s="295">
        <f ca="1">ROUND(M6*M8*M7*(1-M9),0)</f>
        <v>0</v>
      </c>
      <c r="K6" s="1367" t="s">
        <v>2107</v>
      </c>
      <c r="L6" s="296" t="s">
        <v>696</v>
      </c>
      <c r="M6" s="297">
        <f ca="1">INDIRECT("'数据-取费表'!z"&amp;$G$1)</f>
        <v>0</v>
      </c>
    </row>
    <row r="7" spans="1:37" ht="18" customHeight="1">
      <c r="A7" s="1064"/>
      <c r="B7" s="3727"/>
      <c r="C7" s="1066"/>
      <c r="D7" s="301"/>
      <c r="E7" s="1067" t="s">
        <v>697</v>
      </c>
      <c r="F7" s="297">
        <f ca="1">IF(INDIRECT("'数据-取费表'!ah"&amp;$G$1)="",INDIRECT("'数据-取费表'!k"&amp;$G$1),INDIRECT("'数据-取费表'!ah"&amp;$G$1))</f>
        <v>35.409999999999997</v>
      </c>
      <c r="G7" s="1375"/>
      <c r="H7" s="298"/>
      <c r="I7" s="3727"/>
      <c r="J7" s="300"/>
      <c r="K7" s="301"/>
      <c r="L7" s="296" t="s">
        <v>697</v>
      </c>
      <c r="M7" s="297">
        <f ca="1">F7</f>
        <v>35.409999999999997</v>
      </c>
    </row>
    <row r="8" spans="1:37" ht="18" customHeight="1">
      <c r="A8" s="298"/>
      <c r="B8" s="3727"/>
      <c r="C8" s="300"/>
      <c r="D8" s="301"/>
      <c r="E8" s="296" t="s">
        <v>698</v>
      </c>
      <c r="F8" s="297">
        <f ca="1">INDIRECT("'数据-取费表'!ai"&amp;$G$1)</f>
        <v>365</v>
      </c>
      <c r="G8" s="1375"/>
      <c r="H8" s="298"/>
      <c r="I8" s="3727"/>
      <c r="J8" s="300"/>
      <c r="K8" s="301"/>
      <c r="L8" s="296" t="s">
        <v>698</v>
      </c>
      <c r="M8" s="297">
        <f ca="1">INDIRECT("'数据-取费表'!ai"&amp;$G$1)</f>
        <v>365</v>
      </c>
    </row>
    <row r="9" spans="1:37" ht="18" customHeight="1">
      <c r="A9" s="298"/>
      <c r="B9" s="3728"/>
      <c r="C9" s="300"/>
      <c r="D9" s="301"/>
      <c r="E9" s="296" t="s">
        <v>699</v>
      </c>
      <c r="F9" s="306">
        <f ca="1">INDIRECT("'数据-取费表'!w"&amp;$G$1)</f>
        <v>0.1</v>
      </c>
      <c r="G9" s="1375"/>
      <c r="H9" s="298"/>
      <c r="I9" s="3728"/>
      <c r="J9" s="300"/>
      <c r="K9" s="301"/>
      <c r="L9" s="307" t="s">
        <v>699</v>
      </c>
      <c r="M9" s="308">
        <f ca="1">INDIRECT("'数据-取费表'!ab"&amp;$G$1)</f>
        <v>0</v>
      </c>
    </row>
    <row r="10" spans="1:37" ht="18" customHeight="1">
      <c r="A10" s="1060" t="s">
        <v>402</v>
      </c>
      <c r="B10" s="1356" t="s">
        <v>700</v>
      </c>
      <c r="C10" s="310">
        <f ca="1">ROUND(IF(F10="押一",C6/12*F11,IF(F10="押二",C6/12*2*F11,IF(F10="押三",C6/12*3*F11,C11*F11))),0)</f>
        <v>58</v>
      </c>
      <c r="D10" s="1357" t="s">
        <v>2116</v>
      </c>
      <c r="E10" s="307" t="s">
        <v>701</v>
      </c>
      <c r="F10" s="1107" t="s">
        <v>3410</v>
      </c>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203147</v>
      </c>
      <c r="D13" s="1072" t="s">
        <v>705</v>
      </c>
      <c r="E13" s="1072" t="s">
        <v>706</v>
      </c>
      <c r="F13" s="1073">
        <f ca="1">INDIRECT("'数据-取费表'!y"&amp;$G$1)</f>
        <v>0.96</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141640</v>
      </c>
      <c r="D14" s="1336" t="s">
        <v>708</v>
      </c>
      <c r="E14" s="1333"/>
      <c r="F14" s="313"/>
      <c r="G14" s="1375"/>
      <c r="H14" s="973" t="s">
        <v>398</v>
      </c>
      <c r="I14" s="296" t="s">
        <v>709</v>
      </c>
      <c r="J14" s="21">
        <f ca="1">C29</f>
        <v>211611</v>
      </c>
      <c r="K14" s="12"/>
      <c r="L14" s="798"/>
      <c r="M14" s="799"/>
    </row>
    <row r="15" spans="1:37" s="1388" customFormat="1" ht="18" customHeight="1" thickBot="1">
      <c r="A15" s="973" t="s">
        <v>399</v>
      </c>
      <c r="B15" s="296" t="s">
        <v>710</v>
      </c>
      <c r="C15" s="21">
        <f ca="1">ROUND(C14*F15,0)</f>
        <v>4249</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3174</v>
      </c>
      <c r="K16" s="1078" t="s">
        <v>715</v>
      </c>
      <c r="L16" s="1079"/>
      <c r="M16" s="1063"/>
    </row>
    <row r="17" spans="1:37" s="1388" customFormat="1" ht="18" customHeight="1">
      <c r="A17" s="973" t="s">
        <v>681</v>
      </c>
      <c r="B17" s="296" t="s">
        <v>716</v>
      </c>
      <c r="C17" s="21">
        <f ca="1">ROUND(F17*(F43+INDIRECT("'数据-取费表'!S"&amp;$G$1)),0)</f>
        <v>7082</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2125</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155096</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3102</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3174</v>
      </c>
      <c r="K22" s="1335" t="s">
        <v>739</v>
      </c>
      <c r="L22" s="296" t="s">
        <v>712</v>
      </c>
      <c r="M22" s="322">
        <f ca="1">INDIRECT("'数据-取费表'!Ak"&amp;$G$1)</f>
        <v>1.4999999999999999E-2</v>
      </c>
    </row>
    <row r="23" spans="1:37" s="1388" customFormat="1" ht="18" customHeight="1">
      <c r="A23" s="973" t="s">
        <v>397</v>
      </c>
      <c r="B23" s="296" t="s">
        <v>740</v>
      </c>
      <c r="C23" s="21">
        <f ca="1">IF('数据-取费表'!B22&lt;=1,ROUND(C19*F24*F23/2,0)+ROUND(C20*F24*F23/2,0),ROUND(C19*(POWER((1+F24),F23/2)-1),0)+ROUND(C20*(POWER((1+F24),F23/2)-1),0))</f>
        <v>5458</v>
      </c>
      <c r="D23" s="323" t="str">
        <f>IF(F23&lt;=1,"(建造成本+管理费用)×利率×(建设周期÷2)","(建造成本+管理费用)×((1+利率)^(建设周期÷2)-1)")</f>
        <v>(建造成本+管理费用)×((1+利率)^(建设周期÷2)-1)</v>
      </c>
      <c r="E23" s="296" t="s">
        <v>741</v>
      </c>
      <c r="F23" s="319">
        <f>'数据-取费表'!B20</f>
        <v>2</v>
      </c>
      <c r="G23" s="1387"/>
      <c r="H23" s="973" t="s">
        <v>437</v>
      </c>
      <c r="I23" s="296" t="s">
        <v>742</v>
      </c>
      <c r="J23" s="21">
        <f ca="1">ROUND(J13*M23,0)</f>
        <v>0</v>
      </c>
      <c r="K23" s="1335" t="s">
        <v>743</v>
      </c>
      <c r="L23" s="296" t="s">
        <v>744</v>
      </c>
      <c r="M23" s="324">
        <f ca="1">INDIRECT("'数据-取费表'!Al"&amp;$G$1)</f>
        <v>1.5E-3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6.9999999999999999E-4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1.4999999999999999E-2</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-3174</v>
      </c>
      <c r="K25" s="1086" t="s">
        <v>753</v>
      </c>
      <c r="L25" s="1087"/>
      <c r="M25" s="1088"/>
    </row>
    <row r="26" spans="1:37" ht="18" customHeight="1">
      <c r="A26" s="973" t="s">
        <v>397</v>
      </c>
      <c r="B26" s="296" t="s">
        <v>754</v>
      </c>
      <c r="C26" s="21">
        <f ca="1">ROUND((C19+C20)*F26,0)</f>
        <v>31640</v>
      </c>
      <c r="D26" s="317" t="s">
        <v>755</v>
      </c>
      <c r="E26" s="307" t="s">
        <v>756</v>
      </c>
      <c r="F26" s="306">
        <f ca="1">INDIRECT("'数据-取费表'!q"&amp;$G$1)</f>
        <v>0.2</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4.0000000000000001E-3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211611</v>
      </c>
      <c r="D29" s="1083"/>
      <c r="E29" s="1081"/>
      <c r="F29" s="1084"/>
      <c r="G29" s="1387"/>
      <c r="H29" s="328" t="s">
        <v>396</v>
      </c>
      <c r="I29" s="329" t="s">
        <v>768</v>
      </c>
      <c r="J29" s="330">
        <f ca="1">ROUND(J26/(1+F40)^F41,0)</f>
        <v>0</v>
      </c>
      <c r="K29" s="331" t="s">
        <v>769</v>
      </c>
      <c r="L29" s="332"/>
      <c r="M29" s="333">
        <f ca="1">INDIRECT("'数据-取费表'!k"&amp;$G$1)</f>
        <v>35.409999999999997</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11933</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7755</v>
      </c>
      <c r="D31" s="1336" t="s">
        <v>720</v>
      </c>
      <c r="E31" s="1335" t="s">
        <v>770</v>
      </c>
      <c r="F31" s="2306" t="str">
        <f>IF(项目基本情况!B11="企业","——",IF(M47="住宅",IF(F6*F7*F8/12/(1+'数据-取费表'!F30)&gt;100000,4%,2.5%),IF(F6*F7*F8/12/(1+'数据-取费表'!F30)&gt;100000,12%,7%)))</f>
        <v>——</v>
      </c>
      <c r="G31" s="1375"/>
      <c r="H31" s="2797" t="s">
        <v>2306</v>
      </c>
      <c r="I31" s="1389"/>
      <c r="J31" s="1390"/>
      <c r="K31" s="2466"/>
      <c r="L31" s="2687"/>
      <c r="M31" s="2688"/>
    </row>
    <row r="32" spans="1:37" ht="18" customHeight="1">
      <c r="A32" s="973" t="s">
        <v>397</v>
      </c>
      <c r="B32" s="296" t="s">
        <v>723</v>
      </c>
      <c r="C32" s="21">
        <f ca="1">IF(项目基本情况!B11="自然人","——",ROUND(C6*F32/(1+'数据-取费表'!C42),0))</f>
        <v>2437</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5318</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3174</v>
      </c>
      <c r="D36" s="1335" t="s">
        <v>771</v>
      </c>
      <c r="E36" s="296" t="s">
        <v>712</v>
      </c>
      <c r="F36" s="322">
        <f ca="1">INDIRECT("'数据-取费表'!Ak"&amp;$G$1)</f>
        <v>1.4999999999999999E-2</v>
      </c>
      <c r="G36" s="1375"/>
      <c r="H36" s="2689"/>
      <c r="I36" s="1389"/>
      <c r="J36" s="1390"/>
      <c r="K36" s="2534"/>
      <c r="L36" s="2689"/>
      <c r="M36" s="2689"/>
    </row>
    <row r="37" spans="1:18" ht="18" customHeight="1">
      <c r="A37" s="973" t="s">
        <v>437</v>
      </c>
      <c r="B37" s="296" t="s">
        <v>742</v>
      </c>
      <c r="C37" s="21">
        <f ca="1">ROUND(C13*F37,0)</f>
        <v>305</v>
      </c>
      <c r="D37" s="1335" t="s">
        <v>743</v>
      </c>
      <c r="E37" s="296" t="s">
        <v>744</v>
      </c>
      <c r="F37" s="324">
        <f ca="1">INDIRECT("'数据-取费表'!Al"&amp;$G$1)</f>
        <v>1.5E-3</v>
      </c>
      <c r="G37" s="1375"/>
      <c r="H37" s="2689"/>
      <c r="I37" s="1389"/>
      <c r="J37" s="1390"/>
      <c r="K37" s="2534"/>
      <c r="L37" s="2689"/>
      <c r="M37" s="2689"/>
    </row>
    <row r="38" spans="1:18" ht="18" customHeight="1" thickBot="1">
      <c r="A38" s="1080" t="s">
        <v>684</v>
      </c>
      <c r="B38" s="1081" t="s">
        <v>728</v>
      </c>
      <c r="C38" s="1082">
        <f ca="1">ROUND(C5*F38,0)</f>
        <v>699</v>
      </c>
      <c r="D38" s="1083" t="s">
        <v>748</v>
      </c>
      <c r="E38" s="1081" t="s">
        <v>744</v>
      </c>
      <c r="F38" s="1077">
        <f ca="1">INDIRECT("'数据-取费表'!Am"&amp;$G$1)</f>
        <v>1.4999999999999999E-2</v>
      </c>
      <c r="G38" s="1375"/>
      <c r="H38" s="2689"/>
      <c r="I38" s="1389"/>
      <c r="J38" s="1390"/>
      <c r="K38" s="2693"/>
      <c r="L38" s="2689"/>
      <c r="M38" s="2689"/>
    </row>
    <row r="39" spans="1:18" ht="24.6" customHeight="1" thickTop="1">
      <c r="A39" s="1070" t="s">
        <v>394</v>
      </c>
      <c r="B39" s="1085" t="s">
        <v>772</v>
      </c>
      <c r="C39" s="304">
        <f ca="1">C5-C30</f>
        <v>34654</v>
      </c>
      <c r="D39" s="1086" t="s">
        <v>773</v>
      </c>
      <c r="E39" s="1087"/>
      <c r="F39" s="1088"/>
      <c r="G39" s="1375"/>
      <c r="H39" s="2689"/>
      <c r="I39" s="1389"/>
      <c r="J39" s="1390"/>
      <c r="K39" s="2693"/>
      <c r="L39" s="2689"/>
      <c r="M39" s="2689"/>
    </row>
    <row r="40" spans="1:18" ht="18" customHeight="1">
      <c r="A40" s="293" t="s">
        <v>395</v>
      </c>
      <c r="B40" s="294" t="s">
        <v>774</v>
      </c>
      <c r="C40" s="295">
        <f ca="1">ROUND(C39*(1-((1+F42)/(1+F40))^F41)/(F40-F42),0)</f>
        <v>679597</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34.369999999999997</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ROUND(C40/F43,0)</f>
        <v>19192</v>
      </c>
      <c r="D43" s="331" t="s">
        <v>777</v>
      </c>
      <c r="E43" s="332" t="s">
        <v>778</v>
      </c>
      <c r="F43" s="333">
        <f ca="1">INDIRECT("'数据-取费表'!k"&amp;$G$1)</f>
        <v>35.409999999999997</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f ca="1">ROUND((C68-C40)/10000,4)</f>
        <v>-73.280799999999999</v>
      </c>
      <c r="D45" s="3421" t="s">
        <v>3353</v>
      </c>
      <c r="E45" s="1391"/>
      <c r="F45" s="1391"/>
      <c r="O45" s="1394" t="s">
        <v>808</v>
      </c>
      <c r="P45" s="1452"/>
      <c r="Q45" s="1452"/>
      <c r="R45" s="1452"/>
    </row>
    <row r="46" spans="1:18" s="1375" customFormat="1" ht="13.5" thickBot="1">
      <c r="A46" s="1395" t="s">
        <v>809</v>
      </c>
      <c r="C46" s="1396">
        <f ca="1">ROUND(C45,0)</f>
        <v>-73</v>
      </c>
      <c r="D46" s="1397" t="str">
        <f>C2</f>
        <v>万元</v>
      </c>
      <c r="I46" s="1398" t="s">
        <v>810</v>
      </c>
      <c r="J46" s="1399"/>
      <c r="K46" s="1400"/>
      <c r="L46" s="1401">
        <f ca="1">IF(M47="住宅",0,IF(L48&gt;J51,L60,J60))</f>
        <v>7048</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t="s">
        <v>3471</v>
      </c>
      <c r="K47" s="1407" t="s">
        <v>816</v>
      </c>
      <c r="L47" s="1408">
        <f ca="1">INDIRECT("'数据-取费表'!d"&amp;$G$1)</f>
        <v>40</v>
      </c>
      <c r="M47" s="1371" t="str">
        <f>IF(ISNUMBER(FIND("住宅",C1)),"住宅","非住宅")</f>
        <v>非住宅</v>
      </c>
      <c r="O47" s="1409" t="s">
        <v>403</v>
      </c>
      <c r="P47" s="1410" t="s">
        <v>817</v>
      </c>
      <c r="Q47" s="1411">
        <f ca="1">C40+J29</f>
        <v>679597</v>
      </c>
      <c r="R47" s="1411" t="s">
        <v>818</v>
      </c>
    </row>
    <row r="48" spans="1:18" s="1375" customFormat="1" ht="28.5" thickBot="1">
      <c r="A48" s="1101" t="s">
        <v>438</v>
      </c>
      <c r="B48" s="294" t="s">
        <v>692</v>
      </c>
      <c r="C48" s="1350">
        <f ca="1">C49+C53+C55</f>
        <v>0</v>
      </c>
      <c r="D48" s="1103"/>
      <c r="E48" s="1104"/>
      <c r="F48" s="953"/>
      <c r="G48" s="713"/>
      <c r="H48" s="714"/>
      <c r="I48" s="1412" t="s">
        <v>819</v>
      </c>
      <c r="J48" s="1413" t="s">
        <v>3472</v>
      </c>
      <c r="K48" s="1414" t="s">
        <v>820</v>
      </c>
      <c r="L48" s="1415">
        <f ca="1">INDIRECT("'数据-取费表'!f"&amp;$G$1)</f>
        <v>34.369999999999997</v>
      </c>
      <c r="O48" s="1409" t="s">
        <v>404</v>
      </c>
      <c r="P48" s="1410" t="s">
        <v>821</v>
      </c>
      <c r="Q48" s="1411">
        <f ca="1">J60</f>
        <v>7048</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f>'数据-取费表'!Q19</f>
        <v>2022</v>
      </c>
      <c r="K49" s="1414" t="s">
        <v>824</v>
      </c>
      <c r="L49" s="1418"/>
      <c r="O49" s="1419" t="s">
        <v>405</v>
      </c>
      <c r="P49" s="1410" t="s">
        <v>825</v>
      </c>
      <c r="Q49" s="1411">
        <f ca="1">C29</f>
        <v>211611</v>
      </c>
      <c r="R49" s="1411" t="s">
        <v>818</v>
      </c>
    </row>
    <row r="50" spans="1:18" s="1375" customFormat="1" ht="13.5" thickBot="1">
      <c r="A50" s="967"/>
      <c r="B50" s="970"/>
      <c r="C50" s="971"/>
      <c r="D50" s="944"/>
      <c r="E50" s="1047" t="s">
        <v>697</v>
      </c>
      <c r="F50" s="1048">
        <f ca="1">F7</f>
        <v>35.409999999999997</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48</v>
      </c>
      <c r="K51" s="1425" t="s">
        <v>830</v>
      </c>
      <c r="L51" s="1426">
        <f ca="1">ROUND(-PV(INDIRECT("'数据-取费表'!h"&amp;$G$1),J51,(C39-C13*C76),0),0)</f>
        <v>399185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34.369999999999997</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34.369999999999997</v>
      </c>
      <c r="K53" s="3724" t="s">
        <v>837</v>
      </c>
      <c r="L53" s="3725"/>
      <c r="O53" s="1409" t="s">
        <v>409</v>
      </c>
      <c r="P53" s="1410" t="s">
        <v>838</v>
      </c>
      <c r="Q53" s="1411">
        <f ca="1">Q47+Q48</f>
        <v>686645</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0.28699999999999998</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203147</v>
      </c>
      <c r="D56" s="1438"/>
      <c r="E56" s="1439"/>
      <c r="F56" s="1431"/>
      <c r="I56" s="1440" t="s">
        <v>842</v>
      </c>
      <c r="J56" s="1441" t="s">
        <v>3413</v>
      </c>
      <c r="K56" s="1412" t="s">
        <v>843</v>
      </c>
      <c r="L56" s="1415" t="str">
        <f ca="1">IF(L48&lt;J51,"——",L48-J51)</f>
        <v>——</v>
      </c>
      <c r="O56" s="1409" t="s">
        <v>403</v>
      </c>
      <c r="P56" s="1410" t="s">
        <v>817</v>
      </c>
      <c r="Q56" s="1411">
        <f ca="1">C40+J29</f>
        <v>679597</v>
      </c>
      <c r="R56" s="1411" t="s">
        <v>818</v>
      </c>
    </row>
    <row r="57" spans="1:18" s="1375" customFormat="1" ht="24.75" thickBot="1">
      <c r="A57" s="1442"/>
      <c r="B57" s="941" t="s">
        <v>767</v>
      </c>
      <c r="C57" s="232">
        <f ca="1">C29</f>
        <v>211611</v>
      </c>
      <c r="D57" s="1443"/>
      <c r="E57" s="1444"/>
      <c r="F57" s="1445"/>
      <c r="I57" s="1446" t="s">
        <v>844</v>
      </c>
      <c r="J57" s="1447">
        <f ca="1">IF(OR(M47="住宅",J51&lt;L48,J56="是"),"——",J51-L48)</f>
        <v>13.630000000000003</v>
      </c>
      <c r="K57" s="1412" t="s">
        <v>892</v>
      </c>
      <c r="L57" s="1415" t="str">
        <f ca="1">IF(L48&lt;J51,"——",IF(L55="比较法",L49,IF(L55="基准地价",L50,L51)))</f>
        <v>——</v>
      </c>
      <c r="O57" s="1409" t="s">
        <v>404</v>
      </c>
      <c r="P57" s="1410" t="s">
        <v>893</v>
      </c>
      <c r="Q57" s="1411">
        <f ca="1">L60</f>
        <v>0</v>
      </c>
      <c r="R57" s="1411" t="s">
        <v>894</v>
      </c>
    </row>
    <row r="58" spans="1:18" s="1375" customFormat="1" ht="24.75" thickBot="1">
      <c r="A58" s="309" t="s">
        <v>393</v>
      </c>
      <c r="B58" s="949" t="s">
        <v>714</v>
      </c>
      <c r="C58" s="310">
        <f ca="1">ROUND(C59+C64+C65+C66,0)</f>
        <v>3479</v>
      </c>
      <c r="D58" s="951" t="s">
        <v>715</v>
      </c>
      <c r="E58" s="952"/>
      <c r="F58" s="953"/>
      <c r="I58" s="1446" t="s">
        <v>848</v>
      </c>
      <c r="J58" s="1448">
        <f ca="1">IF(J55&lt;0.4,0.4,J55)</f>
        <v>0.4</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84644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f ca="1">IF(OR(M47="住宅",J51&lt;L48,J56="是"),"0",ROUND(J59/(1+J52)^J53,0))</f>
        <v>7048</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f ca="1">Q56+Q57</f>
        <v>679597</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3174</v>
      </c>
      <c r="D64" s="955" t="s">
        <v>791</v>
      </c>
      <c r="E64" s="941" t="s">
        <v>783</v>
      </c>
      <c r="F64" s="322">
        <f t="shared" ca="1" si="0"/>
        <v>1.4999999999999999E-2</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305</v>
      </c>
      <c r="D65" s="955" t="s">
        <v>743</v>
      </c>
      <c r="E65" s="941" t="s">
        <v>744</v>
      </c>
      <c r="F65" s="324">
        <f t="shared" ca="1" si="0"/>
        <v>1.5E-3</v>
      </c>
      <c r="I65" s="1453" t="s">
        <v>867</v>
      </c>
      <c r="J65" s="1454">
        <v>40</v>
      </c>
      <c r="K65" s="1454">
        <v>30</v>
      </c>
      <c r="L65" s="1454">
        <v>50</v>
      </c>
      <c r="M65" s="1456">
        <v>0.02</v>
      </c>
      <c r="O65" s="1409" t="s">
        <v>403</v>
      </c>
      <c r="P65" s="1410" t="s">
        <v>868</v>
      </c>
      <c r="Q65" s="1411">
        <f ca="1">C40+J29</f>
        <v>679597</v>
      </c>
      <c r="R65" s="1411" t="s">
        <v>818</v>
      </c>
    </row>
    <row r="66" spans="1:18" s="1375" customFormat="1" ht="16.5" thickBot="1">
      <c r="A66" s="973" t="s">
        <v>793</v>
      </c>
      <c r="B66" s="941" t="s">
        <v>728</v>
      </c>
      <c r="C66" s="21">
        <f ca="1">ROUND(C48*F66,0)</f>
        <v>0</v>
      </c>
      <c r="D66" s="955" t="s">
        <v>794</v>
      </c>
      <c r="E66" s="941" t="s">
        <v>712</v>
      </c>
      <c r="F66" s="306">
        <f t="shared" ca="1" si="0"/>
        <v>1.4999999999999999E-2</v>
      </c>
      <c r="O66" s="1409" t="s">
        <v>404</v>
      </c>
      <c r="P66" s="1410" t="s">
        <v>846</v>
      </c>
      <c r="Q66" s="1411">
        <f ca="1">L60</f>
        <v>0</v>
      </c>
      <c r="R66" s="1411" t="s">
        <v>869</v>
      </c>
    </row>
    <row r="67" spans="1:18" s="1375" customFormat="1" ht="16.5" thickBot="1">
      <c r="A67" s="948" t="s">
        <v>394</v>
      </c>
      <c r="B67" s="958" t="s">
        <v>752</v>
      </c>
      <c r="C67" s="310">
        <f ca="1">C48-C58</f>
        <v>-3479</v>
      </c>
      <c r="D67" s="954" t="s">
        <v>753</v>
      </c>
      <c r="E67" s="959"/>
      <c r="F67" s="960"/>
      <c r="O67" s="1419" t="s">
        <v>405</v>
      </c>
      <c r="P67" s="1410" t="s">
        <v>850</v>
      </c>
      <c r="Q67" s="1457">
        <f ca="1">L51</f>
        <v>399185</v>
      </c>
      <c r="R67" s="1411" t="s">
        <v>870</v>
      </c>
    </row>
    <row r="68" spans="1:18" s="1375" customFormat="1" ht="16.5" thickBot="1">
      <c r="A68" s="938" t="s">
        <v>395</v>
      </c>
      <c r="B68" s="939" t="s">
        <v>774</v>
      </c>
      <c r="C68" s="295">
        <f ca="1">ROUND(C67*(1-((1+F70)/(1+F68))^F69)/(F68-F70),0)</f>
        <v>-53211</v>
      </c>
      <c r="D68" s="956" t="s">
        <v>758</v>
      </c>
      <c r="E68" s="941" t="s">
        <v>759</v>
      </c>
      <c r="F68" s="306">
        <f ca="1">F40</f>
        <v>5.5E-2</v>
      </c>
      <c r="O68" s="1419" t="s">
        <v>406</v>
      </c>
      <c r="P68" s="1458" t="s">
        <v>871</v>
      </c>
      <c r="Q68" s="1411">
        <f ca="1">ROUND(Q69-Q70*Q71,0)</f>
        <v>20434</v>
      </c>
      <c r="R68" s="1411" t="s">
        <v>414</v>
      </c>
    </row>
    <row r="69" spans="1:18" s="1375" customFormat="1" ht="13.5" thickBot="1">
      <c r="A69" s="942"/>
      <c r="B69" s="943"/>
      <c r="C69" s="300"/>
      <c r="D69" s="961" t="s">
        <v>762</v>
      </c>
      <c r="E69" s="941" t="s">
        <v>763</v>
      </c>
      <c r="F69" s="327">
        <f ca="1">F41</f>
        <v>34.369999999999997</v>
      </c>
      <c r="O69" s="1419" t="s">
        <v>411</v>
      </c>
      <c r="P69" s="1458" t="s">
        <v>872</v>
      </c>
      <c r="Q69" s="1411">
        <f ca="1">C39</f>
        <v>34654</v>
      </c>
      <c r="R69" s="1411" t="s">
        <v>818</v>
      </c>
    </row>
    <row r="70" spans="1:18" s="1375" customFormat="1" ht="13.5" thickBot="1">
      <c r="A70" s="945"/>
      <c r="B70" s="946"/>
      <c r="C70" s="304"/>
      <c r="D70" s="957"/>
      <c r="E70" s="941" t="s">
        <v>766</v>
      </c>
      <c r="F70" s="1045"/>
      <c r="O70" s="1419" t="s">
        <v>412</v>
      </c>
      <c r="P70" s="1458" t="s">
        <v>873</v>
      </c>
      <c r="Q70" s="1411">
        <f ca="1">C13</f>
        <v>203147</v>
      </c>
      <c r="R70" s="1411" t="s">
        <v>818</v>
      </c>
    </row>
    <row r="71" spans="1:18" s="1375" customFormat="1" ht="13.5" thickBot="1">
      <c r="A71" s="962" t="s">
        <v>396</v>
      </c>
      <c r="B71" s="963" t="s">
        <v>776</v>
      </c>
      <c r="C71" s="330">
        <f ca="1">ROUND(C68/F71,0)</f>
        <v>-1503</v>
      </c>
      <c r="D71" s="964" t="s">
        <v>777</v>
      </c>
      <c r="E71" s="965" t="s">
        <v>778</v>
      </c>
      <c r="F71" s="333">
        <f ca="1">F43</f>
        <v>35.409999999999997</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14220</v>
      </c>
      <c r="D75" s="1375"/>
      <c r="E75" s="1375"/>
      <c r="F75" s="1375"/>
      <c r="K75" s="1393"/>
      <c r="L75" s="1375"/>
      <c r="O75" s="1409" t="s">
        <v>409</v>
      </c>
      <c r="P75" s="1410" t="s">
        <v>838</v>
      </c>
      <c r="Q75" s="1411">
        <f ca="1">Q65+Q66</f>
        <v>679597</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0.59000000000000008</v>
      </c>
    </row>
    <row r="80" spans="1:18">
      <c r="B80" s="334" t="s">
        <v>800</v>
      </c>
      <c r="C80" s="268">
        <f ca="1">ROUND(C75/C39,3)</f>
        <v>0.41</v>
      </c>
    </row>
    <row r="81" spans="2:3">
      <c r="B81" s="264" t="s">
        <v>801</v>
      </c>
      <c r="C81" s="232"/>
    </row>
    <row r="82" spans="2:3">
      <c r="B82" s="267" t="s">
        <v>802</v>
      </c>
      <c r="C82" s="269">
        <f ca="1">1-C83</f>
        <v>0.70100000000000007</v>
      </c>
    </row>
    <row r="83" spans="2:3">
      <c r="B83" s="267" t="s">
        <v>803</v>
      </c>
      <c r="C83" s="268">
        <f ca="1">ROUND(C13/C40,3)</f>
        <v>0.29899999999999999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35" t="s">
        <v>2317</v>
      </c>
      <c r="K2" s="3736"/>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7" t="s">
        <v>2327</v>
      </c>
      <c r="K3" s="3738"/>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7" t="s">
        <v>2329</v>
      </c>
      <c r="K4" s="3738"/>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43" t="s">
        <v>2333</v>
      </c>
      <c r="B6" s="3744"/>
      <c r="C6" s="3745"/>
      <c r="D6" s="2859"/>
      <c r="E6" s="2860"/>
      <c r="F6" s="2861"/>
      <c r="G6" s="2862"/>
      <c r="H6" s="2837"/>
      <c r="I6" s="2838"/>
      <c r="J6" s="3729">
        <v>1</v>
      </c>
      <c r="K6" s="3730"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29"/>
      <c r="K7" s="3731"/>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46" t="s">
        <v>2347</v>
      </c>
      <c r="C8" s="3747"/>
      <c r="D8" s="2878" t="s">
        <v>2348</v>
      </c>
      <c r="E8" s="2879" t="s">
        <v>2349</v>
      </c>
      <c r="F8" s="2880" t="s">
        <v>2350</v>
      </c>
      <c r="G8" s="2881"/>
      <c r="H8" s="2837"/>
      <c r="I8" s="2838"/>
      <c r="J8" s="3729"/>
      <c r="K8" s="3731"/>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46" t="s">
        <v>2353</v>
      </c>
      <c r="C9" s="3747"/>
      <c r="D9" s="2878">
        <f>ROUND(D6*E9,0)</f>
        <v>0</v>
      </c>
      <c r="E9" s="2882"/>
      <c r="F9" s="2883" t="s">
        <v>2354</v>
      </c>
      <c r="G9" s="2862"/>
      <c r="H9" s="2837"/>
      <c r="I9" s="2838"/>
      <c r="J9" s="3729"/>
      <c r="K9" s="3731"/>
      <c r="L9" s="2872" t="s">
        <v>2355</v>
      </c>
      <c r="M9" s="2873"/>
      <c r="N9" s="2849"/>
      <c r="O9" s="2874"/>
      <c r="P9" s="2874"/>
      <c r="Q9" s="2875">
        <v>365</v>
      </c>
      <c r="R9" s="2876">
        <f t="shared" si="0"/>
        <v>0</v>
      </c>
      <c r="S9" s="2830"/>
      <c r="T9" s="2830"/>
      <c r="U9" s="2830"/>
      <c r="V9" s="2838"/>
    </row>
    <row r="10" spans="1:22" s="2842" customFormat="1" ht="13.15" customHeight="1">
      <c r="A10" s="2877">
        <v>2</v>
      </c>
      <c r="B10" s="3746" t="s">
        <v>2356</v>
      </c>
      <c r="C10" s="3747"/>
      <c r="D10" s="2878">
        <f>ROUND(D6*E10,0)</f>
        <v>0</v>
      </c>
      <c r="E10" s="2882"/>
      <c r="F10" s="2883" t="s">
        <v>2357</v>
      </c>
      <c r="G10" s="2862"/>
      <c r="H10" s="2837"/>
      <c r="I10" s="2838"/>
      <c r="J10" s="3729"/>
      <c r="K10" s="3731"/>
      <c r="L10" s="2872" t="s">
        <v>2358</v>
      </c>
      <c r="M10" s="2873"/>
      <c r="N10" s="2849"/>
      <c r="O10" s="2874"/>
      <c r="P10" s="2874"/>
      <c r="Q10" s="2875">
        <v>365</v>
      </c>
      <c r="R10" s="2876">
        <f t="shared" si="0"/>
        <v>0</v>
      </c>
      <c r="S10" s="2830"/>
      <c r="T10" s="2830"/>
      <c r="U10" s="2830"/>
      <c r="V10" s="2838"/>
    </row>
    <row r="11" spans="1:22" s="2842" customFormat="1" ht="13.15" customHeight="1">
      <c r="A11" s="2877">
        <v>3</v>
      </c>
      <c r="B11" s="3746" t="s">
        <v>2359</v>
      </c>
      <c r="C11" s="3747"/>
      <c r="D11" s="2878">
        <f>D12+D14+D15+D16</f>
        <v>0</v>
      </c>
      <c r="E11" s="2884" t="e">
        <f>D11/D6</f>
        <v>#DIV/0!</v>
      </c>
      <c r="F11" s="2880"/>
      <c r="G11" s="2881"/>
      <c r="H11" s="2837"/>
      <c r="I11" s="2838"/>
      <c r="J11" s="3729"/>
      <c r="K11" s="3731"/>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39" t="s">
        <v>2362</v>
      </c>
      <c r="C12" s="3740"/>
      <c r="D12" s="2886">
        <f>ROUND(D13*1.2%*(1-30%),0)</f>
        <v>0</v>
      </c>
      <c r="E12" s="2887">
        <v>1.2E-2</v>
      </c>
      <c r="F12" s="2880" t="s">
        <v>2363</v>
      </c>
      <c r="G12" s="2881"/>
      <c r="H12" s="2837"/>
      <c r="I12" s="2838"/>
      <c r="J12" s="3729"/>
      <c r="K12" s="3731"/>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29"/>
      <c r="K13" s="3731"/>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39" t="s">
        <v>2368</v>
      </c>
      <c r="C14" s="3740"/>
      <c r="D14" s="2886">
        <f>ROUND(E14*B5/10000,0)</f>
        <v>0</v>
      </c>
      <c r="E14" s="2875"/>
      <c r="F14" s="2880" t="s">
        <v>2369</v>
      </c>
      <c r="G14" s="2881"/>
      <c r="H14" s="2837"/>
      <c r="I14" s="2838"/>
      <c r="J14" s="3729"/>
      <c r="K14" s="3732"/>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39" t="s">
        <v>2372</v>
      </c>
      <c r="C15" s="3740"/>
      <c r="D15" s="2886">
        <f>ROUND(D6*E15,0)</f>
        <v>0</v>
      </c>
      <c r="E15" s="2887">
        <v>5.5E-2</v>
      </c>
      <c r="F15" s="2880" t="s">
        <v>2373</v>
      </c>
      <c r="G15" s="2862"/>
      <c r="H15" s="2837"/>
      <c r="I15" s="2838"/>
      <c r="J15" s="3729">
        <v>2</v>
      </c>
      <c r="K15" s="3730"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39" t="s">
        <v>2381</v>
      </c>
      <c r="C16" s="3740"/>
      <c r="D16" s="2897">
        <f>D6*E16</f>
        <v>0</v>
      </c>
      <c r="E16" s="2898"/>
      <c r="F16" s="2883" t="s">
        <v>2382</v>
      </c>
      <c r="G16" s="2862"/>
      <c r="H16" s="2837"/>
      <c r="I16" s="2838"/>
      <c r="J16" s="3729"/>
      <c r="K16" s="3731"/>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1" t="s">
        <v>2384</v>
      </c>
      <c r="C17" s="3742"/>
      <c r="D17" s="2900">
        <f>ROUND(D6*E17,0)</f>
        <v>0</v>
      </c>
      <c r="E17" s="2901"/>
      <c r="F17" s="2902" t="s">
        <v>2385</v>
      </c>
      <c r="G17" s="2862"/>
      <c r="H17" s="2837"/>
      <c r="I17" s="2838"/>
      <c r="J17" s="3729"/>
      <c r="K17" s="3731"/>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29"/>
      <c r="K18" s="3731"/>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29"/>
      <c r="K19" s="3732"/>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29">
        <v>3</v>
      </c>
      <c r="K20" s="3730"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29"/>
      <c r="K21" s="3731"/>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29"/>
      <c r="K22" s="3731"/>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29"/>
      <c r="K23" s="3731"/>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29"/>
      <c r="K24" s="3732"/>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33">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34"/>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35" t="s">
        <v>2317</v>
      </c>
      <c r="K32" s="3736"/>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7" t="s">
        <v>2327</v>
      </c>
      <c r="K33" s="3738"/>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7" t="s">
        <v>2329</v>
      </c>
      <c r="K34" s="3738"/>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29">
        <v>1</v>
      </c>
      <c r="K36" s="3730"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29"/>
      <c r="K37" s="3731"/>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29"/>
      <c r="K38" s="3731"/>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29"/>
      <c r="K39" s="3731"/>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29"/>
      <c r="K40" s="3732"/>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33">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34"/>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79</v>
      </c>
      <c r="C2" s="1863" t="s">
        <v>1651</v>
      </c>
      <c r="D2" s="1864" t="s">
        <v>1652</v>
      </c>
      <c r="E2" s="2597">
        <f>SUM(E6:E13)</f>
        <v>35.409999999999997</v>
      </c>
      <c r="F2" s="2696"/>
      <c r="G2" s="1480"/>
      <c r="H2" s="1480"/>
      <c r="I2" s="1480"/>
      <c r="J2" s="1480"/>
      <c r="K2" s="1480"/>
      <c r="L2" s="1480"/>
      <c r="M2" s="1480"/>
      <c r="N2" s="1480"/>
      <c r="O2" s="1480"/>
      <c r="P2" s="1480"/>
      <c r="Q2" s="1480"/>
      <c r="R2" s="1480"/>
      <c r="S2" s="1480"/>
    </row>
    <row r="3" spans="1:22" ht="15.75">
      <c r="A3" s="1861" t="s">
        <v>686</v>
      </c>
      <c r="B3" s="2591">
        <f ca="1">ROUND(B2*10000/E2,0)</f>
        <v>22310</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8" t="s">
        <v>1654</v>
      </c>
      <c r="C5" s="3749"/>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79</v>
      </c>
      <c r="C6" s="1863" t="s">
        <v>1651</v>
      </c>
      <c r="D6" s="2698"/>
      <c r="E6" s="2596">
        <f>IF(OR(A6=0,F6="否"),0,'数据-取费表'!K6+'数据-取费表'!S6)</f>
        <v>35.409999999999997</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35.409999999999997</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6" t="s">
        <v>1667</v>
      </c>
      <c r="D4" s="3697"/>
      <c r="E4" s="3698" t="s">
        <v>1668</v>
      </c>
      <c r="F4" s="3699"/>
      <c r="G4" s="3696" t="s">
        <v>1669</v>
      </c>
      <c r="H4" s="3697"/>
      <c r="I4" s="3696" t="s">
        <v>1670</v>
      </c>
      <c r="J4" s="3697"/>
      <c r="K4" s="1880" t="s">
        <v>1671</v>
      </c>
      <c r="L4" s="2704"/>
      <c r="M4" s="2705"/>
      <c r="N4" s="2705"/>
      <c r="O4" s="2705"/>
      <c r="P4" s="3700" t="s">
        <v>1672</v>
      </c>
      <c r="Q4" s="3701"/>
      <c r="R4" s="3706" t="s">
        <v>1668</v>
      </c>
      <c r="S4" s="3707"/>
      <c r="T4" s="3706" t="s">
        <v>1669</v>
      </c>
      <c r="U4" s="3707"/>
      <c r="V4" s="3691" t="s">
        <v>1670</v>
      </c>
      <c r="W4" s="3691"/>
      <c r="X4" s="1346"/>
      <c r="Y4" s="3706" t="s">
        <v>1672</v>
      </c>
      <c r="Z4" s="3707"/>
      <c r="AA4" s="3693" t="s">
        <v>1668</v>
      </c>
      <c r="AB4" s="3693" t="s">
        <v>1669</v>
      </c>
      <c r="AC4" s="3693" t="s">
        <v>1670</v>
      </c>
    </row>
    <row r="5" spans="1:29" ht="15">
      <c r="A5" s="352"/>
      <c r="B5" s="353"/>
      <c r="C5" s="3719" t="s">
        <v>1673</v>
      </c>
      <c r="D5" s="3715"/>
      <c r="E5" s="3750" t="s">
        <v>1674</v>
      </c>
      <c r="F5" s="3723"/>
      <c r="G5" s="3719" t="s">
        <v>1675</v>
      </c>
      <c r="H5" s="3715"/>
      <c r="I5" s="3719" t="s">
        <v>1676</v>
      </c>
      <c r="J5" s="3715"/>
      <c r="K5" s="1881"/>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1881"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45345</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16" t="s">
        <v>1680</v>
      </c>
      <c r="Q7" s="3718"/>
      <c r="R7" s="692" t="s">
        <v>20</v>
      </c>
      <c r="S7" s="693">
        <f t="shared" ref="S7:S15" si="0">F7</f>
        <v>0</v>
      </c>
      <c r="T7" s="692" t="s">
        <v>20</v>
      </c>
      <c r="U7" s="693">
        <f t="shared" ref="U7:U15" si="1">H7</f>
        <v>0</v>
      </c>
      <c r="V7" s="692" t="s">
        <v>20</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16" t="s">
        <v>1683</v>
      </c>
      <c r="Q8" s="3717"/>
      <c r="R8" s="692" t="s">
        <v>20</v>
      </c>
      <c r="S8" s="693">
        <f t="shared" si="0"/>
        <v>100</v>
      </c>
      <c r="T8" s="692" t="s">
        <v>20</v>
      </c>
      <c r="U8" s="693">
        <f t="shared" si="1"/>
        <v>100</v>
      </c>
      <c r="V8" s="692" t="s">
        <v>20</v>
      </c>
      <c r="W8" s="693">
        <f t="shared" si="2"/>
        <v>100</v>
      </c>
      <c r="X8" s="694"/>
      <c r="Y8" s="3716" t="s">
        <v>1683</v>
      </c>
      <c r="Z8" s="3717"/>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2"/>
      <c r="Q11" s="1334" t="str">
        <f t="shared" si="6"/>
        <v>容积率</v>
      </c>
      <c r="R11" s="692" t="s">
        <v>18</v>
      </c>
      <c r="S11" s="693" t="e">
        <f t="shared" si="0"/>
        <v>#N/A</v>
      </c>
      <c r="T11" s="692" t="s">
        <v>18</v>
      </c>
      <c r="U11" s="693" t="e">
        <f t="shared" si="1"/>
        <v>#N/A</v>
      </c>
      <c r="V11" s="692" t="s">
        <v>18</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2"/>
      <c r="Q12" s="1334">
        <f t="shared" si="6"/>
        <v>111</v>
      </c>
      <c r="R12" s="692" t="s">
        <v>18</v>
      </c>
      <c r="S12" s="693">
        <f t="shared" si="0"/>
        <v>100</v>
      </c>
      <c r="T12" s="692" t="s">
        <v>18</v>
      </c>
      <c r="U12" s="693">
        <f t="shared" si="1"/>
        <v>100</v>
      </c>
      <c r="V12" s="692" t="s">
        <v>18</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2"/>
      <c r="Q13" s="1334">
        <f t="shared" si="6"/>
        <v>111</v>
      </c>
      <c r="R13" s="692" t="s">
        <v>18</v>
      </c>
      <c r="S13" s="693">
        <f t="shared" si="0"/>
        <v>100</v>
      </c>
      <c r="T13" s="692" t="s">
        <v>18</v>
      </c>
      <c r="U13" s="693">
        <f t="shared" si="1"/>
        <v>100</v>
      </c>
      <c r="V13" s="692" t="s">
        <v>18</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2"/>
      <c r="Q14" s="1334">
        <f t="shared" si="6"/>
        <v>111</v>
      </c>
      <c r="R14" s="692" t="s">
        <v>18</v>
      </c>
      <c r="S14" s="693">
        <f t="shared" si="0"/>
        <v>100</v>
      </c>
      <c r="T14" s="692" t="s">
        <v>18</v>
      </c>
      <c r="U14" s="693">
        <f t="shared" si="1"/>
        <v>100</v>
      </c>
      <c r="V14" s="692" t="s">
        <v>18</v>
      </c>
      <c r="W14" s="693">
        <f t="shared" si="2"/>
        <v>100</v>
      </c>
      <c r="X14" s="694"/>
      <c r="Y14" s="3562"/>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682" t="s">
        <v>1691</v>
      </c>
      <c r="Q15" s="1343" t="str">
        <f t="shared" si="6"/>
        <v>居住社区成熟度</v>
      </c>
      <c r="R15" s="696" t="s">
        <v>18</v>
      </c>
      <c r="S15" s="697">
        <f t="shared" si="0"/>
        <v>100</v>
      </c>
      <c r="T15" s="696" t="s">
        <v>18</v>
      </c>
      <c r="U15" s="697">
        <f t="shared" si="1"/>
        <v>100</v>
      </c>
      <c r="V15" s="696" t="s">
        <v>18</v>
      </c>
      <c r="W15" s="697">
        <f t="shared" si="2"/>
        <v>100</v>
      </c>
      <c r="X15" s="1346"/>
      <c r="Y15" s="3684"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683"/>
      <c r="Q16" s="1343"/>
      <c r="R16" s="696"/>
      <c r="S16" s="697"/>
      <c r="T16" s="696"/>
      <c r="U16" s="697"/>
      <c r="V16" s="696"/>
      <c r="W16" s="697"/>
      <c r="X16" s="1346"/>
      <c r="Y16" s="3685"/>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683"/>
      <c r="Q17" s="1343" t="str">
        <f>B17</f>
        <v>交通便捷度</v>
      </c>
      <c r="R17" s="696" t="s">
        <v>18</v>
      </c>
      <c r="S17" s="697">
        <f>F17</f>
        <v>100</v>
      </c>
      <c r="T17" s="696" t="s">
        <v>18</v>
      </c>
      <c r="U17" s="697">
        <f>H17</f>
        <v>100</v>
      </c>
      <c r="V17" s="696" t="s">
        <v>18</v>
      </c>
      <c r="W17" s="697">
        <f>J17</f>
        <v>100</v>
      </c>
      <c r="X17" s="1346"/>
      <c r="Y17" s="3685"/>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683"/>
      <c r="Q18" s="1343"/>
      <c r="R18" s="696"/>
      <c r="S18" s="697"/>
      <c r="T18" s="696"/>
      <c r="U18" s="697"/>
      <c r="V18" s="696"/>
      <c r="W18" s="697"/>
      <c r="X18" s="1346"/>
      <c r="Y18" s="3685"/>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683"/>
      <c r="Q19" s="1343" t="str">
        <f>B19</f>
        <v>公共配套设施</v>
      </c>
      <c r="R19" s="696" t="s">
        <v>18</v>
      </c>
      <c r="S19" s="697">
        <f>F19</f>
        <v>100</v>
      </c>
      <c r="T19" s="696" t="s">
        <v>18</v>
      </c>
      <c r="U19" s="697">
        <f>H19</f>
        <v>100</v>
      </c>
      <c r="V19" s="696" t="s">
        <v>18</v>
      </c>
      <c r="W19" s="697">
        <f>J19</f>
        <v>100</v>
      </c>
      <c r="X19" s="1346"/>
      <c r="Y19" s="3685"/>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683"/>
      <c r="Q20" s="1343"/>
      <c r="R20" s="696"/>
      <c r="S20" s="697"/>
      <c r="T20" s="696"/>
      <c r="U20" s="697"/>
      <c r="V20" s="696"/>
      <c r="W20" s="697"/>
      <c r="X20" s="1346"/>
      <c r="Y20" s="3685"/>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683"/>
      <c r="Q22" s="1343"/>
      <c r="R22" s="696"/>
      <c r="S22" s="697"/>
      <c r="T22" s="696"/>
      <c r="U22" s="697"/>
      <c r="V22" s="696"/>
      <c r="W22" s="697"/>
      <c r="X22" s="1346"/>
      <c r="Y22" s="3685"/>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683"/>
      <c r="Q23" s="1343" t="str">
        <f>B23</f>
        <v>自然及人文环境</v>
      </c>
      <c r="R23" s="696" t="s">
        <v>18</v>
      </c>
      <c r="S23" s="697">
        <f>F23</f>
        <v>100</v>
      </c>
      <c r="T23" s="696" t="s">
        <v>18</v>
      </c>
      <c r="U23" s="697">
        <f>H23</f>
        <v>100</v>
      </c>
      <c r="V23" s="696" t="s">
        <v>18</v>
      </c>
      <c r="W23" s="697">
        <f>J23</f>
        <v>100</v>
      </c>
      <c r="X23" s="1346"/>
      <c r="Y23" s="3685"/>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683"/>
      <c r="Q24" s="1343"/>
      <c r="R24" s="696"/>
      <c r="S24" s="697"/>
      <c r="T24" s="696"/>
      <c r="U24" s="697"/>
      <c r="V24" s="696"/>
      <c r="W24" s="697"/>
      <c r="X24" s="1346"/>
      <c r="Y24" s="3685"/>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683"/>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85"/>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683"/>
      <c r="Q26" s="1343" t="str">
        <f t="shared" si="11"/>
        <v>朝向</v>
      </c>
      <c r="R26" s="696" t="s">
        <v>18</v>
      </c>
      <c r="S26" s="697">
        <f t="shared" si="12"/>
        <v>100</v>
      </c>
      <c r="T26" s="696" t="s">
        <v>18</v>
      </c>
      <c r="U26" s="697">
        <f t="shared" si="13"/>
        <v>100</v>
      </c>
      <c r="V26" s="696" t="s">
        <v>18</v>
      </c>
      <c r="W26" s="697">
        <f t="shared" si="14"/>
        <v>100</v>
      </c>
      <c r="X26" s="1346"/>
      <c r="Y26" s="3685"/>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683"/>
      <c r="Q27" s="1334">
        <f t="shared" si="11"/>
        <v>111</v>
      </c>
      <c r="R27" s="692" t="s">
        <v>18</v>
      </c>
      <c r="S27" s="693">
        <f t="shared" si="12"/>
        <v>100</v>
      </c>
      <c r="T27" s="692" t="s">
        <v>18</v>
      </c>
      <c r="U27" s="693">
        <f t="shared" si="13"/>
        <v>100</v>
      </c>
      <c r="V27" s="692" t="s">
        <v>18</v>
      </c>
      <c r="W27" s="693">
        <f t="shared" si="14"/>
        <v>100</v>
      </c>
      <c r="X27" s="694"/>
      <c r="Y27" s="3685"/>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683"/>
      <c r="Q28" s="1343">
        <f t="shared" si="11"/>
        <v>111</v>
      </c>
      <c r="R28" s="696" t="s">
        <v>18</v>
      </c>
      <c r="S28" s="697">
        <f t="shared" si="12"/>
        <v>100</v>
      </c>
      <c r="T28" s="696" t="s">
        <v>18</v>
      </c>
      <c r="U28" s="697">
        <f t="shared" si="13"/>
        <v>100</v>
      </c>
      <c r="V28" s="696" t="s">
        <v>18</v>
      </c>
      <c r="W28" s="697">
        <f t="shared" si="14"/>
        <v>100</v>
      </c>
      <c r="X28" s="1346"/>
      <c r="Y28" s="3685"/>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683"/>
      <c r="Q29" s="1343">
        <f t="shared" si="11"/>
        <v>111</v>
      </c>
      <c r="R29" s="696" t="s">
        <v>18</v>
      </c>
      <c r="S29" s="697">
        <f t="shared" si="12"/>
        <v>100</v>
      </c>
      <c r="T29" s="696" t="s">
        <v>18</v>
      </c>
      <c r="U29" s="697">
        <f t="shared" si="13"/>
        <v>100</v>
      </c>
      <c r="V29" s="696" t="s">
        <v>18</v>
      </c>
      <c r="W29" s="697">
        <f t="shared" si="14"/>
        <v>100</v>
      </c>
      <c r="X29" s="1346"/>
      <c r="Y29" s="3685"/>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683"/>
      <c r="Q30" s="1343">
        <f t="shared" si="11"/>
        <v>111</v>
      </c>
      <c r="R30" s="696" t="s">
        <v>18</v>
      </c>
      <c r="S30" s="697">
        <f t="shared" si="12"/>
        <v>100</v>
      </c>
      <c r="T30" s="696" t="s">
        <v>18</v>
      </c>
      <c r="U30" s="697">
        <f t="shared" si="13"/>
        <v>100</v>
      </c>
      <c r="V30" s="696" t="s">
        <v>18</v>
      </c>
      <c r="W30" s="697">
        <f t="shared" si="14"/>
        <v>100</v>
      </c>
      <c r="X30" s="1346"/>
      <c r="Y30" s="3685"/>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683"/>
      <c r="Q31" s="1343">
        <f t="shared" si="11"/>
        <v>111</v>
      </c>
      <c r="R31" s="696" t="s">
        <v>18</v>
      </c>
      <c r="S31" s="697">
        <f t="shared" si="12"/>
        <v>100</v>
      </c>
      <c r="T31" s="696" t="s">
        <v>18</v>
      </c>
      <c r="U31" s="697">
        <f t="shared" si="13"/>
        <v>100</v>
      </c>
      <c r="V31" s="696" t="s">
        <v>18</v>
      </c>
      <c r="W31" s="697">
        <f t="shared" si="14"/>
        <v>100</v>
      </c>
      <c r="X31" s="1346"/>
      <c r="Y31" s="3685"/>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686" t="s">
        <v>1696</v>
      </c>
      <c r="Q32" s="1343" t="str">
        <f t="shared" si="11"/>
        <v>建筑类型</v>
      </c>
      <c r="R32" s="696" t="s">
        <v>18</v>
      </c>
      <c r="S32" s="697">
        <f t="shared" si="12"/>
        <v>100</v>
      </c>
      <c r="T32" s="696" t="s">
        <v>18</v>
      </c>
      <c r="U32" s="697">
        <f t="shared" si="13"/>
        <v>100</v>
      </c>
      <c r="V32" s="696" t="s">
        <v>18</v>
      </c>
      <c r="W32" s="697">
        <f t="shared" si="14"/>
        <v>100</v>
      </c>
      <c r="X32" s="1346"/>
      <c r="Y32" s="3689"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687"/>
      <c r="Q33" s="698" t="str">
        <f t="shared" si="11"/>
        <v>项目建筑规模</v>
      </c>
      <c r="R33" s="699" t="s">
        <v>18</v>
      </c>
      <c r="S33" s="700" t="e">
        <f t="shared" si="12"/>
        <v>#N/A</v>
      </c>
      <c r="T33" s="699" t="s">
        <v>18</v>
      </c>
      <c r="U33" s="700" t="e">
        <f t="shared" si="13"/>
        <v>#N/A</v>
      </c>
      <c r="V33" s="699" t="s">
        <v>18</v>
      </c>
      <c r="W33" s="700" t="e">
        <f t="shared" si="14"/>
        <v>#N/A</v>
      </c>
      <c r="X33" s="701"/>
      <c r="Y33" s="3689"/>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687"/>
      <c r="Q34" s="1343" t="str">
        <f t="shared" si="11"/>
        <v>建筑结构</v>
      </c>
      <c r="R34" s="696" t="s">
        <v>18</v>
      </c>
      <c r="S34" s="697">
        <f t="shared" si="12"/>
        <v>100</v>
      </c>
      <c r="T34" s="696" t="s">
        <v>18</v>
      </c>
      <c r="U34" s="697">
        <f t="shared" si="13"/>
        <v>100</v>
      </c>
      <c r="V34" s="696" t="s">
        <v>18</v>
      </c>
      <c r="W34" s="697">
        <f t="shared" si="14"/>
        <v>100</v>
      </c>
      <c r="X34" s="1346"/>
      <c r="Y34" s="3689"/>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687"/>
      <c r="Q35" s="1343" t="str">
        <f t="shared" si="11"/>
        <v>建筑品质</v>
      </c>
      <c r="R35" s="696" t="s">
        <v>18</v>
      </c>
      <c r="S35" s="697">
        <f t="shared" si="12"/>
        <v>100</v>
      </c>
      <c r="T35" s="696" t="s">
        <v>18</v>
      </c>
      <c r="U35" s="697">
        <f t="shared" si="13"/>
        <v>100</v>
      </c>
      <c r="V35" s="696" t="s">
        <v>18</v>
      </c>
      <c r="W35" s="697">
        <f t="shared" si="14"/>
        <v>100</v>
      </c>
      <c r="X35" s="1346"/>
      <c r="Y35" s="3689"/>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687"/>
      <c r="Q36" s="1343" t="str">
        <f t="shared" si="11"/>
        <v>公共部分装修</v>
      </c>
      <c r="R36" s="696" t="s">
        <v>18</v>
      </c>
      <c r="S36" s="697">
        <f t="shared" si="12"/>
        <v>100</v>
      </c>
      <c r="T36" s="696" t="s">
        <v>18</v>
      </c>
      <c r="U36" s="697">
        <f t="shared" si="13"/>
        <v>100</v>
      </c>
      <c r="V36" s="696" t="s">
        <v>18</v>
      </c>
      <c r="W36" s="697">
        <f t="shared" si="14"/>
        <v>100</v>
      </c>
      <c r="X36" s="1346"/>
      <c r="Y36" s="3689"/>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687"/>
      <c r="Q37" s="1334" t="str">
        <f t="shared" si="11"/>
        <v>成新度</v>
      </c>
      <c r="R37" s="692" t="s">
        <v>18</v>
      </c>
      <c r="S37" s="693" t="e">
        <f t="shared" si="12"/>
        <v>#N/A</v>
      </c>
      <c r="T37" s="692" t="s">
        <v>18</v>
      </c>
      <c r="U37" s="693" t="e">
        <f t="shared" si="13"/>
        <v>#N/A</v>
      </c>
      <c r="V37" s="692" t="s">
        <v>18</v>
      </c>
      <c r="W37" s="693" t="e">
        <f t="shared" si="14"/>
        <v>#N/A</v>
      </c>
      <c r="X37" s="694"/>
      <c r="Y37" s="3689"/>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687" t="s">
        <v>1696</v>
      </c>
      <c r="Q38" s="1343" t="str">
        <f t="shared" si="11"/>
        <v>物业管理</v>
      </c>
      <c r="R38" s="696" t="s">
        <v>18</v>
      </c>
      <c r="S38" s="697">
        <f t="shared" si="12"/>
        <v>100</v>
      </c>
      <c r="T38" s="696" t="s">
        <v>18</v>
      </c>
      <c r="U38" s="697">
        <f t="shared" si="13"/>
        <v>100</v>
      </c>
      <c r="V38" s="696" t="s">
        <v>18</v>
      </c>
      <c r="W38" s="697">
        <f t="shared" si="14"/>
        <v>100</v>
      </c>
      <c r="X38" s="1346"/>
      <c r="Y38" s="3689"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687"/>
      <c r="Q39" s="1343" t="str">
        <f t="shared" si="11"/>
        <v>市政基础设施</v>
      </c>
      <c r="R39" s="696" t="s">
        <v>18</v>
      </c>
      <c r="S39" s="697">
        <f t="shared" si="12"/>
        <v>100</v>
      </c>
      <c r="T39" s="696" t="s">
        <v>18</v>
      </c>
      <c r="U39" s="697">
        <f t="shared" si="13"/>
        <v>100</v>
      </c>
      <c r="V39" s="696" t="s">
        <v>18</v>
      </c>
      <c r="W39" s="697">
        <f t="shared" si="14"/>
        <v>100</v>
      </c>
      <c r="X39" s="1346"/>
      <c r="Y39" s="3689"/>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687"/>
      <c r="Q40" s="1343" t="str">
        <f t="shared" si="11"/>
        <v>房型</v>
      </c>
      <c r="R40" s="696" t="s">
        <v>18</v>
      </c>
      <c r="S40" s="697">
        <f t="shared" si="12"/>
        <v>100</v>
      </c>
      <c r="T40" s="696" t="s">
        <v>18</v>
      </c>
      <c r="U40" s="697">
        <f t="shared" si="13"/>
        <v>100</v>
      </c>
      <c r="V40" s="696" t="s">
        <v>18</v>
      </c>
      <c r="W40" s="697">
        <f t="shared" si="14"/>
        <v>100</v>
      </c>
      <c r="X40" s="1346"/>
      <c r="Y40" s="3689"/>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687"/>
      <c r="Q41" s="698" t="str">
        <f t="shared" si="11"/>
        <v>单套/主力户型建筑面积</v>
      </c>
      <c r="R41" s="699" t="s">
        <v>18</v>
      </c>
      <c r="S41" s="700">
        <f t="shared" si="12"/>
        <v>100</v>
      </c>
      <c r="T41" s="699" t="s">
        <v>18</v>
      </c>
      <c r="U41" s="700">
        <f t="shared" si="13"/>
        <v>100</v>
      </c>
      <c r="V41" s="699" t="s">
        <v>18</v>
      </c>
      <c r="W41" s="700">
        <f t="shared" si="14"/>
        <v>100</v>
      </c>
      <c r="X41" s="701"/>
      <c r="Y41" s="3689"/>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687"/>
      <c r="Q42" s="1343" t="str">
        <f t="shared" si="11"/>
        <v>内部装修</v>
      </c>
      <c r="R42" s="696" t="s">
        <v>18</v>
      </c>
      <c r="S42" s="697">
        <f t="shared" si="12"/>
        <v>100</v>
      </c>
      <c r="T42" s="696" t="s">
        <v>18</v>
      </c>
      <c r="U42" s="697">
        <f t="shared" si="13"/>
        <v>100</v>
      </c>
      <c r="V42" s="696" t="s">
        <v>18</v>
      </c>
      <c r="W42" s="697">
        <f t="shared" si="14"/>
        <v>100</v>
      </c>
      <c r="X42" s="1346"/>
      <c r="Y42" s="3689"/>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687"/>
      <c r="Q43" s="1343" t="str">
        <f t="shared" si="11"/>
        <v>内部装修维护情况</v>
      </c>
      <c r="R43" s="696" t="s">
        <v>18</v>
      </c>
      <c r="S43" s="697">
        <f t="shared" si="12"/>
        <v>100</v>
      </c>
      <c r="T43" s="696" t="s">
        <v>18</v>
      </c>
      <c r="U43" s="697">
        <f t="shared" si="13"/>
        <v>100</v>
      </c>
      <c r="V43" s="696" t="s">
        <v>18</v>
      </c>
      <c r="W43" s="697">
        <f t="shared" si="14"/>
        <v>100</v>
      </c>
      <c r="X43" s="1346"/>
      <c r="Y43" s="3689"/>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687"/>
      <c r="Q44" s="1334">
        <f t="shared" si="11"/>
        <v>111</v>
      </c>
      <c r="R44" s="692" t="s">
        <v>18</v>
      </c>
      <c r="S44" s="693">
        <f t="shared" si="12"/>
        <v>100</v>
      </c>
      <c r="T44" s="692" t="s">
        <v>18</v>
      </c>
      <c r="U44" s="693">
        <f t="shared" si="13"/>
        <v>100</v>
      </c>
      <c r="V44" s="692" t="s">
        <v>18</v>
      </c>
      <c r="W44" s="693">
        <f t="shared" si="14"/>
        <v>100</v>
      </c>
      <c r="X44" s="694"/>
      <c r="Y44" s="3689"/>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687"/>
      <c r="Q45" s="1343">
        <f t="shared" si="11"/>
        <v>111</v>
      </c>
      <c r="R45" s="696" t="s">
        <v>18</v>
      </c>
      <c r="S45" s="697">
        <f t="shared" si="12"/>
        <v>100</v>
      </c>
      <c r="T45" s="696" t="s">
        <v>18</v>
      </c>
      <c r="U45" s="697">
        <f t="shared" si="13"/>
        <v>100</v>
      </c>
      <c r="V45" s="696" t="s">
        <v>18</v>
      </c>
      <c r="W45" s="697">
        <f t="shared" si="14"/>
        <v>100</v>
      </c>
      <c r="X45" s="1346"/>
      <c r="Y45" s="3689"/>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688"/>
      <c r="Q46" s="1343">
        <f t="shared" si="11"/>
        <v>111</v>
      </c>
      <c r="R46" s="696" t="s">
        <v>17</v>
      </c>
      <c r="S46" s="697">
        <f t="shared" si="12"/>
        <v>100</v>
      </c>
      <c r="T46" s="696" t="s">
        <v>17</v>
      </c>
      <c r="U46" s="697">
        <f t="shared" si="13"/>
        <v>100</v>
      </c>
      <c r="V46" s="696" t="s">
        <v>17</v>
      </c>
      <c r="W46" s="697">
        <f t="shared" si="14"/>
        <v>100</v>
      </c>
      <c r="X46" s="1346"/>
      <c r="Y46" s="3690"/>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677" t="str">
        <f>A47</f>
        <v>成交单价（元/平方米）</v>
      </c>
      <c r="Q47" s="3677"/>
      <c r="R47" s="3678">
        <f>E47</f>
        <v>0</v>
      </c>
      <c r="S47" s="3678"/>
      <c r="T47" s="3678">
        <f>G47</f>
        <v>0</v>
      </c>
      <c r="U47" s="3678"/>
      <c r="V47" s="3678">
        <f>I47</f>
        <v>0</v>
      </c>
      <c r="W47" s="3678"/>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2024-2</v>
      </c>
      <c r="D58" s="1176">
        <f>EDATE(C58,-1)</f>
        <v>45292</v>
      </c>
      <c r="E58" s="1176">
        <f>EDATE(D58,-1)</f>
        <v>45261</v>
      </c>
      <c r="F58" s="1176">
        <f t="shared" ref="F58:O58" si="19">EDATE(E58,-1)</f>
        <v>45231</v>
      </c>
      <c r="G58" s="1176">
        <f t="shared" si="19"/>
        <v>45200</v>
      </c>
      <c r="H58" s="1176">
        <f t="shared" si="19"/>
        <v>45170</v>
      </c>
      <c r="I58" s="1176">
        <f t="shared" si="19"/>
        <v>45139</v>
      </c>
      <c r="J58" s="1176">
        <f t="shared" si="19"/>
        <v>45108</v>
      </c>
      <c r="K58" s="1176">
        <f t="shared" si="19"/>
        <v>45078</v>
      </c>
      <c r="L58" s="1176">
        <f t="shared" si="19"/>
        <v>45047</v>
      </c>
      <c r="M58" s="1176">
        <f t="shared" si="19"/>
        <v>45017</v>
      </c>
      <c r="N58" s="1176">
        <f t="shared" si="19"/>
        <v>44986</v>
      </c>
      <c r="O58" s="1176">
        <f t="shared" si="19"/>
        <v>44958</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35.409999999999997</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57" t="s">
        <v>1775</v>
      </c>
      <c r="Q4" s="3758"/>
      <c r="R4" s="3761" t="s">
        <v>1771</v>
      </c>
      <c r="S4" s="3762"/>
      <c r="T4" s="3761" t="s">
        <v>1772</v>
      </c>
      <c r="U4" s="3762"/>
      <c r="V4" s="3763" t="s">
        <v>1773</v>
      </c>
      <c r="W4" s="3763"/>
      <c r="X4" s="1949"/>
      <c r="Y4" s="3761" t="s">
        <v>1775</v>
      </c>
      <c r="Z4" s="3762"/>
      <c r="AA4" s="3765" t="s">
        <v>1771</v>
      </c>
      <c r="AB4" s="3765" t="s">
        <v>1772</v>
      </c>
      <c r="AC4" s="3754" t="s">
        <v>1773</v>
      </c>
    </row>
    <row r="5" spans="1:29" ht="15">
      <c r="A5" s="352"/>
      <c r="B5" s="353"/>
      <c r="C5" s="3719" t="s">
        <v>1673</v>
      </c>
      <c r="D5" s="3715"/>
      <c r="E5" s="3750" t="s">
        <v>1674</v>
      </c>
      <c r="F5" s="3723"/>
      <c r="G5" s="3719" t="s">
        <v>1675</v>
      </c>
      <c r="H5" s="3715"/>
      <c r="I5" s="3719" t="s">
        <v>1676</v>
      </c>
      <c r="J5" s="3715"/>
      <c r="K5" s="553"/>
      <c r="L5" s="2704"/>
      <c r="M5" s="2705"/>
      <c r="N5" s="2705"/>
      <c r="O5" s="2705"/>
      <c r="P5" s="3759"/>
      <c r="Q5" s="3703"/>
      <c r="R5" s="3708"/>
      <c r="S5" s="3709"/>
      <c r="T5" s="3708"/>
      <c r="U5" s="3709"/>
      <c r="V5" s="3691"/>
      <c r="W5" s="3691"/>
      <c r="X5" s="1346"/>
      <c r="Y5" s="3708"/>
      <c r="Z5" s="3709"/>
      <c r="AA5" s="3694"/>
      <c r="AB5" s="3694"/>
      <c r="AC5" s="3755"/>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60"/>
      <c r="Q6" s="3705"/>
      <c r="R6" s="3708"/>
      <c r="S6" s="3709"/>
      <c r="T6" s="3710"/>
      <c r="U6" s="3711"/>
      <c r="V6" s="3691"/>
      <c r="W6" s="3691"/>
      <c r="X6" s="1346"/>
      <c r="Y6" s="3710"/>
      <c r="Z6" s="3711"/>
      <c r="AA6" s="3695"/>
      <c r="AB6" s="3695"/>
      <c r="AC6" s="3756"/>
    </row>
    <row r="7" spans="1:29" s="108" customFormat="1" ht="15.75" thickBot="1">
      <c r="A7" s="356" t="s">
        <v>1679</v>
      </c>
      <c r="B7" s="357"/>
      <c r="C7" s="358">
        <f>'数据-取费表'!B2</f>
        <v>45345</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4"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4" t="s">
        <v>1683</v>
      </c>
      <c r="Q8" s="3717"/>
      <c r="R8" s="692" t="s">
        <v>14</v>
      </c>
      <c r="S8" s="693">
        <f t="shared" si="0"/>
        <v>100</v>
      </c>
      <c r="T8" s="692" t="s">
        <v>14</v>
      </c>
      <c r="U8" s="693">
        <f t="shared" si="1"/>
        <v>100</v>
      </c>
      <c r="V8" s="692" t="s">
        <v>14</v>
      </c>
      <c r="W8" s="693">
        <f t="shared" si="2"/>
        <v>100</v>
      </c>
      <c r="X8" s="694"/>
      <c r="Y8" s="3716" t="s">
        <v>1683</v>
      </c>
      <c r="Z8" s="3717"/>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2"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2"/>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2"/>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2"/>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2"/>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2"/>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682" t="s">
        <v>1691</v>
      </c>
      <c r="Q15" s="1343" t="str">
        <f t="shared" si="6"/>
        <v>办公集聚程度</v>
      </c>
      <c r="R15" s="696" t="s">
        <v>14</v>
      </c>
      <c r="S15" s="697">
        <f t="shared" si="0"/>
        <v>100</v>
      </c>
      <c r="T15" s="696" t="s">
        <v>14</v>
      </c>
      <c r="U15" s="697">
        <f t="shared" si="1"/>
        <v>100</v>
      </c>
      <c r="V15" s="696" t="s">
        <v>14</v>
      </c>
      <c r="W15" s="697">
        <f t="shared" si="2"/>
        <v>100</v>
      </c>
      <c r="X15" s="1346"/>
      <c r="Y15" s="3684"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683"/>
      <c r="Q16" s="1343"/>
      <c r="R16" s="696"/>
      <c r="S16" s="697"/>
      <c r="T16" s="696"/>
      <c r="U16" s="697"/>
      <c r="V16" s="696"/>
      <c r="W16" s="697"/>
      <c r="X16" s="1346"/>
      <c r="Y16" s="3685"/>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683"/>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683"/>
      <c r="Q18" s="1343"/>
      <c r="R18" s="696"/>
      <c r="S18" s="697"/>
      <c r="T18" s="696"/>
      <c r="U18" s="697"/>
      <c r="V18" s="696"/>
      <c r="W18" s="697"/>
      <c r="X18" s="1346"/>
      <c r="Y18" s="3685"/>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683"/>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683"/>
      <c r="Q20" s="1343"/>
      <c r="R20" s="696"/>
      <c r="S20" s="697"/>
      <c r="T20" s="696"/>
      <c r="U20" s="697"/>
      <c r="V20" s="696"/>
      <c r="W20" s="697"/>
      <c r="X20" s="1346"/>
      <c r="Y20" s="3685"/>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683"/>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683"/>
      <c r="Q22" s="1343"/>
      <c r="R22" s="696"/>
      <c r="S22" s="697"/>
      <c r="T22" s="696"/>
      <c r="U22" s="697"/>
      <c r="V22" s="696"/>
      <c r="W22" s="697"/>
      <c r="X22" s="1346"/>
      <c r="Y22" s="3685"/>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683"/>
      <c r="Q23" s="1343" t="str">
        <f>B23</f>
        <v>环境质量</v>
      </c>
      <c r="R23" s="696" t="s">
        <v>14</v>
      </c>
      <c r="S23" s="697">
        <f>F23</f>
        <v>100</v>
      </c>
      <c r="T23" s="696" t="s">
        <v>14</v>
      </c>
      <c r="U23" s="697">
        <f>H23</f>
        <v>100</v>
      </c>
      <c r="V23" s="696" t="s">
        <v>14</v>
      </c>
      <c r="W23" s="697">
        <f>J23</f>
        <v>100</v>
      </c>
      <c r="X23" s="1346"/>
      <c r="Y23" s="3685"/>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683"/>
      <c r="Q24" s="1343"/>
      <c r="R24" s="696"/>
      <c r="S24" s="697"/>
      <c r="T24" s="696"/>
      <c r="U24" s="697"/>
      <c r="V24" s="696"/>
      <c r="W24" s="697"/>
      <c r="X24" s="1346"/>
      <c r="Y24" s="3685"/>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683"/>
      <c r="Q25" s="1343" t="str">
        <f>B25</f>
        <v>毗邻道路的类型与等级</v>
      </c>
      <c r="R25" s="696" t="s">
        <v>14</v>
      </c>
      <c r="S25" s="697">
        <f>F25</f>
        <v>100</v>
      </c>
      <c r="T25" s="696" t="s">
        <v>14</v>
      </c>
      <c r="U25" s="697">
        <f>H25</f>
        <v>100</v>
      </c>
      <c r="V25" s="696" t="s">
        <v>14</v>
      </c>
      <c r="W25" s="697">
        <f>J25</f>
        <v>100</v>
      </c>
      <c r="X25" s="1346"/>
      <c r="Y25" s="3685"/>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683"/>
      <c r="Q26" s="1343"/>
      <c r="R26" s="696"/>
      <c r="S26" s="697"/>
      <c r="T26" s="696"/>
      <c r="U26" s="697"/>
      <c r="V26" s="696"/>
      <c r="W26" s="697"/>
      <c r="X26" s="1346"/>
      <c r="Y26" s="3685"/>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683"/>
      <c r="Q27" s="1343" t="str">
        <f t="shared" ref="Q27:Q47" si="11">B27</f>
        <v>楼层</v>
      </c>
      <c r="R27" s="696" t="s">
        <v>14</v>
      </c>
      <c r="S27" s="697">
        <f>F27</f>
        <v>100</v>
      </c>
      <c r="T27" s="696" t="s">
        <v>14</v>
      </c>
      <c r="U27" s="697">
        <f>H27</f>
        <v>100</v>
      </c>
      <c r="V27" s="696" t="s">
        <v>14</v>
      </c>
      <c r="W27" s="697">
        <f>J27</f>
        <v>100</v>
      </c>
      <c r="X27" s="1346"/>
      <c r="Y27" s="3685"/>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683"/>
      <c r="Q28" s="1334" t="str">
        <f t="shared" si="11"/>
        <v>朝向</v>
      </c>
      <c r="R28" s="692" t="s">
        <v>14</v>
      </c>
      <c r="S28" s="693">
        <f>F28</f>
        <v>100</v>
      </c>
      <c r="T28" s="692" t="s">
        <v>14</v>
      </c>
      <c r="U28" s="693">
        <f>H28</f>
        <v>100</v>
      </c>
      <c r="V28" s="692" t="s">
        <v>14</v>
      </c>
      <c r="W28" s="693">
        <f>J28</f>
        <v>100</v>
      </c>
      <c r="X28" s="694"/>
      <c r="Y28" s="3685"/>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683"/>
      <c r="Q29" s="1343">
        <f t="shared" si="11"/>
        <v>111</v>
      </c>
      <c r="R29" s="696" t="s">
        <v>14</v>
      </c>
      <c r="S29" s="697">
        <f t="shared" ref="S29:S47" si="12">F29</f>
        <v>100</v>
      </c>
      <c r="T29" s="696" t="s">
        <v>14</v>
      </c>
      <c r="U29" s="697">
        <f t="shared" ref="U29:U47" si="13">H29</f>
        <v>100</v>
      </c>
      <c r="V29" s="696" t="s">
        <v>14</v>
      </c>
      <c r="W29" s="697">
        <f t="shared" ref="W29:W47" si="14">J29</f>
        <v>100</v>
      </c>
      <c r="X29" s="1346"/>
      <c r="Y29" s="3685"/>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683"/>
      <c r="Q30" s="1343">
        <f t="shared" si="11"/>
        <v>111</v>
      </c>
      <c r="R30" s="696" t="s">
        <v>14</v>
      </c>
      <c r="S30" s="697">
        <f t="shared" si="12"/>
        <v>100</v>
      </c>
      <c r="T30" s="696" t="s">
        <v>14</v>
      </c>
      <c r="U30" s="697">
        <f t="shared" si="13"/>
        <v>100</v>
      </c>
      <c r="V30" s="696" t="s">
        <v>14</v>
      </c>
      <c r="W30" s="697">
        <f t="shared" si="14"/>
        <v>100</v>
      </c>
      <c r="X30" s="1346"/>
      <c r="Y30" s="3685"/>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683"/>
      <c r="Q31" s="1343">
        <f t="shared" si="11"/>
        <v>111</v>
      </c>
      <c r="R31" s="696" t="s">
        <v>14</v>
      </c>
      <c r="S31" s="697">
        <f t="shared" si="12"/>
        <v>100</v>
      </c>
      <c r="T31" s="696" t="s">
        <v>14</v>
      </c>
      <c r="U31" s="697">
        <f t="shared" si="13"/>
        <v>100</v>
      </c>
      <c r="V31" s="696" t="s">
        <v>14</v>
      </c>
      <c r="W31" s="697">
        <f t="shared" si="14"/>
        <v>100</v>
      </c>
      <c r="X31" s="1346"/>
      <c r="Y31" s="3685"/>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683"/>
      <c r="Q32" s="1343">
        <f t="shared" si="11"/>
        <v>111</v>
      </c>
      <c r="R32" s="696" t="s">
        <v>14</v>
      </c>
      <c r="S32" s="697">
        <f t="shared" si="12"/>
        <v>100</v>
      </c>
      <c r="T32" s="696" t="s">
        <v>14</v>
      </c>
      <c r="U32" s="697">
        <f t="shared" si="13"/>
        <v>100</v>
      </c>
      <c r="V32" s="696" t="s">
        <v>14</v>
      </c>
      <c r="W32" s="697">
        <f t="shared" si="14"/>
        <v>100</v>
      </c>
      <c r="X32" s="1346"/>
      <c r="Y32" s="3685"/>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686" t="s">
        <v>1696</v>
      </c>
      <c r="Q33" s="1343" t="str">
        <f t="shared" si="11"/>
        <v>建筑类型</v>
      </c>
      <c r="R33" s="696" t="s">
        <v>14</v>
      </c>
      <c r="S33" s="697">
        <f t="shared" si="12"/>
        <v>100</v>
      </c>
      <c r="T33" s="696" t="s">
        <v>14</v>
      </c>
      <c r="U33" s="697">
        <f t="shared" si="13"/>
        <v>100</v>
      </c>
      <c r="V33" s="696" t="s">
        <v>14</v>
      </c>
      <c r="W33" s="697">
        <f t="shared" si="14"/>
        <v>100</v>
      </c>
      <c r="X33" s="1346"/>
      <c r="Y33" s="3689"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687"/>
      <c r="Q34" s="698" t="str">
        <f t="shared" si="11"/>
        <v>项目建筑规模</v>
      </c>
      <c r="R34" s="699" t="s">
        <v>14</v>
      </c>
      <c r="S34" s="700" t="e">
        <f t="shared" si="12"/>
        <v>#N/A</v>
      </c>
      <c r="T34" s="699" t="s">
        <v>14</v>
      </c>
      <c r="U34" s="700" t="e">
        <f t="shared" si="13"/>
        <v>#N/A</v>
      </c>
      <c r="V34" s="699" t="s">
        <v>14</v>
      </c>
      <c r="W34" s="700" t="e">
        <f t="shared" si="14"/>
        <v>#N/A</v>
      </c>
      <c r="X34" s="701"/>
      <c r="Y34" s="3689"/>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687"/>
      <c r="Q35" s="1343" t="str">
        <f t="shared" si="11"/>
        <v>建筑结构</v>
      </c>
      <c r="R35" s="696" t="s">
        <v>14</v>
      </c>
      <c r="S35" s="697">
        <f t="shared" si="12"/>
        <v>100</v>
      </c>
      <c r="T35" s="696" t="s">
        <v>14</v>
      </c>
      <c r="U35" s="697">
        <f t="shared" si="13"/>
        <v>100</v>
      </c>
      <c r="V35" s="696" t="s">
        <v>14</v>
      </c>
      <c r="W35" s="697">
        <f t="shared" si="14"/>
        <v>100</v>
      </c>
      <c r="X35" s="1346"/>
      <c r="Y35" s="3689"/>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687"/>
      <c r="Q36" s="1343" t="str">
        <f t="shared" si="11"/>
        <v>公共部分装修</v>
      </c>
      <c r="R36" s="696" t="s">
        <v>14</v>
      </c>
      <c r="S36" s="697">
        <f t="shared" si="12"/>
        <v>100</v>
      </c>
      <c r="T36" s="696" t="s">
        <v>14</v>
      </c>
      <c r="U36" s="697">
        <f t="shared" si="13"/>
        <v>100</v>
      </c>
      <c r="V36" s="696" t="s">
        <v>14</v>
      </c>
      <c r="W36" s="697">
        <f t="shared" si="14"/>
        <v>100</v>
      </c>
      <c r="X36" s="1346"/>
      <c r="Y36" s="3689"/>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687"/>
      <c r="Q37" s="1343" t="str">
        <f t="shared" si="11"/>
        <v>成新度</v>
      </c>
      <c r="R37" s="696" t="s">
        <v>14</v>
      </c>
      <c r="S37" s="697" t="e">
        <f t="shared" si="12"/>
        <v>#N/A</v>
      </c>
      <c r="T37" s="696" t="s">
        <v>14</v>
      </c>
      <c r="U37" s="697" t="e">
        <f t="shared" si="13"/>
        <v>#N/A</v>
      </c>
      <c r="V37" s="696" t="s">
        <v>14</v>
      </c>
      <c r="W37" s="697" t="e">
        <f t="shared" si="14"/>
        <v>#N/A</v>
      </c>
      <c r="X37" s="1346"/>
      <c r="Y37" s="3689"/>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687"/>
      <c r="Q38" s="1334" t="str">
        <f t="shared" si="11"/>
        <v>写字楼等级</v>
      </c>
      <c r="R38" s="692" t="s">
        <v>14</v>
      </c>
      <c r="S38" s="693">
        <f t="shared" si="12"/>
        <v>100</v>
      </c>
      <c r="T38" s="692" t="s">
        <v>14</v>
      </c>
      <c r="U38" s="693">
        <f t="shared" si="13"/>
        <v>100</v>
      </c>
      <c r="V38" s="692" t="s">
        <v>14</v>
      </c>
      <c r="W38" s="693">
        <f t="shared" si="14"/>
        <v>100</v>
      </c>
      <c r="X38" s="694"/>
      <c r="Y38" s="3689"/>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687" t="s">
        <v>1696</v>
      </c>
      <c r="Q39" s="1343" t="str">
        <f t="shared" si="11"/>
        <v>物业管理</v>
      </c>
      <c r="R39" s="696" t="s">
        <v>14</v>
      </c>
      <c r="S39" s="697">
        <f t="shared" si="12"/>
        <v>100</v>
      </c>
      <c r="T39" s="696" t="s">
        <v>14</v>
      </c>
      <c r="U39" s="697">
        <f t="shared" si="13"/>
        <v>100</v>
      </c>
      <c r="V39" s="696" t="s">
        <v>14</v>
      </c>
      <c r="W39" s="697">
        <f t="shared" si="14"/>
        <v>100</v>
      </c>
      <c r="X39" s="1346"/>
      <c r="Y39" s="3689"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687"/>
      <c r="Q40" s="1343" t="str">
        <f t="shared" si="11"/>
        <v>市政基础设施</v>
      </c>
      <c r="R40" s="696" t="s">
        <v>14</v>
      </c>
      <c r="S40" s="697">
        <f t="shared" si="12"/>
        <v>100</v>
      </c>
      <c r="T40" s="696" t="s">
        <v>14</v>
      </c>
      <c r="U40" s="697">
        <f t="shared" si="13"/>
        <v>100</v>
      </c>
      <c r="V40" s="696" t="s">
        <v>14</v>
      </c>
      <c r="W40" s="697">
        <f t="shared" si="14"/>
        <v>100</v>
      </c>
      <c r="X40" s="1346"/>
      <c r="Y40" s="3689"/>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687"/>
      <c r="Q41" s="1343" t="str">
        <f t="shared" si="11"/>
        <v>层高</v>
      </c>
      <c r="R41" s="696" t="s">
        <v>14</v>
      </c>
      <c r="S41" s="697">
        <f t="shared" si="12"/>
        <v>100</v>
      </c>
      <c r="T41" s="696" t="s">
        <v>14</v>
      </c>
      <c r="U41" s="697">
        <f t="shared" si="13"/>
        <v>100</v>
      </c>
      <c r="V41" s="696" t="s">
        <v>14</v>
      </c>
      <c r="W41" s="697">
        <f t="shared" si="14"/>
        <v>100</v>
      </c>
      <c r="X41" s="1346"/>
      <c r="Y41" s="3689"/>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687"/>
      <c r="Q42" s="698" t="str">
        <f t="shared" si="11"/>
        <v>单套建筑面积</v>
      </c>
      <c r="R42" s="699" t="s">
        <v>14</v>
      </c>
      <c r="S42" s="700">
        <f t="shared" si="12"/>
        <v>100</v>
      </c>
      <c r="T42" s="699" t="s">
        <v>14</v>
      </c>
      <c r="U42" s="700">
        <f t="shared" si="13"/>
        <v>100</v>
      </c>
      <c r="V42" s="699" t="s">
        <v>14</v>
      </c>
      <c r="W42" s="700">
        <f t="shared" si="14"/>
        <v>100</v>
      </c>
      <c r="X42" s="701"/>
      <c r="Y42" s="3689"/>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687"/>
      <c r="Q43" s="1343" t="str">
        <f t="shared" si="11"/>
        <v>内部装修</v>
      </c>
      <c r="R43" s="696" t="s">
        <v>14</v>
      </c>
      <c r="S43" s="697">
        <f t="shared" si="12"/>
        <v>100</v>
      </c>
      <c r="T43" s="696" t="s">
        <v>14</v>
      </c>
      <c r="U43" s="697">
        <f t="shared" si="13"/>
        <v>100</v>
      </c>
      <c r="V43" s="696" t="s">
        <v>14</v>
      </c>
      <c r="W43" s="697">
        <f t="shared" si="14"/>
        <v>100</v>
      </c>
      <c r="X43" s="1346"/>
      <c r="Y43" s="3689"/>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687"/>
      <c r="Q44" s="1343" t="str">
        <f t="shared" si="11"/>
        <v>内部装修维护情况</v>
      </c>
      <c r="R44" s="696" t="s">
        <v>14</v>
      </c>
      <c r="S44" s="697">
        <f t="shared" si="12"/>
        <v>100</v>
      </c>
      <c r="T44" s="696" t="s">
        <v>14</v>
      </c>
      <c r="U44" s="697">
        <f t="shared" si="13"/>
        <v>100</v>
      </c>
      <c r="V44" s="696" t="s">
        <v>14</v>
      </c>
      <c r="W44" s="697">
        <f t="shared" si="14"/>
        <v>100</v>
      </c>
      <c r="X44" s="1346"/>
      <c r="Y44" s="3689"/>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687"/>
      <c r="Q45" s="1334">
        <f t="shared" si="11"/>
        <v>111</v>
      </c>
      <c r="R45" s="692" t="s">
        <v>14</v>
      </c>
      <c r="S45" s="693">
        <f t="shared" si="12"/>
        <v>100</v>
      </c>
      <c r="T45" s="692" t="s">
        <v>14</v>
      </c>
      <c r="U45" s="693">
        <f t="shared" si="13"/>
        <v>100</v>
      </c>
      <c r="V45" s="692" t="s">
        <v>14</v>
      </c>
      <c r="W45" s="693">
        <f t="shared" si="14"/>
        <v>100</v>
      </c>
      <c r="X45" s="694"/>
      <c r="Y45" s="3689"/>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687"/>
      <c r="Q46" s="1343">
        <f t="shared" si="11"/>
        <v>111</v>
      </c>
      <c r="R46" s="696" t="s">
        <v>14</v>
      </c>
      <c r="S46" s="697">
        <f t="shared" si="12"/>
        <v>100</v>
      </c>
      <c r="T46" s="696" t="s">
        <v>14</v>
      </c>
      <c r="U46" s="697">
        <f t="shared" si="13"/>
        <v>100</v>
      </c>
      <c r="V46" s="696" t="s">
        <v>14</v>
      </c>
      <c r="W46" s="697">
        <f t="shared" si="14"/>
        <v>100</v>
      </c>
      <c r="X46" s="1346"/>
      <c r="Y46" s="3689"/>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688"/>
      <c r="Q47" s="1343">
        <f t="shared" si="11"/>
        <v>111</v>
      </c>
      <c r="R47" s="696" t="s">
        <v>14</v>
      </c>
      <c r="S47" s="697">
        <f t="shared" si="12"/>
        <v>100</v>
      </c>
      <c r="T47" s="696" t="s">
        <v>14</v>
      </c>
      <c r="U47" s="697">
        <f t="shared" si="13"/>
        <v>100</v>
      </c>
      <c r="V47" s="696" t="s">
        <v>14</v>
      </c>
      <c r="W47" s="697">
        <f t="shared" si="14"/>
        <v>100</v>
      </c>
      <c r="X47" s="1346"/>
      <c r="Y47" s="3690"/>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2" t="str">
        <f>A48</f>
        <v>成交单价（元/平方米）</v>
      </c>
      <c r="Q48" s="3677"/>
      <c r="R48" s="3678">
        <f>E48</f>
        <v>0</v>
      </c>
      <c r="S48" s="3678"/>
      <c r="T48" s="3678">
        <f>G48</f>
        <v>0</v>
      </c>
      <c r="U48" s="3678"/>
      <c r="V48" s="3678">
        <f>I48</f>
        <v>0</v>
      </c>
      <c r="W48" s="3678"/>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2024-2</v>
      </c>
      <c r="D59" s="1176">
        <f>EDATE(C59,-1)</f>
        <v>45292</v>
      </c>
      <c r="E59" s="1176">
        <f>EDATE(D59,-1)</f>
        <v>45261</v>
      </c>
      <c r="F59" s="1176">
        <f t="shared" ref="F59:O59" si="16">EDATE(E59,-1)</f>
        <v>45231</v>
      </c>
      <c r="G59" s="1176">
        <f t="shared" si="16"/>
        <v>45200</v>
      </c>
      <c r="H59" s="1176">
        <f t="shared" si="16"/>
        <v>45170</v>
      </c>
      <c r="I59" s="1176">
        <f t="shared" si="16"/>
        <v>45139</v>
      </c>
      <c r="J59" s="1176">
        <f t="shared" si="16"/>
        <v>45108</v>
      </c>
      <c r="K59" s="1176">
        <f t="shared" si="16"/>
        <v>45078</v>
      </c>
      <c r="L59" s="1176">
        <f t="shared" si="16"/>
        <v>45047</v>
      </c>
      <c r="M59" s="1176">
        <f t="shared" si="16"/>
        <v>45017</v>
      </c>
      <c r="N59" s="1176">
        <f t="shared" si="16"/>
        <v>44986</v>
      </c>
      <c r="O59" s="1176">
        <f t="shared" si="16"/>
        <v>44958</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受贵公司委托，我公司对太原市保利东郡房地产抵押价值进行了预评估。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估价对象为太原市保利东郡房地产，为所有。根据《国有土地使用证》[]，估价对象（分摊）出让国有建设用地使用权面积为0平方米，建筑面积为35.41平方米。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估价对象为太原市保利东郡房地产,为开发建设的，该项目尚在开发建设中。根据《国有土地使用证》[]，估价对象（分摊）出让国有建设用地使用权面积为0平方米，规划建筑面积为35.41平方米。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拟使用太原市保利东郡房地产作为抵押担保物，向办理贷款手续。特委托北京康正宏基房地产评估有限公司对上述抵押物进行评估。本次评估为确定房地产抵押贷款额度提供参考依据而评估房地产抵押价值。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2024年2月23日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35.409999999999997</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904"/>
      <c r="M4" s="905"/>
      <c r="N4" s="905"/>
      <c r="O4" s="9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904"/>
      <c r="M5" s="905"/>
      <c r="N5" s="905"/>
      <c r="O5" s="9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904"/>
      <c r="M6" s="905"/>
      <c r="N6" s="905"/>
      <c r="O6" s="9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45345</v>
      </c>
      <c r="D7" s="359">
        <v>100</v>
      </c>
      <c r="E7" s="360"/>
      <c r="F7" s="361">
        <f>SUMIF(52:52,YEAR(E7)&amp;"-"&amp;MONTH(E7),53:53)</f>
        <v>0</v>
      </c>
      <c r="G7" s="360"/>
      <c r="H7" s="359">
        <f>SUMIF(52:52,YEAR(G7)&amp;"-"&amp;MONTH(G7),53:53)</f>
        <v>0</v>
      </c>
      <c r="I7" s="360"/>
      <c r="J7" s="359">
        <f>SUMIF(52:52,YEAR(I7)&amp;"-"&amp;MONTH(I7),53:53)</f>
        <v>0</v>
      </c>
      <c r="K7" s="554"/>
      <c r="L7" s="906"/>
      <c r="M7" s="907"/>
      <c r="N7" s="907"/>
      <c r="O7" s="9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16" t="s">
        <v>1683</v>
      </c>
      <c r="Q8" s="3717"/>
      <c r="R8" s="692" t="s">
        <v>14</v>
      </c>
      <c r="S8" s="693">
        <f t="shared" si="0"/>
        <v>100</v>
      </c>
      <c r="T8" s="692" t="s">
        <v>14</v>
      </c>
      <c r="U8" s="693">
        <f t="shared" si="1"/>
        <v>100</v>
      </c>
      <c r="V8" s="692" t="s">
        <v>14</v>
      </c>
      <c r="W8" s="693">
        <f t="shared" si="2"/>
        <v>100</v>
      </c>
      <c r="X8" s="694"/>
      <c r="Y8" s="3716" t="s">
        <v>1683</v>
      </c>
      <c r="Z8" s="3717"/>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677"/>
      <c r="Q11" s="1334" t="str">
        <f t="shared" si="6"/>
        <v>容积率</v>
      </c>
      <c r="R11" s="692" t="s">
        <v>14</v>
      </c>
      <c r="S11" s="693">
        <f t="shared" si="0"/>
        <v>100</v>
      </c>
      <c r="T11" s="692" t="s">
        <v>14</v>
      </c>
      <c r="U11" s="693">
        <f t="shared" si="1"/>
        <v>100</v>
      </c>
      <c r="V11" s="692" t="s">
        <v>14</v>
      </c>
      <c r="W11" s="693">
        <f t="shared" si="2"/>
        <v>100</v>
      </c>
      <c r="X11" s="694"/>
      <c r="Y11" s="3562"/>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684" t="s">
        <v>1691</v>
      </c>
      <c r="Q15" s="1343" t="str">
        <f t="shared" si="6"/>
        <v>产业集聚程度</v>
      </c>
      <c r="R15" s="696" t="s">
        <v>14</v>
      </c>
      <c r="S15" s="697">
        <f t="shared" si="0"/>
        <v>100</v>
      </c>
      <c r="T15" s="696" t="s">
        <v>14</v>
      </c>
      <c r="U15" s="697">
        <f t="shared" si="1"/>
        <v>100</v>
      </c>
      <c r="V15" s="696" t="s">
        <v>14</v>
      </c>
      <c r="W15" s="697">
        <f t="shared" si="2"/>
        <v>100</v>
      </c>
      <c r="X15" s="1346"/>
      <c r="Y15" s="3684"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685"/>
      <c r="Q16" s="1343"/>
      <c r="R16" s="696"/>
      <c r="S16" s="697"/>
      <c r="T16" s="696"/>
      <c r="U16" s="697"/>
      <c r="V16" s="696"/>
      <c r="W16" s="697"/>
      <c r="X16" s="1346"/>
      <c r="Y16" s="3685"/>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685"/>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685"/>
      <c r="Q18" s="1343"/>
      <c r="R18" s="696"/>
      <c r="S18" s="697"/>
      <c r="T18" s="696"/>
      <c r="U18" s="697"/>
      <c r="V18" s="696"/>
      <c r="W18" s="697"/>
      <c r="X18" s="1346"/>
      <c r="Y18" s="3685"/>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685"/>
      <c r="Q19" s="1343" t="str">
        <f>B19</f>
        <v>公共配套设施</v>
      </c>
      <c r="R19" s="696" t="s">
        <v>14</v>
      </c>
      <c r="S19" s="697">
        <f>F19</f>
        <v>100</v>
      </c>
      <c r="T19" s="696" t="s">
        <v>14</v>
      </c>
      <c r="U19" s="697">
        <f>H19</f>
        <v>100</v>
      </c>
      <c r="V19" s="696" t="s">
        <v>14</v>
      </c>
      <c r="W19" s="697">
        <f>J19</f>
        <v>100</v>
      </c>
      <c r="X19" s="1346"/>
      <c r="Y19" s="3685"/>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685"/>
      <c r="Q20" s="1343"/>
      <c r="R20" s="696"/>
      <c r="S20" s="697"/>
      <c r="T20" s="696"/>
      <c r="U20" s="697"/>
      <c r="V20" s="696"/>
      <c r="W20" s="697"/>
      <c r="X20" s="1346"/>
      <c r="Y20" s="3685"/>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685"/>
      <c r="Q21" s="1343" t="str">
        <f>B21</f>
        <v>基础设施水平</v>
      </c>
      <c r="R21" s="696" t="s">
        <v>14</v>
      </c>
      <c r="S21" s="697">
        <f>F21</f>
        <v>100</v>
      </c>
      <c r="T21" s="696" t="s">
        <v>14</v>
      </c>
      <c r="U21" s="697">
        <f>H21</f>
        <v>100</v>
      </c>
      <c r="V21" s="696" t="s">
        <v>14</v>
      </c>
      <c r="W21" s="697">
        <f>J21</f>
        <v>100</v>
      </c>
      <c r="X21" s="1346"/>
      <c r="Y21" s="3685"/>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685"/>
      <c r="Q22" s="1343"/>
      <c r="R22" s="696"/>
      <c r="S22" s="697"/>
      <c r="T22" s="696"/>
      <c r="U22" s="697"/>
      <c r="V22" s="696"/>
      <c r="W22" s="697"/>
      <c r="X22" s="1346"/>
      <c r="Y22" s="3685"/>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685"/>
      <c r="Q23" s="1343" t="str">
        <f>B23</f>
        <v>环境质量</v>
      </c>
      <c r="R23" s="696" t="s">
        <v>14</v>
      </c>
      <c r="S23" s="697">
        <f>F23</f>
        <v>100</v>
      </c>
      <c r="T23" s="696" t="s">
        <v>14</v>
      </c>
      <c r="U23" s="697">
        <f>H23</f>
        <v>100</v>
      </c>
      <c r="V23" s="696" t="s">
        <v>14</v>
      </c>
      <c r="W23" s="697">
        <f>J23</f>
        <v>100</v>
      </c>
      <c r="X23" s="1346"/>
      <c r="Y23" s="3685"/>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685"/>
      <c r="Q24" s="1343"/>
      <c r="R24" s="696"/>
      <c r="S24" s="697"/>
      <c r="T24" s="696"/>
      <c r="U24" s="697"/>
      <c r="V24" s="696"/>
      <c r="W24" s="697"/>
      <c r="X24" s="1346"/>
      <c r="Y24" s="3685"/>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685"/>
      <c r="Q25" s="1343">
        <f>B25</f>
        <v>111</v>
      </c>
      <c r="R25" s="696" t="s">
        <v>14</v>
      </c>
      <c r="S25" s="697">
        <f>F25</f>
        <v>100</v>
      </c>
      <c r="T25" s="696" t="s">
        <v>14</v>
      </c>
      <c r="U25" s="697">
        <f>H25</f>
        <v>100</v>
      </c>
      <c r="V25" s="696" t="s">
        <v>14</v>
      </c>
      <c r="W25" s="697">
        <f>J25</f>
        <v>100</v>
      </c>
      <c r="X25" s="1346"/>
      <c r="Y25" s="3685"/>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685"/>
      <c r="Q26" s="1343">
        <f t="shared" ref="Q26:Q40" si="11">B26</f>
        <v>111</v>
      </c>
      <c r="R26" s="696" t="s">
        <v>14</v>
      </c>
      <c r="S26" s="697">
        <f>F26</f>
        <v>100</v>
      </c>
      <c r="T26" s="696" t="s">
        <v>14</v>
      </c>
      <c r="U26" s="697">
        <f>H26</f>
        <v>100</v>
      </c>
      <c r="V26" s="696" t="s">
        <v>14</v>
      </c>
      <c r="W26" s="697">
        <f>J26</f>
        <v>100</v>
      </c>
      <c r="X26" s="1346"/>
      <c r="Y26" s="3685"/>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685"/>
      <c r="Q27" s="1334">
        <f t="shared" si="11"/>
        <v>111</v>
      </c>
      <c r="R27" s="692" t="s">
        <v>14</v>
      </c>
      <c r="S27" s="693">
        <f>F27</f>
        <v>100</v>
      </c>
      <c r="T27" s="692" t="s">
        <v>14</v>
      </c>
      <c r="U27" s="693">
        <f>H27</f>
        <v>100</v>
      </c>
      <c r="V27" s="692" t="s">
        <v>14</v>
      </c>
      <c r="W27" s="693">
        <f>J27</f>
        <v>100</v>
      </c>
      <c r="X27" s="694"/>
      <c r="Y27" s="3685"/>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685"/>
      <c r="Q28" s="1343">
        <f t="shared" si="11"/>
        <v>111</v>
      </c>
      <c r="R28" s="696" t="s">
        <v>14</v>
      </c>
      <c r="S28" s="697">
        <f t="shared" ref="S28:S40" si="12">F28</f>
        <v>100</v>
      </c>
      <c r="T28" s="696" t="s">
        <v>14</v>
      </c>
      <c r="U28" s="697">
        <f t="shared" ref="U28:U40" si="13">H28</f>
        <v>100</v>
      </c>
      <c r="V28" s="696" t="s">
        <v>14</v>
      </c>
      <c r="W28" s="697">
        <f t="shared" ref="W28:W40" si="14">J28</f>
        <v>100</v>
      </c>
      <c r="X28" s="1346"/>
      <c r="Y28" s="3685"/>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6" t="s">
        <v>1696</v>
      </c>
      <c r="Q29" s="1343" t="str">
        <f t="shared" si="11"/>
        <v>建筑类型</v>
      </c>
      <c r="R29" s="696" t="s">
        <v>14</v>
      </c>
      <c r="S29" s="697">
        <f t="shared" si="12"/>
        <v>100</v>
      </c>
      <c r="T29" s="696" t="s">
        <v>14</v>
      </c>
      <c r="U29" s="697">
        <f t="shared" si="13"/>
        <v>100</v>
      </c>
      <c r="V29" s="696" t="s">
        <v>14</v>
      </c>
      <c r="W29" s="697">
        <f t="shared" si="14"/>
        <v>100</v>
      </c>
      <c r="X29" s="1346"/>
      <c r="Y29" s="3689"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689"/>
      <c r="Q30" s="698" t="str">
        <f t="shared" si="11"/>
        <v>项目建筑规模</v>
      </c>
      <c r="R30" s="699" t="s">
        <v>14</v>
      </c>
      <c r="S30" s="700" t="e">
        <f t="shared" si="12"/>
        <v>#N/A</v>
      </c>
      <c r="T30" s="699" t="s">
        <v>14</v>
      </c>
      <c r="U30" s="700" t="e">
        <f t="shared" si="13"/>
        <v>#N/A</v>
      </c>
      <c r="V30" s="699" t="s">
        <v>14</v>
      </c>
      <c r="W30" s="700" t="e">
        <f t="shared" si="14"/>
        <v>#N/A</v>
      </c>
      <c r="X30" s="701"/>
      <c r="Y30" s="3689"/>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689"/>
      <c r="Q31" s="1343" t="str">
        <f t="shared" si="11"/>
        <v>建筑结构</v>
      </c>
      <c r="R31" s="696" t="s">
        <v>14</v>
      </c>
      <c r="S31" s="697">
        <f t="shared" si="12"/>
        <v>100</v>
      </c>
      <c r="T31" s="696" t="s">
        <v>14</v>
      </c>
      <c r="U31" s="697">
        <f t="shared" si="13"/>
        <v>100</v>
      </c>
      <c r="V31" s="696" t="s">
        <v>14</v>
      </c>
      <c r="W31" s="697">
        <f t="shared" si="14"/>
        <v>100</v>
      </c>
      <c r="X31" s="1346"/>
      <c r="Y31" s="3689"/>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689"/>
      <c r="Q32" s="1343" t="str">
        <f t="shared" si="11"/>
        <v>公共部分装修</v>
      </c>
      <c r="R32" s="696" t="s">
        <v>14</v>
      </c>
      <c r="S32" s="697">
        <f t="shared" si="12"/>
        <v>100</v>
      </c>
      <c r="T32" s="696" t="s">
        <v>14</v>
      </c>
      <c r="U32" s="697">
        <f t="shared" si="13"/>
        <v>100</v>
      </c>
      <c r="V32" s="696" t="s">
        <v>14</v>
      </c>
      <c r="W32" s="697">
        <f t="shared" si="14"/>
        <v>100</v>
      </c>
      <c r="X32" s="1346"/>
      <c r="Y32" s="3689"/>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689"/>
      <c r="Q33" s="1343" t="str">
        <f t="shared" si="11"/>
        <v>成新度</v>
      </c>
      <c r="R33" s="696" t="s">
        <v>14</v>
      </c>
      <c r="S33" s="697" t="e">
        <f t="shared" si="12"/>
        <v>#N/A</v>
      </c>
      <c r="T33" s="696" t="s">
        <v>14</v>
      </c>
      <c r="U33" s="697" t="e">
        <f t="shared" si="13"/>
        <v>#N/A</v>
      </c>
      <c r="V33" s="696" t="s">
        <v>14</v>
      </c>
      <c r="W33" s="697" t="e">
        <f t="shared" si="14"/>
        <v>#N/A</v>
      </c>
      <c r="X33" s="1346"/>
      <c r="Y33" s="3689"/>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689"/>
      <c r="Q34" s="1334" t="str">
        <f t="shared" si="11"/>
        <v>物业管理</v>
      </c>
      <c r="R34" s="692" t="s">
        <v>14</v>
      </c>
      <c r="S34" s="693">
        <f t="shared" si="12"/>
        <v>100</v>
      </c>
      <c r="T34" s="692" t="s">
        <v>14</v>
      </c>
      <c r="U34" s="693">
        <f t="shared" si="13"/>
        <v>100</v>
      </c>
      <c r="V34" s="692" t="s">
        <v>14</v>
      </c>
      <c r="W34" s="693">
        <f t="shared" si="14"/>
        <v>100</v>
      </c>
      <c r="X34" s="694"/>
      <c r="Y34" s="3689"/>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689" t="s">
        <v>1696</v>
      </c>
      <c r="Q35" s="1343" t="str">
        <f t="shared" si="11"/>
        <v>市政基础设施</v>
      </c>
      <c r="R35" s="696" t="s">
        <v>14</v>
      </c>
      <c r="S35" s="697">
        <f t="shared" si="12"/>
        <v>100</v>
      </c>
      <c r="T35" s="696" t="s">
        <v>14</v>
      </c>
      <c r="U35" s="697">
        <f t="shared" si="13"/>
        <v>100</v>
      </c>
      <c r="V35" s="696" t="s">
        <v>14</v>
      </c>
      <c r="W35" s="697">
        <f t="shared" si="14"/>
        <v>100</v>
      </c>
      <c r="X35" s="1346"/>
      <c r="Y35" s="3689"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689"/>
      <c r="Q36" s="1343" t="str">
        <f t="shared" si="11"/>
        <v>内部装修</v>
      </c>
      <c r="R36" s="696" t="s">
        <v>14</v>
      </c>
      <c r="S36" s="697">
        <f t="shared" si="12"/>
        <v>100</v>
      </c>
      <c r="T36" s="696" t="s">
        <v>14</v>
      </c>
      <c r="U36" s="697">
        <f t="shared" si="13"/>
        <v>100</v>
      </c>
      <c r="V36" s="696" t="s">
        <v>14</v>
      </c>
      <c r="W36" s="697">
        <f t="shared" si="14"/>
        <v>100</v>
      </c>
      <c r="X36" s="1346"/>
      <c r="Y36" s="3689"/>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689"/>
      <c r="Q37" s="1343" t="str">
        <f t="shared" si="11"/>
        <v>内部装修状况</v>
      </c>
      <c r="R37" s="696" t="s">
        <v>14</v>
      </c>
      <c r="S37" s="697">
        <f t="shared" si="12"/>
        <v>100</v>
      </c>
      <c r="T37" s="696" t="s">
        <v>14</v>
      </c>
      <c r="U37" s="697">
        <f t="shared" si="13"/>
        <v>100</v>
      </c>
      <c r="V37" s="696" t="s">
        <v>14</v>
      </c>
      <c r="W37" s="697">
        <f t="shared" si="14"/>
        <v>100</v>
      </c>
      <c r="X37" s="1346"/>
      <c r="Y37" s="3689"/>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689"/>
      <c r="Q38" s="698">
        <f t="shared" si="11"/>
        <v>111</v>
      </c>
      <c r="R38" s="699" t="s">
        <v>14</v>
      </c>
      <c r="S38" s="700">
        <f t="shared" si="12"/>
        <v>100</v>
      </c>
      <c r="T38" s="699" t="s">
        <v>14</v>
      </c>
      <c r="U38" s="700">
        <f t="shared" si="13"/>
        <v>100</v>
      </c>
      <c r="V38" s="699" t="s">
        <v>14</v>
      </c>
      <c r="W38" s="700">
        <f t="shared" si="14"/>
        <v>100</v>
      </c>
      <c r="X38" s="701"/>
      <c r="Y38" s="3689"/>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689"/>
      <c r="Q39" s="1343">
        <f t="shared" si="11"/>
        <v>111</v>
      </c>
      <c r="R39" s="696" t="s">
        <v>14</v>
      </c>
      <c r="S39" s="697">
        <f t="shared" si="12"/>
        <v>100</v>
      </c>
      <c r="T39" s="696" t="s">
        <v>14</v>
      </c>
      <c r="U39" s="697">
        <f t="shared" si="13"/>
        <v>100</v>
      </c>
      <c r="V39" s="696" t="s">
        <v>14</v>
      </c>
      <c r="W39" s="697">
        <f t="shared" si="14"/>
        <v>100</v>
      </c>
      <c r="X39" s="1346"/>
      <c r="Y39" s="3689"/>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690"/>
      <c r="Q40" s="1343">
        <f t="shared" si="11"/>
        <v>111</v>
      </c>
      <c r="R40" s="696" t="s">
        <v>14</v>
      </c>
      <c r="S40" s="697">
        <f t="shared" si="12"/>
        <v>100</v>
      </c>
      <c r="T40" s="696" t="s">
        <v>14</v>
      </c>
      <c r="U40" s="697">
        <f t="shared" si="13"/>
        <v>100</v>
      </c>
      <c r="V40" s="696" t="s">
        <v>14</v>
      </c>
      <c r="W40" s="697">
        <f t="shared" si="14"/>
        <v>100</v>
      </c>
      <c r="X40" s="1346"/>
      <c r="Y40" s="3690"/>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677" t="str">
        <f>A41</f>
        <v>成交单价（元/平方米）</v>
      </c>
      <c r="Q41" s="3677"/>
      <c r="R41" s="3678">
        <f>E41</f>
        <v>0</v>
      </c>
      <c r="S41" s="3678"/>
      <c r="T41" s="3678">
        <f>G41</f>
        <v>0</v>
      </c>
      <c r="U41" s="3678"/>
      <c r="V41" s="3678">
        <f>I41</f>
        <v>0</v>
      </c>
      <c r="W41" s="3678"/>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2024-2</v>
      </c>
      <c r="D52" s="1176">
        <f>EDATE(C52,-1)</f>
        <v>45292</v>
      </c>
      <c r="E52" s="1176">
        <f t="shared" ref="E52:O52" si="16">EDATE(D52,-1)</f>
        <v>45261</v>
      </c>
      <c r="F52" s="1176">
        <f t="shared" si="16"/>
        <v>45231</v>
      </c>
      <c r="G52" s="1176">
        <f t="shared" si="16"/>
        <v>45200</v>
      </c>
      <c r="H52" s="1176">
        <f t="shared" si="16"/>
        <v>45170</v>
      </c>
      <c r="I52" s="1176">
        <f t="shared" si="16"/>
        <v>45139</v>
      </c>
      <c r="J52" s="1176">
        <f t="shared" si="16"/>
        <v>45108</v>
      </c>
      <c r="K52" s="1176">
        <f t="shared" si="16"/>
        <v>45078</v>
      </c>
      <c r="L52" s="1176">
        <f t="shared" si="16"/>
        <v>45047</v>
      </c>
      <c r="M52" s="1176">
        <f t="shared" si="16"/>
        <v>45017</v>
      </c>
      <c r="N52" s="1176">
        <f t="shared" si="16"/>
        <v>44986</v>
      </c>
      <c r="O52" s="1176">
        <f t="shared" si="16"/>
        <v>44958</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45345</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16" t="s">
        <v>1680</v>
      </c>
      <c r="Q7" s="3718"/>
      <c r="R7" s="692" t="s">
        <v>14</v>
      </c>
      <c r="S7" s="693">
        <f t="shared" ref="S7:S14" si="0">F7</f>
        <v>0</v>
      </c>
      <c r="T7" s="692" t="s">
        <v>14</v>
      </c>
      <c r="U7" s="693">
        <f t="shared" ref="U7:U14" si="1">H7</f>
        <v>0</v>
      </c>
      <c r="V7" s="692" t="s">
        <v>14</v>
      </c>
      <c r="W7" s="693">
        <f t="shared" ref="W7:W14"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16" t="s">
        <v>1683</v>
      </c>
      <c r="Q8" s="3717"/>
      <c r="R8" s="692" t="s">
        <v>14</v>
      </c>
      <c r="S8" s="693">
        <f t="shared" si="0"/>
        <v>100</v>
      </c>
      <c r="T8" s="692" t="s">
        <v>14</v>
      </c>
      <c r="U8" s="693">
        <f t="shared" si="1"/>
        <v>100</v>
      </c>
      <c r="V8" s="692" t="s">
        <v>14</v>
      </c>
      <c r="W8" s="693">
        <f t="shared" si="2"/>
        <v>100</v>
      </c>
      <c r="X8" s="694"/>
      <c r="Y8" s="3716" t="s">
        <v>1683</v>
      </c>
      <c r="Z8" s="3717"/>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677" t="s">
        <v>1686</v>
      </c>
      <c r="Q9" s="1334" t="str">
        <f t="shared" ref="Q9:Q14" si="6">B9</f>
        <v>用途</v>
      </c>
      <c r="R9" s="692" t="s">
        <v>14</v>
      </c>
      <c r="S9" s="693">
        <f t="shared" si="0"/>
        <v>100</v>
      </c>
      <c r="T9" s="692" t="s">
        <v>14</v>
      </c>
      <c r="U9" s="693">
        <f t="shared" si="1"/>
        <v>100</v>
      </c>
      <c r="V9" s="692" t="s">
        <v>14</v>
      </c>
      <c r="W9" s="693">
        <f t="shared" si="2"/>
        <v>100</v>
      </c>
      <c r="X9" s="694"/>
      <c r="Y9" s="3562"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677"/>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684" t="s">
        <v>1691</v>
      </c>
      <c r="Q14" s="1343" t="str">
        <f t="shared" si="6"/>
        <v>交通便捷度</v>
      </c>
      <c r="R14" s="696" t="s">
        <v>14</v>
      </c>
      <c r="S14" s="697">
        <f t="shared" si="0"/>
        <v>100</v>
      </c>
      <c r="T14" s="696" t="s">
        <v>14</v>
      </c>
      <c r="U14" s="697">
        <f t="shared" si="1"/>
        <v>100</v>
      </c>
      <c r="V14" s="696" t="s">
        <v>14</v>
      </c>
      <c r="W14" s="697">
        <f t="shared" si="2"/>
        <v>100</v>
      </c>
      <c r="X14" s="1346"/>
      <c r="Y14" s="3684"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685"/>
      <c r="Q15" s="1343"/>
      <c r="R15" s="696"/>
      <c r="S15" s="697"/>
      <c r="T15" s="696"/>
      <c r="U15" s="697"/>
      <c r="V15" s="696"/>
      <c r="W15" s="697"/>
      <c r="X15" s="1346"/>
      <c r="Y15" s="3685"/>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685"/>
      <c r="Q16" s="1343" t="str">
        <f>B16</f>
        <v>公共配套设施</v>
      </c>
      <c r="R16" s="696" t="s">
        <v>14</v>
      </c>
      <c r="S16" s="697">
        <f>F16</f>
        <v>100</v>
      </c>
      <c r="T16" s="696" t="s">
        <v>14</v>
      </c>
      <c r="U16" s="697">
        <f>H16</f>
        <v>100</v>
      </c>
      <c r="V16" s="696" t="s">
        <v>14</v>
      </c>
      <c r="W16" s="697">
        <f>J16</f>
        <v>100</v>
      </c>
      <c r="X16" s="1346"/>
      <c r="Y16" s="3685"/>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685"/>
      <c r="Q17" s="1343"/>
      <c r="R17" s="696"/>
      <c r="S17" s="697"/>
      <c r="T17" s="696"/>
      <c r="U17" s="697"/>
      <c r="V17" s="696"/>
      <c r="W17" s="697"/>
      <c r="X17" s="1346"/>
      <c r="Y17" s="3685"/>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685"/>
      <c r="Q18" s="1343" t="str">
        <f>B18</f>
        <v>基础设施水平</v>
      </c>
      <c r="R18" s="696" t="s">
        <v>14</v>
      </c>
      <c r="S18" s="697">
        <f>F18</f>
        <v>100</v>
      </c>
      <c r="T18" s="696" t="s">
        <v>14</v>
      </c>
      <c r="U18" s="697">
        <f>H18</f>
        <v>100</v>
      </c>
      <c r="V18" s="696" t="s">
        <v>14</v>
      </c>
      <c r="W18" s="697">
        <f>J18</f>
        <v>100</v>
      </c>
      <c r="X18" s="1346"/>
      <c r="Y18" s="3685"/>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685"/>
      <c r="Q19" s="1343"/>
      <c r="R19" s="696"/>
      <c r="S19" s="697"/>
      <c r="T19" s="696"/>
      <c r="U19" s="697"/>
      <c r="V19" s="696"/>
      <c r="W19" s="697"/>
      <c r="X19" s="1346"/>
      <c r="Y19" s="3685"/>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685"/>
      <c r="Q20" s="1343" t="str">
        <f>B20</f>
        <v>自然及人文环境</v>
      </c>
      <c r="R20" s="696" t="s">
        <v>14</v>
      </c>
      <c r="S20" s="697">
        <f>F20</f>
        <v>100</v>
      </c>
      <c r="T20" s="696" t="s">
        <v>14</v>
      </c>
      <c r="U20" s="697">
        <f>H20</f>
        <v>100</v>
      </c>
      <c r="V20" s="696" t="s">
        <v>14</v>
      </c>
      <c r="W20" s="697">
        <f>J20</f>
        <v>100</v>
      </c>
      <c r="X20" s="1346"/>
      <c r="Y20" s="3685"/>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685"/>
      <c r="Q21" s="1343"/>
      <c r="R21" s="696"/>
      <c r="S21" s="697"/>
      <c r="T21" s="696"/>
      <c r="U21" s="697"/>
      <c r="V21" s="696"/>
      <c r="W21" s="697"/>
      <c r="X21" s="1346"/>
      <c r="Y21" s="3685"/>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685"/>
      <c r="Q22" s="1343" t="str">
        <f>B22</f>
        <v>楼层</v>
      </c>
      <c r="R22" s="696" t="s">
        <v>14</v>
      </c>
      <c r="S22" s="697">
        <f>F22</f>
        <v>100</v>
      </c>
      <c r="T22" s="696" t="s">
        <v>14</v>
      </c>
      <c r="U22" s="697">
        <f>H22</f>
        <v>100</v>
      </c>
      <c r="V22" s="696" t="s">
        <v>14</v>
      </c>
      <c r="W22" s="697">
        <f>J22</f>
        <v>100</v>
      </c>
      <c r="X22" s="1346"/>
      <c r="Y22" s="3685"/>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685"/>
      <c r="Q23" s="1343">
        <f>B23</f>
        <v>111</v>
      </c>
      <c r="R23" s="696" t="s">
        <v>14</v>
      </c>
      <c r="S23" s="697">
        <f>F23</f>
        <v>100</v>
      </c>
      <c r="T23" s="696" t="s">
        <v>14</v>
      </c>
      <c r="U23" s="697">
        <f>H23</f>
        <v>100</v>
      </c>
      <c r="V23" s="696" t="s">
        <v>14</v>
      </c>
      <c r="W23" s="697">
        <f>J23</f>
        <v>100</v>
      </c>
      <c r="X23" s="1346"/>
      <c r="Y23" s="3685"/>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685"/>
      <c r="Q24" s="1343">
        <f t="shared" ref="Q24:Q36" si="11">B24</f>
        <v>111</v>
      </c>
      <c r="R24" s="696" t="s">
        <v>14</v>
      </c>
      <c r="S24" s="697">
        <f>F24</f>
        <v>100</v>
      </c>
      <c r="T24" s="696" t="s">
        <v>14</v>
      </c>
      <c r="U24" s="697">
        <f>H24</f>
        <v>100</v>
      </c>
      <c r="V24" s="696" t="s">
        <v>14</v>
      </c>
      <c r="W24" s="697">
        <f>J24</f>
        <v>100</v>
      </c>
      <c r="X24" s="1346"/>
      <c r="Y24" s="3685"/>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685"/>
      <c r="Q25" s="1334">
        <f t="shared" si="11"/>
        <v>111</v>
      </c>
      <c r="R25" s="692" t="s">
        <v>14</v>
      </c>
      <c r="S25" s="693">
        <f>F25</f>
        <v>100</v>
      </c>
      <c r="T25" s="692" t="s">
        <v>14</v>
      </c>
      <c r="U25" s="693">
        <f>H25</f>
        <v>100</v>
      </c>
      <c r="V25" s="692" t="s">
        <v>14</v>
      </c>
      <c r="W25" s="693">
        <f>J25</f>
        <v>100</v>
      </c>
      <c r="X25" s="694"/>
      <c r="Y25" s="3685"/>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6"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689"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689"/>
      <c r="Q27" s="698" t="str">
        <f t="shared" si="11"/>
        <v>项目停车位配比</v>
      </c>
      <c r="R27" s="699" t="s">
        <v>14</v>
      </c>
      <c r="S27" s="700">
        <f t="shared" si="12"/>
        <v>100</v>
      </c>
      <c r="T27" s="699" t="s">
        <v>14</v>
      </c>
      <c r="U27" s="700">
        <f t="shared" si="13"/>
        <v>100</v>
      </c>
      <c r="V27" s="699" t="s">
        <v>14</v>
      </c>
      <c r="W27" s="700">
        <f t="shared" si="14"/>
        <v>100</v>
      </c>
      <c r="X27" s="701"/>
      <c r="Y27" s="3689"/>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689"/>
      <c r="Q28" s="1343" t="str">
        <f t="shared" si="11"/>
        <v>公共部分装修</v>
      </c>
      <c r="R28" s="696" t="s">
        <v>14</v>
      </c>
      <c r="S28" s="697">
        <f t="shared" si="12"/>
        <v>100</v>
      </c>
      <c r="T28" s="696" t="s">
        <v>14</v>
      </c>
      <c r="U28" s="697">
        <f t="shared" si="13"/>
        <v>100</v>
      </c>
      <c r="V28" s="696" t="s">
        <v>14</v>
      </c>
      <c r="W28" s="697">
        <f t="shared" si="14"/>
        <v>100</v>
      </c>
      <c r="X28" s="1346"/>
      <c r="Y28" s="3689"/>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689"/>
      <c r="Q29" s="1343" t="str">
        <f t="shared" si="11"/>
        <v>成新率</v>
      </c>
      <c r="R29" s="696" t="s">
        <v>14</v>
      </c>
      <c r="S29" s="697" t="e">
        <f t="shared" si="12"/>
        <v>#N/A</v>
      </c>
      <c r="T29" s="696" t="s">
        <v>14</v>
      </c>
      <c r="U29" s="697" t="e">
        <f t="shared" si="13"/>
        <v>#N/A</v>
      </c>
      <c r="V29" s="696" t="s">
        <v>14</v>
      </c>
      <c r="W29" s="697" t="e">
        <f t="shared" si="14"/>
        <v>#N/A</v>
      </c>
      <c r="X29" s="1346"/>
      <c r="Y29" s="3689"/>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689"/>
      <c r="Q30" s="1343" t="str">
        <f t="shared" si="11"/>
        <v>物业等级</v>
      </c>
      <c r="R30" s="696" t="s">
        <v>14</v>
      </c>
      <c r="S30" s="697">
        <f t="shared" si="12"/>
        <v>100</v>
      </c>
      <c r="T30" s="696" t="s">
        <v>14</v>
      </c>
      <c r="U30" s="697">
        <f t="shared" si="13"/>
        <v>100</v>
      </c>
      <c r="V30" s="696" t="s">
        <v>14</v>
      </c>
      <c r="W30" s="697">
        <f t="shared" si="14"/>
        <v>100</v>
      </c>
      <c r="X30" s="1346"/>
      <c r="Y30" s="3689"/>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689"/>
      <c r="Q31" s="1334" t="str">
        <f t="shared" si="11"/>
        <v>停车位面积</v>
      </c>
      <c r="R31" s="692" t="s">
        <v>14</v>
      </c>
      <c r="S31" s="693" t="e">
        <f t="shared" si="12"/>
        <v>#N/A</v>
      </c>
      <c r="T31" s="692" t="s">
        <v>14</v>
      </c>
      <c r="U31" s="693" t="e">
        <f t="shared" si="13"/>
        <v>#N/A</v>
      </c>
      <c r="V31" s="692" t="s">
        <v>14</v>
      </c>
      <c r="W31" s="693" t="e">
        <f t="shared" si="14"/>
        <v>#N/A</v>
      </c>
      <c r="X31" s="694"/>
      <c r="Y31" s="3689"/>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689" t="s">
        <v>1696</v>
      </c>
      <c r="Q32" s="1343" t="str">
        <f t="shared" si="11"/>
        <v>车位类型</v>
      </c>
      <c r="R32" s="696" t="s">
        <v>14</v>
      </c>
      <c r="S32" s="697">
        <f t="shared" si="12"/>
        <v>100</v>
      </c>
      <c r="T32" s="696" t="s">
        <v>14</v>
      </c>
      <c r="U32" s="697">
        <f t="shared" si="13"/>
        <v>100</v>
      </c>
      <c r="V32" s="696" t="s">
        <v>14</v>
      </c>
      <c r="W32" s="697">
        <f t="shared" si="14"/>
        <v>100</v>
      </c>
      <c r="X32" s="1346"/>
      <c r="Y32" s="3689"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689"/>
      <c r="Q33" s="1343" t="str">
        <f t="shared" si="11"/>
        <v>是否直接入户</v>
      </c>
      <c r="R33" s="696" t="s">
        <v>14</v>
      </c>
      <c r="S33" s="697">
        <f t="shared" si="12"/>
        <v>100</v>
      </c>
      <c r="T33" s="696" t="s">
        <v>14</v>
      </c>
      <c r="U33" s="697">
        <f t="shared" si="13"/>
        <v>100</v>
      </c>
      <c r="V33" s="696" t="s">
        <v>14</v>
      </c>
      <c r="W33" s="697">
        <f t="shared" si="14"/>
        <v>100</v>
      </c>
      <c r="X33" s="1346"/>
      <c r="Y33" s="3689"/>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689"/>
      <c r="Q34" s="1343">
        <f t="shared" si="11"/>
        <v>111</v>
      </c>
      <c r="R34" s="696" t="s">
        <v>14</v>
      </c>
      <c r="S34" s="697">
        <f t="shared" si="12"/>
        <v>100</v>
      </c>
      <c r="T34" s="696" t="s">
        <v>14</v>
      </c>
      <c r="U34" s="697">
        <f t="shared" si="13"/>
        <v>100</v>
      </c>
      <c r="V34" s="696" t="s">
        <v>14</v>
      </c>
      <c r="W34" s="697">
        <f t="shared" si="14"/>
        <v>100</v>
      </c>
      <c r="X34" s="1346"/>
      <c r="Y34" s="3689"/>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689"/>
      <c r="Q35" s="698">
        <f t="shared" si="11"/>
        <v>111</v>
      </c>
      <c r="R35" s="699" t="s">
        <v>14</v>
      </c>
      <c r="S35" s="700">
        <f t="shared" si="12"/>
        <v>100</v>
      </c>
      <c r="T35" s="699" t="s">
        <v>14</v>
      </c>
      <c r="U35" s="700">
        <f t="shared" si="13"/>
        <v>100</v>
      </c>
      <c r="V35" s="699" t="s">
        <v>14</v>
      </c>
      <c r="W35" s="700">
        <f t="shared" si="14"/>
        <v>100</v>
      </c>
      <c r="X35" s="701"/>
      <c r="Y35" s="3689"/>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689"/>
      <c r="Q36" s="1343">
        <f t="shared" si="11"/>
        <v>111</v>
      </c>
      <c r="R36" s="696" t="s">
        <v>14</v>
      </c>
      <c r="S36" s="697">
        <f t="shared" si="12"/>
        <v>100</v>
      </c>
      <c r="T36" s="696" t="s">
        <v>14</v>
      </c>
      <c r="U36" s="697">
        <f t="shared" si="13"/>
        <v>100</v>
      </c>
      <c r="V36" s="696" t="s">
        <v>14</v>
      </c>
      <c r="W36" s="697">
        <f t="shared" si="14"/>
        <v>100</v>
      </c>
      <c r="X36" s="1346"/>
      <c r="Y36" s="3689"/>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677" t="str">
        <f>A37</f>
        <v>成交单价</v>
      </c>
      <c r="Q37" s="3677"/>
      <c r="R37" s="3678">
        <f>E37</f>
        <v>0</v>
      </c>
      <c r="S37" s="3678"/>
      <c r="T37" s="3678">
        <f>G37</f>
        <v>0</v>
      </c>
      <c r="U37" s="3678"/>
      <c r="V37" s="3678">
        <f>I37</f>
        <v>0</v>
      </c>
      <c r="W37" s="3678"/>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679" t="str">
        <f>A39</f>
        <v>估价对象XX用房的比较价值（楼面单价，元/平方米）</v>
      </c>
      <c r="Q39" s="3680"/>
      <c r="R39" s="3767" t="e">
        <f>IF(F1="售价",ROUND(IF(D38="简单平均",AVERAGE(R38:W38),R38*F38+T38*H38+V38*J38),0),ROUND(IF(D38="简单平均",AVERAGE(R38:V38),R38*F38+T38*H38+V38*J38),1))</f>
        <v>#DIV/0!</v>
      </c>
      <c r="S39" s="3767"/>
      <c r="T39" s="3767"/>
      <c r="U39" s="3767"/>
      <c r="V39" s="3767"/>
      <c r="W39" s="3767"/>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2024-2</v>
      </c>
      <c r="D48" s="1176">
        <f>EDATE(C48,-1)</f>
        <v>45292</v>
      </c>
      <c r="E48" s="1176">
        <f t="shared" ref="E48:O48" si="16">EDATE(D48,-1)</f>
        <v>45261</v>
      </c>
      <c r="F48" s="1176">
        <f t="shared" si="16"/>
        <v>45231</v>
      </c>
      <c r="G48" s="1176">
        <f t="shared" si="16"/>
        <v>45200</v>
      </c>
      <c r="H48" s="1176">
        <f t="shared" si="16"/>
        <v>45170</v>
      </c>
      <c r="I48" s="1176">
        <f t="shared" si="16"/>
        <v>45139</v>
      </c>
      <c r="J48" s="1176">
        <f t="shared" si="16"/>
        <v>45108</v>
      </c>
      <c r="K48" s="1176">
        <f t="shared" si="16"/>
        <v>45078</v>
      </c>
      <c r="L48" s="1176">
        <f t="shared" si="16"/>
        <v>45047</v>
      </c>
      <c r="M48" s="1176">
        <f t="shared" si="16"/>
        <v>45017</v>
      </c>
      <c r="N48" s="1176">
        <f t="shared" si="16"/>
        <v>44986</v>
      </c>
      <c r="O48" s="1176">
        <f t="shared" si="16"/>
        <v>44958</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45345</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16" t="s">
        <v>1680</v>
      </c>
      <c r="Q7" s="3718"/>
      <c r="R7" s="692" t="s">
        <v>14</v>
      </c>
      <c r="S7" s="693">
        <f t="shared" ref="S7:S14" si="0">F7</f>
        <v>0</v>
      </c>
      <c r="T7" s="692" t="s">
        <v>14</v>
      </c>
      <c r="U7" s="693">
        <f t="shared" ref="U7:U14" si="1">H7</f>
        <v>0</v>
      </c>
      <c r="V7" s="692" t="s">
        <v>14</v>
      </c>
      <c r="W7" s="693">
        <f t="shared" ref="W7:W14" si="2">J7</f>
        <v>0</v>
      </c>
      <c r="X7" s="694"/>
      <c r="Y7" s="3716" t="s">
        <v>1680</v>
      </c>
      <c r="Z7" s="3717"/>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16" t="s">
        <v>1683</v>
      </c>
      <c r="Q8" s="3717"/>
      <c r="R8" s="692" t="s">
        <v>14</v>
      </c>
      <c r="S8" s="693">
        <f t="shared" si="0"/>
        <v>100</v>
      </c>
      <c r="T8" s="692" t="s">
        <v>14</v>
      </c>
      <c r="U8" s="693">
        <f t="shared" si="1"/>
        <v>100</v>
      </c>
      <c r="V8" s="692" t="s">
        <v>14</v>
      </c>
      <c r="W8" s="693">
        <f t="shared" si="2"/>
        <v>100</v>
      </c>
      <c r="X8" s="694"/>
      <c r="Y8" s="3716" t="s">
        <v>1683</v>
      </c>
      <c r="Z8" s="3717"/>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677" t="s">
        <v>1686</v>
      </c>
      <c r="Q9" s="1334" t="str">
        <f t="shared" ref="Q9:Q14" si="6">B9</f>
        <v>用途</v>
      </c>
      <c r="R9" s="692" t="s">
        <v>14</v>
      </c>
      <c r="S9" s="693">
        <f t="shared" si="0"/>
        <v>100</v>
      </c>
      <c r="T9" s="692" t="s">
        <v>14</v>
      </c>
      <c r="U9" s="693">
        <f t="shared" si="1"/>
        <v>100</v>
      </c>
      <c r="V9" s="692" t="s">
        <v>14</v>
      </c>
      <c r="W9" s="693">
        <f t="shared" si="2"/>
        <v>100</v>
      </c>
      <c r="X9" s="694"/>
      <c r="Y9" s="3562"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677"/>
      <c r="Q10" s="1334" t="str">
        <f t="shared" si="6"/>
        <v>土地使用年限（年）</v>
      </c>
      <c r="R10" s="692" t="s">
        <v>14</v>
      </c>
      <c r="S10" s="693">
        <f t="shared" si="0"/>
        <v>100</v>
      </c>
      <c r="T10" s="692" t="s">
        <v>14</v>
      </c>
      <c r="U10" s="693">
        <f t="shared" si="1"/>
        <v>100</v>
      </c>
      <c r="V10" s="692" t="s">
        <v>14</v>
      </c>
      <c r="W10" s="693">
        <f t="shared" si="2"/>
        <v>100</v>
      </c>
      <c r="X10" s="694"/>
      <c r="Y10" s="3562"/>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677"/>
      <c r="Q11" s="1334">
        <f t="shared" si="6"/>
        <v>111</v>
      </c>
      <c r="R11" s="692" t="s">
        <v>14</v>
      </c>
      <c r="S11" s="693">
        <f t="shared" si="0"/>
        <v>100</v>
      </c>
      <c r="T11" s="692" t="s">
        <v>14</v>
      </c>
      <c r="U11" s="693">
        <f t="shared" si="1"/>
        <v>100</v>
      </c>
      <c r="V11" s="692" t="s">
        <v>14</v>
      </c>
      <c r="W11" s="693">
        <f t="shared" si="2"/>
        <v>100</v>
      </c>
      <c r="X11" s="694"/>
      <c r="Y11" s="3562"/>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684" t="s">
        <v>1691</v>
      </c>
      <c r="Q14" s="1343" t="str">
        <f t="shared" si="6"/>
        <v>交通便捷度</v>
      </c>
      <c r="R14" s="696" t="s">
        <v>14</v>
      </c>
      <c r="S14" s="697">
        <f t="shared" si="0"/>
        <v>100</v>
      </c>
      <c r="T14" s="696" t="s">
        <v>14</v>
      </c>
      <c r="U14" s="697">
        <f t="shared" si="1"/>
        <v>100</v>
      </c>
      <c r="V14" s="696" t="s">
        <v>14</v>
      </c>
      <c r="W14" s="697">
        <f t="shared" si="2"/>
        <v>100</v>
      </c>
      <c r="X14" s="1346"/>
      <c r="Y14" s="3684"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685"/>
      <c r="Q15" s="1343"/>
      <c r="R15" s="696"/>
      <c r="S15" s="697"/>
      <c r="T15" s="696"/>
      <c r="U15" s="697"/>
      <c r="V15" s="696"/>
      <c r="W15" s="697"/>
      <c r="X15" s="1346"/>
      <c r="Y15" s="3685"/>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685"/>
      <c r="Q16" s="1343" t="str">
        <f>B16</f>
        <v>公共配套设施</v>
      </c>
      <c r="R16" s="696" t="s">
        <v>14</v>
      </c>
      <c r="S16" s="697">
        <f>F16</f>
        <v>100</v>
      </c>
      <c r="T16" s="696" t="s">
        <v>14</v>
      </c>
      <c r="U16" s="697">
        <f>H16</f>
        <v>100</v>
      </c>
      <c r="V16" s="696" t="s">
        <v>14</v>
      </c>
      <c r="W16" s="697">
        <f>J16</f>
        <v>100</v>
      </c>
      <c r="X16" s="1346"/>
      <c r="Y16" s="3685"/>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685"/>
      <c r="Q17" s="1343"/>
      <c r="R17" s="696"/>
      <c r="S17" s="697"/>
      <c r="T17" s="696"/>
      <c r="U17" s="697"/>
      <c r="V17" s="696"/>
      <c r="W17" s="697"/>
      <c r="X17" s="1346"/>
      <c r="Y17" s="3685"/>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685"/>
      <c r="Q18" s="1343" t="str">
        <f>B18</f>
        <v>基础设施水平</v>
      </c>
      <c r="R18" s="696" t="s">
        <v>14</v>
      </c>
      <c r="S18" s="697">
        <f>F18</f>
        <v>100</v>
      </c>
      <c r="T18" s="696" t="s">
        <v>14</v>
      </c>
      <c r="U18" s="697">
        <f>H18</f>
        <v>100</v>
      </c>
      <c r="V18" s="696" t="s">
        <v>14</v>
      </c>
      <c r="W18" s="697">
        <f>J18</f>
        <v>100</v>
      </c>
      <c r="X18" s="1346"/>
      <c r="Y18" s="3685"/>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685"/>
      <c r="Q19" s="1343"/>
      <c r="R19" s="696"/>
      <c r="S19" s="697"/>
      <c r="T19" s="696"/>
      <c r="U19" s="697"/>
      <c r="V19" s="696"/>
      <c r="W19" s="697"/>
      <c r="X19" s="1346"/>
      <c r="Y19" s="3685"/>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685"/>
      <c r="Q20" s="1343" t="str">
        <f>B20</f>
        <v>自然及人文环境</v>
      </c>
      <c r="R20" s="696" t="s">
        <v>14</v>
      </c>
      <c r="S20" s="697">
        <f>F20</f>
        <v>100</v>
      </c>
      <c r="T20" s="696" t="s">
        <v>14</v>
      </c>
      <c r="U20" s="697">
        <f>H20</f>
        <v>100</v>
      </c>
      <c r="V20" s="696" t="s">
        <v>14</v>
      </c>
      <c r="W20" s="697">
        <f>J20</f>
        <v>100</v>
      </c>
      <c r="X20" s="1346"/>
      <c r="Y20" s="3685"/>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685"/>
      <c r="Q21" s="1343"/>
      <c r="R21" s="696"/>
      <c r="S21" s="697"/>
      <c r="T21" s="696"/>
      <c r="U21" s="697"/>
      <c r="V21" s="696"/>
      <c r="W21" s="697"/>
      <c r="X21" s="1346"/>
      <c r="Y21" s="3685"/>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685"/>
      <c r="Q22" s="1343" t="str">
        <f>B22</f>
        <v>楼层</v>
      </c>
      <c r="R22" s="696" t="s">
        <v>14</v>
      </c>
      <c r="S22" s="697">
        <f>F22</f>
        <v>100</v>
      </c>
      <c r="T22" s="696" t="s">
        <v>14</v>
      </c>
      <c r="U22" s="697">
        <f>H22</f>
        <v>100</v>
      </c>
      <c r="V22" s="696" t="s">
        <v>14</v>
      </c>
      <c r="W22" s="697">
        <f>J22</f>
        <v>100</v>
      </c>
      <c r="X22" s="1346"/>
      <c r="Y22" s="3685"/>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685"/>
      <c r="Q23" s="1343">
        <f>B23</f>
        <v>111</v>
      </c>
      <c r="R23" s="696" t="s">
        <v>14</v>
      </c>
      <c r="S23" s="697">
        <f>F23</f>
        <v>100</v>
      </c>
      <c r="T23" s="696" t="s">
        <v>14</v>
      </c>
      <c r="U23" s="697">
        <f>H23</f>
        <v>100</v>
      </c>
      <c r="V23" s="696" t="s">
        <v>14</v>
      </c>
      <c r="W23" s="697">
        <f>J23</f>
        <v>100</v>
      </c>
      <c r="X23" s="1346"/>
      <c r="Y23" s="3685"/>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685"/>
      <c r="Q24" s="1343">
        <f t="shared" ref="Q24:Q34" si="11">B24</f>
        <v>111</v>
      </c>
      <c r="R24" s="696" t="s">
        <v>14</v>
      </c>
      <c r="S24" s="697">
        <f>F24</f>
        <v>100</v>
      </c>
      <c r="T24" s="696" t="s">
        <v>14</v>
      </c>
      <c r="U24" s="697">
        <f>H24</f>
        <v>100</v>
      </c>
      <c r="V24" s="696" t="s">
        <v>14</v>
      </c>
      <c r="W24" s="697">
        <f>J24</f>
        <v>100</v>
      </c>
      <c r="X24" s="1346"/>
      <c r="Y24" s="3685"/>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685"/>
      <c r="Q25" s="1334">
        <f t="shared" si="11"/>
        <v>111</v>
      </c>
      <c r="R25" s="692" t="s">
        <v>14</v>
      </c>
      <c r="S25" s="693">
        <f>F25</f>
        <v>100</v>
      </c>
      <c r="T25" s="692" t="s">
        <v>14</v>
      </c>
      <c r="U25" s="693">
        <f>H25</f>
        <v>100</v>
      </c>
      <c r="V25" s="692" t="s">
        <v>14</v>
      </c>
      <c r="W25" s="693">
        <f>J25</f>
        <v>100</v>
      </c>
      <c r="X25" s="694"/>
      <c r="Y25" s="3685"/>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6"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689"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689"/>
      <c r="Q27" s="698" t="str">
        <f t="shared" si="11"/>
        <v>成新率</v>
      </c>
      <c r="R27" s="699" t="s">
        <v>14</v>
      </c>
      <c r="S27" s="700" t="e">
        <f t="shared" si="12"/>
        <v>#N/A</v>
      </c>
      <c r="T27" s="699" t="s">
        <v>14</v>
      </c>
      <c r="U27" s="700" t="e">
        <f t="shared" si="13"/>
        <v>#N/A</v>
      </c>
      <c r="V27" s="699" t="s">
        <v>14</v>
      </c>
      <c r="W27" s="700" t="e">
        <f t="shared" si="14"/>
        <v>#N/A</v>
      </c>
      <c r="X27" s="701"/>
      <c r="Y27" s="3689"/>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689"/>
      <c r="Q28" s="1343" t="str">
        <f t="shared" si="11"/>
        <v>物业等级</v>
      </c>
      <c r="R28" s="696" t="s">
        <v>14</v>
      </c>
      <c r="S28" s="697">
        <f t="shared" si="12"/>
        <v>100</v>
      </c>
      <c r="T28" s="696" t="s">
        <v>14</v>
      </c>
      <c r="U28" s="697">
        <f t="shared" si="13"/>
        <v>100</v>
      </c>
      <c r="V28" s="696" t="s">
        <v>14</v>
      </c>
      <c r="W28" s="697">
        <f t="shared" si="14"/>
        <v>100</v>
      </c>
      <c r="X28" s="1346"/>
      <c r="Y28" s="3689"/>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689"/>
      <c r="Q29" s="1343" t="str">
        <f t="shared" si="11"/>
        <v>有无电梯</v>
      </c>
      <c r="R29" s="696" t="s">
        <v>14</v>
      </c>
      <c r="S29" s="697">
        <f t="shared" si="12"/>
        <v>100</v>
      </c>
      <c r="T29" s="696" t="s">
        <v>14</v>
      </c>
      <c r="U29" s="697">
        <f t="shared" si="13"/>
        <v>100</v>
      </c>
      <c r="V29" s="696" t="s">
        <v>14</v>
      </c>
      <c r="W29" s="697">
        <f t="shared" si="14"/>
        <v>100</v>
      </c>
      <c r="X29" s="1346"/>
      <c r="Y29" s="3689"/>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689"/>
      <c r="Q30" s="1343" t="str">
        <f t="shared" si="11"/>
        <v>建筑面积</v>
      </c>
      <c r="R30" s="696" t="s">
        <v>14</v>
      </c>
      <c r="S30" s="697" t="e">
        <f t="shared" si="12"/>
        <v>#N/A</v>
      </c>
      <c r="T30" s="696" t="s">
        <v>14</v>
      </c>
      <c r="U30" s="697" t="e">
        <f t="shared" si="13"/>
        <v>#N/A</v>
      </c>
      <c r="V30" s="696" t="s">
        <v>14</v>
      </c>
      <c r="W30" s="697" t="e">
        <f t="shared" si="14"/>
        <v>#N/A</v>
      </c>
      <c r="X30" s="1346"/>
      <c r="Y30" s="3689"/>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689"/>
      <c r="Q31" s="1334" t="str">
        <f t="shared" si="11"/>
        <v>是否封闭</v>
      </c>
      <c r="R31" s="692" t="s">
        <v>14</v>
      </c>
      <c r="S31" s="693">
        <f t="shared" si="12"/>
        <v>100</v>
      </c>
      <c r="T31" s="692" t="s">
        <v>14</v>
      </c>
      <c r="U31" s="693">
        <f t="shared" si="13"/>
        <v>100</v>
      </c>
      <c r="V31" s="692" t="s">
        <v>14</v>
      </c>
      <c r="W31" s="693">
        <f t="shared" si="14"/>
        <v>100</v>
      </c>
      <c r="X31" s="694"/>
      <c r="Y31" s="3689"/>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689" t="s">
        <v>1696</v>
      </c>
      <c r="Q32" s="1343">
        <f t="shared" si="11"/>
        <v>111</v>
      </c>
      <c r="R32" s="696" t="s">
        <v>14</v>
      </c>
      <c r="S32" s="697">
        <f t="shared" si="12"/>
        <v>100</v>
      </c>
      <c r="T32" s="696" t="s">
        <v>14</v>
      </c>
      <c r="U32" s="697">
        <f t="shared" si="13"/>
        <v>100</v>
      </c>
      <c r="V32" s="696" t="s">
        <v>14</v>
      </c>
      <c r="W32" s="697">
        <f t="shared" si="14"/>
        <v>100</v>
      </c>
      <c r="X32" s="1346"/>
      <c r="Y32" s="3689"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689"/>
      <c r="Q33" s="1343">
        <f t="shared" si="11"/>
        <v>111</v>
      </c>
      <c r="R33" s="696" t="s">
        <v>14</v>
      </c>
      <c r="S33" s="697">
        <f t="shared" si="12"/>
        <v>100</v>
      </c>
      <c r="T33" s="696" t="s">
        <v>14</v>
      </c>
      <c r="U33" s="697">
        <f t="shared" si="13"/>
        <v>100</v>
      </c>
      <c r="V33" s="696" t="s">
        <v>14</v>
      </c>
      <c r="W33" s="697">
        <f t="shared" si="14"/>
        <v>100</v>
      </c>
      <c r="X33" s="1346"/>
      <c r="Y33" s="3689"/>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689"/>
      <c r="Q34" s="1343">
        <f t="shared" si="11"/>
        <v>111</v>
      </c>
      <c r="R34" s="696" t="s">
        <v>14</v>
      </c>
      <c r="S34" s="697">
        <f t="shared" si="12"/>
        <v>100</v>
      </c>
      <c r="T34" s="696" t="s">
        <v>14</v>
      </c>
      <c r="U34" s="697">
        <f t="shared" si="13"/>
        <v>100</v>
      </c>
      <c r="V34" s="696" t="s">
        <v>14</v>
      </c>
      <c r="W34" s="697">
        <f t="shared" si="14"/>
        <v>100</v>
      </c>
      <c r="X34" s="1346"/>
      <c r="Y34" s="3689"/>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677" t="str">
        <f>A35</f>
        <v>成交单价（元/平方米）</v>
      </c>
      <c r="Q35" s="3677"/>
      <c r="R35" s="3678">
        <f>E35</f>
        <v>0</v>
      </c>
      <c r="S35" s="3678"/>
      <c r="T35" s="3678">
        <f>G35</f>
        <v>0</v>
      </c>
      <c r="U35" s="3678"/>
      <c r="V35" s="3678">
        <f>I35</f>
        <v>0</v>
      </c>
      <c r="W35" s="3678"/>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679" t="str">
        <f>A37</f>
        <v>估价对象XX用房的比较价值（楼面单价，元/平方米）</v>
      </c>
      <c r="Q37" s="3680"/>
      <c r="R37" s="3767" t="e">
        <f>IF(F1="售价",ROUND(IF(D36="简单平均",AVERAGE(R36:W36),R36*F36+T36*H36+V36*J36),0),ROUND(IF(D36="简单平均",AVERAGE(R36:V36),R36*F36+T36*H36+V36*J36),1))</f>
        <v>#DIV/0!</v>
      </c>
      <c r="S37" s="3767"/>
      <c r="T37" s="3767"/>
      <c r="U37" s="3767"/>
      <c r="V37" s="3767"/>
      <c r="W37" s="3767"/>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2024-2</v>
      </c>
      <c r="D46" s="1176">
        <f>EDATE(C46,-1)</f>
        <v>45292</v>
      </c>
      <c r="E46" s="1176">
        <f t="shared" ref="E46:O46" si="16">EDATE(D46,-1)</f>
        <v>45261</v>
      </c>
      <c r="F46" s="1176">
        <f t="shared" si="16"/>
        <v>45231</v>
      </c>
      <c r="G46" s="1176">
        <f t="shared" si="16"/>
        <v>45200</v>
      </c>
      <c r="H46" s="1176">
        <f t="shared" si="16"/>
        <v>45170</v>
      </c>
      <c r="I46" s="1176">
        <f t="shared" si="16"/>
        <v>45139</v>
      </c>
      <c r="J46" s="1176">
        <f t="shared" si="16"/>
        <v>45108</v>
      </c>
      <c r="K46" s="1176">
        <f t="shared" si="16"/>
        <v>45078</v>
      </c>
      <c r="L46" s="1176">
        <f t="shared" si="16"/>
        <v>45047</v>
      </c>
      <c r="M46" s="1176">
        <f t="shared" si="16"/>
        <v>45017</v>
      </c>
      <c r="N46" s="1176">
        <f t="shared" si="16"/>
        <v>44986</v>
      </c>
      <c r="O46" s="1176">
        <f t="shared" si="16"/>
        <v>44958</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30"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30" ht="15.75" thickBot="1">
      <c r="A6" s="354"/>
      <c r="B6" s="355"/>
      <c r="C6" s="3712" t="s">
        <v>1677</v>
      </c>
      <c r="D6" s="3713"/>
      <c r="E6" s="3720" t="s">
        <v>1677</v>
      </c>
      <c r="F6" s="3721"/>
      <c r="G6" s="3712" t="s">
        <v>1677</v>
      </c>
      <c r="H6" s="3713"/>
      <c r="I6" s="3712" t="s">
        <v>1677</v>
      </c>
      <c r="J6" s="3713"/>
      <c r="K6" s="553" t="s">
        <v>1678</v>
      </c>
      <c r="L6" s="2704"/>
      <c r="M6" s="2705"/>
      <c r="N6" s="2705"/>
      <c r="O6" s="2705"/>
      <c r="P6" s="3704"/>
      <c r="Q6" s="3705"/>
      <c r="R6" s="3708"/>
      <c r="S6" s="3709"/>
      <c r="T6" s="3710"/>
      <c r="U6" s="3711"/>
      <c r="V6" s="3691"/>
      <c r="W6" s="3691"/>
      <c r="X6" s="1346"/>
      <c r="Y6" s="3710"/>
      <c r="Z6" s="3711"/>
      <c r="AA6" s="3695"/>
      <c r="AB6" s="3695"/>
      <c r="AC6" s="3695"/>
    </row>
    <row r="7" spans="1:30" s="108" customFormat="1" ht="15.75" thickBot="1">
      <c r="A7" s="356" t="s">
        <v>1679</v>
      </c>
      <c r="B7" s="357"/>
      <c r="C7" s="358">
        <f>'数据-取费表'!B2</f>
        <v>45345</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16" t="s">
        <v>1683</v>
      </c>
      <c r="Q8" s="3717"/>
      <c r="R8" s="692" t="s">
        <v>14</v>
      </c>
      <c r="S8" s="693">
        <f t="shared" si="0"/>
        <v>0</v>
      </c>
      <c r="T8" s="692" t="s">
        <v>14</v>
      </c>
      <c r="U8" s="693">
        <f t="shared" si="1"/>
        <v>0</v>
      </c>
      <c r="V8" s="692" t="s">
        <v>14</v>
      </c>
      <c r="W8" s="693">
        <f t="shared" si="2"/>
        <v>0</v>
      </c>
      <c r="X8" s="694"/>
      <c r="Y8" s="3716" t="s">
        <v>1683</v>
      </c>
      <c r="Z8" s="3717"/>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106</v>
      </c>
      <c r="G10" s="408"/>
      <c r="H10" s="121">
        <f>ROUND(100/'数据-取费表'!G16,0)</f>
        <v>106</v>
      </c>
      <c r="I10" s="408"/>
      <c r="J10" s="121">
        <f>ROUND(100/'数据-取费表'!G16,0)</f>
        <v>106</v>
      </c>
      <c r="K10" s="614"/>
      <c r="L10" s="2708"/>
      <c r="M10" s="2709"/>
      <c r="N10" s="2709"/>
      <c r="O10" s="2762"/>
      <c r="P10" s="3677"/>
      <c r="Q10" s="1334" t="str">
        <f t="shared" si="6"/>
        <v>土地使用年限（年）</v>
      </c>
      <c r="R10" s="692" t="s">
        <v>14</v>
      </c>
      <c r="S10" s="693">
        <f t="shared" si="0"/>
        <v>106</v>
      </c>
      <c r="T10" s="692" t="s">
        <v>14</v>
      </c>
      <c r="U10" s="693">
        <f t="shared" si="1"/>
        <v>106</v>
      </c>
      <c r="V10" s="692" t="s">
        <v>14</v>
      </c>
      <c r="W10" s="693">
        <f t="shared" si="2"/>
        <v>106</v>
      </c>
      <c r="X10" s="694"/>
      <c r="Y10" s="3562"/>
      <c r="Z10" s="52" t="str">
        <f t="shared" si="7"/>
        <v>土地使用年限（年）</v>
      </c>
      <c r="AA10" s="695">
        <f t="shared" si="3"/>
        <v>0.94339622641509435</v>
      </c>
      <c r="AB10" s="695">
        <f t="shared" si="4"/>
        <v>0.94339622641509435</v>
      </c>
      <c r="AC10" s="695">
        <f t="shared" si="5"/>
        <v>0.94339622641509435</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677"/>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677"/>
      <c r="Q12" s="1334" t="str">
        <f t="shared" si="6"/>
        <v>配建</v>
      </c>
      <c r="R12" s="692" t="s">
        <v>14</v>
      </c>
      <c r="S12" s="693">
        <f t="shared" si="0"/>
        <v>100</v>
      </c>
      <c r="T12" s="692" t="s">
        <v>14</v>
      </c>
      <c r="U12" s="693">
        <f t="shared" si="1"/>
        <v>100</v>
      </c>
      <c r="V12" s="692" t="s">
        <v>14</v>
      </c>
      <c r="W12" s="693">
        <f t="shared" si="2"/>
        <v>100</v>
      </c>
      <c r="X12" s="694"/>
      <c r="Y12" s="3562"/>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684" t="s">
        <v>1691</v>
      </c>
      <c r="Q15" s="1343" t="str">
        <f t="shared" si="6"/>
        <v>居住社区成熟度</v>
      </c>
      <c r="R15" s="696" t="s">
        <v>14</v>
      </c>
      <c r="S15" s="697">
        <f t="shared" si="0"/>
        <v>100</v>
      </c>
      <c r="T15" s="696" t="s">
        <v>14</v>
      </c>
      <c r="U15" s="697">
        <f t="shared" si="1"/>
        <v>100</v>
      </c>
      <c r="V15" s="696" t="s">
        <v>14</v>
      </c>
      <c r="W15" s="697">
        <f t="shared" si="2"/>
        <v>100</v>
      </c>
      <c r="X15" s="1346"/>
      <c r="Y15" s="3684"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685"/>
      <c r="Q16" s="1343"/>
      <c r="R16" s="696"/>
      <c r="S16" s="697"/>
      <c r="T16" s="696"/>
      <c r="U16" s="697"/>
      <c r="V16" s="696"/>
      <c r="W16" s="697"/>
      <c r="X16" s="1346"/>
      <c r="Y16" s="3685"/>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685"/>
      <c r="Q17" s="1343" t="str">
        <f>B17</f>
        <v>商业繁华度</v>
      </c>
      <c r="R17" s="696" t="s">
        <v>14</v>
      </c>
      <c r="S17" s="697">
        <f>F17</f>
        <v>100</v>
      </c>
      <c r="T17" s="696" t="s">
        <v>14</v>
      </c>
      <c r="U17" s="697">
        <f>H17</f>
        <v>100</v>
      </c>
      <c r="V17" s="696" t="s">
        <v>14</v>
      </c>
      <c r="W17" s="697">
        <f>J17</f>
        <v>100</v>
      </c>
      <c r="X17" s="1346"/>
      <c r="Y17" s="3685"/>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685"/>
      <c r="Q18" s="1343"/>
      <c r="R18" s="696"/>
      <c r="S18" s="697"/>
      <c r="T18" s="696"/>
      <c r="U18" s="697"/>
      <c r="V18" s="696"/>
      <c r="W18" s="697"/>
      <c r="X18" s="1346"/>
      <c r="Y18" s="3685"/>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685"/>
      <c r="Q19" s="1343" t="str">
        <f>B19</f>
        <v>办公集聚程度</v>
      </c>
      <c r="R19" s="696" t="s">
        <v>14</v>
      </c>
      <c r="S19" s="697">
        <f>F19</f>
        <v>100</v>
      </c>
      <c r="T19" s="696" t="s">
        <v>14</v>
      </c>
      <c r="U19" s="697">
        <f>H19</f>
        <v>100</v>
      </c>
      <c r="V19" s="696" t="s">
        <v>14</v>
      </c>
      <c r="W19" s="697">
        <f>J19</f>
        <v>100</v>
      </c>
      <c r="X19" s="1346"/>
      <c r="Y19" s="3685"/>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685"/>
      <c r="Q20" s="1343"/>
      <c r="R20" s="696"/>
      <c r="S20" s="697"/>
      <c r="T20" s="696"/>
      <c r="U20" s="697"/>
      <c r="V20" s="696"/>
      <c r="W20" s="697"/>
      <c r="X20" s="1346"/>
      <c r="Y20" s="3685"/>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685"/>
      <c r="Q21" s="1343" t="str">
        <f>B21</f>
        <v>交通便捷度</v>
      </c>
      <c r="R21" s="696" t="s">
        <v>14</v>
      </c>
      <c r="S21" s="697">
        <f>F21</f>
        <v>100</v>
      </c>
      <c r="T21" s="696" t="s">
        <v>14</v>
      </c>
      <c r="U21" s="697">
        <f>H21</f>
        <v>100</v>
      </c>
      <c r="V21" s="696" t="s">
        <v>14</v>
      </c>
      <c r="W21" s="697">
        <f>J21</f>
        <v>100</v>
      </c>
      <c r="X21" s="1346"/>
      <c r="Y21" s="3685"/>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685"/>
      <c r="Q22" s="1343"/>
      <c r="R22" s="696"/>
      <c r="S22" s="697"/>
      <c r="T22" s="696"/>
      <c r="U22" s="697"/>
      <c r="V22" s="696"/>
      <c r="W22" s="697"/>
      <c r="X22" s="1346"/>
      <c r="Y22" s="3685"/>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685"/>
      <c r="Q23" s="1343" t="str">
        <f t="shared" ref="Q23:Q37" si="8">B23</f>
        <v>区域土地利用方向</v>
      </c>
      <c r="R23" s="696" t="s">
        <v>14</v>
      </c>
      <c r="S23" s="697">
        <f>F23</f>
        <v>100</v>
      </c>
      <c r="T23" s="696" t="s">
        <v>14</v>
      </c>
      <c r="U23" s="697">
        <f>H23</f>
        <v>100</v>
      </c>
      <c r="V23" s="696" t="s">
        <v>14</v>
      </c>
      <c r="W23" s="697">
        <f>J23</f>
        <v>100</v>
      </c>
      <c r="X23" s="1346"/>
      <c r="Y23" s="3685"/>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685"/>
      <c r="Q24" s="1343"/>
      <c r="R24" s="696"/>
      <c r="S24" s="697"/>
      <c r="T24" s="696"/>
      <c r="U24" s="697"/>
      <c r="V24" s="696"/>
      <c r="W24" s="697"/>
      <c r="X24" s="1346"/>
      <c r="Y24" s="3685"/>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685"/>
      <c r="Q25" s="1343" t="str">
        <f t="shared" si="8"/>
        <v>自然及人文环境状况</v>
      </c>
      <c r="R25" s="696" t="s">
        <v>14</v>
      </c>
      <c r="S25" s="697">
        <f>F25</f>
        <v>100</v>
      </c>
      <c r="T25" s="696" t="s">
        <v>14</v>
      </c>
      <c r="U25" s="697">
        <f>H25</f>
        <v>100</v>
      </c>
      <c r="V25" s="696" t="s">
        <v>14</v>
      </c>
      <c r="W25" s="697">
        <f>J25</f>
        <v>100</v>
      </c>
      <c r="X25" s="1346"/>
      <c r="Y25" s="3685"/>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685"/>
      <c r="Q26" s="1343"/>
      <c r="R26" s="696"/>
      <c r="S26" s="697"/>
      <c r="T26" s="696"/>
      <c r="U26" s="697"/>
      <c r="V26" s="696"/>
      <c r="W26" s="697"/>
      <c r="X26" s="1346"/>
      <c r="Y26" s="3685"/>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685"/>
      <c r="Q27" s="1334" t="str">
        <f t="shared" si="8"/>
        <v>公共配套设施</v>
      </c>
      <c r="R27" s="692" t="s">
        <v>14</v>
      </c>
      <c r="S27" s="693">
        <f>F27</f>
        <v>100</v>
      </c>
      <c r="T27" s="692" t="s">
        <v>14</v>
      </c>
      <c r="U27" s="693">
        <f>H27</f>
        <v>100</v>
      </c>
      <c r="V27" s="692" t="s">
        <v>14</v>
      </c>
      <c r="W27" s="693">
        <f>J27</f>
        <v>100</v>
      </c>
      <c r="X27" s="694"/>
      <c r="Y27" s="3685"/>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685"/>
      <c r="Q28" s="1334"/>
      <c r="R28" s="692"/>
      <c r="S28" s="693"/>
      <c r="T28" s="692"/>
      <c r="U28" s="693"/>
      <c r="V28" s="692"/>
      <c r="W28" s="693"/>
      <c r="X28" s="694"/>
      <c r="Y28" s="3685"/>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685"/>
      <c r="Q29" s="1334" t="str">
        <f t="shared" ref="Q29" si="9">B29</f>
        <v>基础设施水平</v>
      </c>
      <c r="R29" s="692" t="s">
        <v>14</v>
      </c>
      <c r="S29" s="693">
        <f>F29</f>
        <v>100</v>
      </c>
      <c r="T29" s="692" t="s">
        <v>14</v>
      </c>
      <c r="U29" s="693">
        <f>H29</f>
        <v>100</v>
      </c>
      <c r="V29" s="692" t="s">
        <v>14</v>
      </c>
      <c r="W29" s="693">
        <f>J29</f>
        <v>100</v>
      </c>
      <c r="X29" s="694"/>
      <c r="Y29" s="3685"/>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685"/>
      <c r="Q30" s="1334"/>
      <c r="R30" s="692"/>
      <c r="S30" s="693"/>
      <c r="T30" s="692"/>
      <c r="U30" s="693"/>
      <c r="V30" s="692"/>
      <c r="W30" s="693"/>
      <c r="X30" s="694"/>
      <c r="Y30" s="3685"/>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685"/>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685"/>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685"/>
      <c r="Q32" s="1343" t="str">
        <f t="shared" si="8"/>
        <v>毗邻道路的类型与等级</v>
      </c>
      <c r="R32" s="696" t="s">
        <v>14</v>
      </c>
      <c r="S32" s="697">
        <f t="shared" si="10"/>
        <v>100</v>
      </c>
      <c r="T32" s="696" t="s">
        <v>14</v>
      </c>
      <c r="U32" s="697">
        <f t="shared" si="11"/>
        <v>100</v>
      </c>
      <c r="V32" s="696" t="s">
        <v>14</v>
      </c>
      <c r="W32" s="697">
        <f t="shared" si="12"/>
        <v>100</v>
      </c>
      <c r="X32" s="1346"/>
      <c r="Y32" s="3685"/>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685"/>
      <c r="Q33" s="1343"/>
      <c r="R33" s="696"/>
      <c r="S33" s="697"/>
      <c r="T33" s="696"/>
      <c r="U33" s="697"/>
      <c r="V33" s="696"/>
      <c r="W33" s="697"/>
      <c r="X33" s="1346"/>
      <c r="Y33" s="3685"/>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685"/>
      <c r="Q34" s="1343" t="str">
        <f t="shared" si="8"/>
        <v>土地级别</v>
      </c>
      <c r="R34" s="696" t="s">
        <v>14</v>
      </c>
      <c r="S34" s="697">
        <f t="shared" si="10"/>
        <v>100</v>
      </c>
      <c r="T34" s="696" t="s">
        <v>14</v>
      </c>
      <c r="U34" s="697">
        <f t="shared" si="11"/>
        <v>100</v>
      </c>
      <c r="V34" s="696" t="s">
        <v>14</v>
      </c>
      <c r="W34" s="697">
        <f t="shared" si="12"/>
        <v>100</v>
      </c>
      <c r="X34" s="1346"/>
      <c r="Y34" s="3685"/>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685"/>
      <c r="Q35" s="1343">
        <f t="shared" si="8"/>
        <v>111</v>
      </c>
      <c r="R35" s="696" t="s">
        <v>14</v>
      </c>
      <c r="S35" s="697">
        <f t="shared" si="10"/>
        <v>100</v>
      </c>
      <c r="T35" s="696" t="s">
        <v>14</v>
      </c>
      <c r="U35" s="697">
        <f t="shared" si="11"/>
        <v>100</v>
      </c>
      <c r="V35" s="696" t="s">
        <v>14</v>
      </c>
      <c r="W35" s="697">
        <f t="shared" si="12"/>
        <v>100</v>
      </c>
      <c r="X35" s="1346"/>
      <c r="Y35" s="3685"/>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6" t="s">
        <v>1696</v>
      </c>
      <c r="Q36" s="1343">
        <f t="shared" si="8"/>
        <v>111</v>
      </c>
      <c r="R36" s="696" t="s">
        <v>14</v>
      </c>
      <c r="S36" s="697">
        <f t="shared" si="10"/>
        <v>100</v>
      </c>
      <c r="T36" s="696" t="s">
        <v>14</v>
      </c>
      <c r="U36" s="697">
        <f t="shared" si="11"/>
        <v>100</v>
      </c>
      <c r="V36" s="696" t="s">
        <v>14</v>
      </c>
      <c r="W36" s="697">
        <f t="shared" si="12"/>
        <v>100</v>
      </c>
      <c r="X36" s="1346"/>
      <c r="Y36" s="3689"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689"/>
      <c r="Q37" s="1343">
        <f t="shared" si="8"/>
        <v>111</v>
      </c>
      <c r="R37" s="699" t="s">
        <v>14</v>
      </c>
      <c r="S37" s="700">
        <f t="shared" si="10"/>
        <v>100</v>
      </c>
      <c r="T37" s="699" t="s">
        <v>14</v>
      </c>
      <c r="U37" s="700">
        <f t="shared" si="11"/>
        <v>100</v>
      </c>
      <c r="V37" s="699" t="s">
        <v>14</v>
      </c>
      <c r="W37" s="700">
        <f t="shared" si="12"/>
        <v>100</v>
      </c>
      <c r="X37" s="701"/>
      <c r="Y37" s="3689"/>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689"/>
      <c r="Q38" s="1343" t="str">
        <f>B38</f>
        <v>宗地面积</v>
      </c>
      <c r="R38" s="696" t="s">
        <v>14</v>
      </c>
      <c r="S38" s="697" t="e">
        <f t="shared" si="10"/>
        <v>#N/A</v>
      </c>
      <c r="T38" s="696" t="s">
        <v>14</v>
      </c>
      <c r="U38" s="697" t="e">
        <f t="shared" si="11"/>
        <v>#N/A</v>
      </c>
      <c r="V38" s="696" t="s">
        <v>14</v>
      </c>
      <c r="W38" s="697" t="e">
        <f t="shared" si="12"/>
        <v>#N/A</v>
      </c>
      <c r="X38" s="1346"/>
      <c r="Y38" s="3689"/>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689"/>
      <c r="Q39" s="1343" t="str">
        <f t="shared" ref="Q39:Q45" si="14">B39</f>
        <v>宗地形状</v>
      </c>
      <c r="R39" s="696" t="s">
        <v>14</v>
      </c>
      <c r="S39" s="697">
        <f t="shared" si="10"/>
        <v>100</v>
      </c>
      <c r="T39" s="696" t="s">
        <v>14</v>
      </c>
      <c r="U39" s="697">
        <f t="shared" si="11"/>
        <v>100</v>
      </c>
      <c r="V39" s="696" t="s">
        <v>14</v>
      </c>
      <c r="W39" s="697">
        <f t="shared" si="12"/>
        <v>100</v>
      </c>
      <c r="X39" s="1346"/>
      <c r="Y39" s="3689"/>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689"/>
      <c r="Q40" s="1343" t="str">
        <f t="shared" si="14"/>
        <v>临街宽度及深度</v>
      </c>
      <c r="R40" s="696" t="s">
        <v>14</v>
      </c>
      <c r="S40" s="697">
        <f t="shared" si="10"/>
        <v>100</v>
      </c>
      <c r="T40" s="696" t="s">
        <v>14</v>
      </c>
      <c r="U40" s="697">
        <f t="shared" si="11"/>
        <v>100</v>
      </c>
      <c r="V40" s="696" t="s">
        <v>14</v>
      </c>
      <c r="W40" s="697">
        <f t="shared" si="12"/>
        <v>100</v>
      </c>
      <c r="X40" s="1346"/>
      <c r="Y40" s="3689"/>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689"/>
      <c r="Q41" s="1343" t="str">
        <f t="shared" si="14"/>
        <v>宗地开发程度</v>
      </c>
      <c r="R41" s="692" t="s">
        <v>14</v>
      </c>
      <c r="S41" s="693">
        <f t="shared" si="10"/>
        <v>100</v>
      </c>
      <c r="T41" s="692" t="s">
        <v>14</v>
      </c>
      <c r="U41" s="693">
        <f t="shared" si="11"/>
        <v>100</v>
      </c>
      <c r="V41" s="692" t="s">
        <v>14</v>
      </c>
      <c r="W41" s="693">
        <f t="shared" si="12"/>
        <v>100</v>
      </c>
      <c r="X41" s="694"/>
      <c r="Y41" s="3689"/>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689" t="s">
        <v>1696</v>
      </c>
      <c r="Q42" s="1343" t="str">
        <f t="shared" si="14"/>
        <v>工程地质条件</v>
      </c>
      <c r="R42" s="696" t="s">
        <v>14</v>
      </c>
      <c r="S42" s="697">
        <f t="shared" si="10"/>
        <v>100</v>
      </c>
      <c r="T42" s="696" t="s">
        <v>14</v>
      </c>
      <c r="U42" s="697">
        <f t="shared" si="11"/>
        <v>100</v>
      </c>
      <c r="V42" s="696" t="s">
        <v>14</v>
      </c>
      <c r="W42" s="697">
        <f t="shared" si="12"/>
        <v>100</v>
      </c>
      <c r="X42" s="1346"/>
      <c r="Y42" s="3689"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689"/>
      <c r="Q43" s="1343">
        <f t="shared" si="14"/>
        <v>111</v>
      </c>
      <c r="R43" s="696" t="s">
        <v>14</v>
      </c>
      <c r="S43" s="697">
        <f t="shared" si="10"/>
        <v>100</v>
      </c>
      <c r="T43" s="696" t="s">
        <v>14</v>
      </c>
      <c r="U43" s="697">
        <f t="shared" si="11"/>
        <v>100</v>
      </c>
      <c r="V43" s="696" t="s">
        <v>14</v>
      </c>
      <c r="W43" s="697">
        <f t="shared" si="12"/>
        <v>100</v>
      </c>
      <c r="X43" s="1346"/>
      <c r="Y43" s="3689"/>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689"/>
      <c r="Q44" s="1343">
        <f t="shared" si="14"/>
        <v>111</v>
      </c>
      <c r="R44" s="696" t="s">
        <v>14</v>
      </c>
      <c r="S44" s="697">
        <f t="shared" si="10"/>
        <v>100</v>
      </c>
      <c r="T44" s="696" t="s">
        <v>14</v>
      </c>
      <c r="U44" s="697">
        <f t="shared" si="11"/>
        <v>100</v>
      </c>
      <c r="V44" s="696" t="s">
        <v>14</v>
      </c>
      <c r="W44" s="697">
        <f t="shared" si="12"/>
        <v>100</v>
      </c>
      <c r="X44" s="1346"/>
      <c r="Y44" s="3689"/>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689"/>
      <c r="Q45" s="1343">
        <f t="shared" si="14"/>
        <v>111</v>
      </c>
      <c r="R45" s="699" t="s">
        <v>14</v>
      </c>
      <c r="S45" s="700">
        <f t="shared" si="10"/>
        <v>100</v>
      </c>
      <c r="T45" s="699" t="s">
        <v>14</v>
      </c>
      <c r="U45" s="700">
        <f t="shared" si="11"/>
        <v>100</v>
      </c>
      <c r="V45" s="699" t="s">
        <v>14</v>
      </c>
      <c r="W45" s="700">
        <f t="shared" si="12"/>
        <v>100</v>
      </c>
      <c r="X45" s="701"/>
      <c r="Y45" s="3689"/>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677" t="str">
        <f>A46</f>
        <v>成交单价</v>
      </c>
      <c r="Q46" s="3677"/>
      <c r="R46" s="3691">
        <f>E46</f>
        <v>0</v>
      </c>
      <c r="S46" s="3691"/>
      <c r="T46" s="3691">
        <f>G46</f>
        <v>0</v>
      </c>
      <c r="U46" s="3691"/>
      <c r="V46" s="3691">
        <f>I46</f>
        <v>0</v>
      </c>
      <c r="W46" s="3691"/>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677" t="str">
        <f>A47</f>
        <v>比较价值（元/平方米）</v>
      </c>
      <c r="Q47" s="3677"/>
      <c r="R47" s="3768" t="e">
        <f>ROUND(PRODUCT(R46,AA7:AA45),0)</f>
        <v>#DIV/0!</v>
      </c>
      <c r="S47" s="3768"/>
      <c r="T47" s="3768" t="e">
        <f>ROUND(PRODUCT(T46,AB7:AB45),0)</f>
        <v>#DIV/0!</v>
      </c>
      <c r="U47" s="3768"/>
      <c r="V47" s="3768" t="e">
        <f>ROUND(PRODUCT(V46,AC7:AC45),0)</f>
        <v>#DIV/0!</v>
      </c>
      <c r="W47" s="3768"/>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679" t="str">
        <f>A48</f>
        <v>估价对象XX用房的比较价值（楼面单价，元/平方米）</v>
      </c>
      <c r="Q48" s="3680"/>
      <c r="R48" s="3769" t="e">
        <f>ROUND(IF(D47="简单平均",AVERAGE(R47:W47),R47*F47+T47*H47+V47*J47),0)</f>
        <v>#DIV/0!</v>
      </c>
      <c r="S48" s="3769"/>
      <c r="T48" s="3769"/>
      <c r="U48" s="3769"/>
      <c r="V48" s="3769"/>
      <c r="W48" s="3769"/>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6" t="s">
        <v>1887</v>
      </c>
      <c r="H55" s="3770"/>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35.409999999999997</v>
      </c>
      <c r="F56" s="877" t="e">
        <f t="shared" ref="F56:F64" si="15">ROUND(B56*E56/10000,0)</f>
        <v>#DIV/0!</v>
      </c>
      <c r="G56" s="3692"/>
      <c r="H56" s="3677"/>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35.409999999999997</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2024-2-1</v>
      </c>
      <c r="D67" s="683">
        <f>EDATE(C67,-3)</f>
        <v>45231</v>
      </c>
      <c r="E67" s="683">
        <f>EDATE(D67,-3)</f>
        <v>45139</v>
      </c>
      <c r="F67" s="683">
        <f t="shared" ref="F67:O67" si="18">EDATE(E67,-3)</f>
        <v>45047</v>
      </c>
      <c r="G67" s="683">
        <f t="shared" si="18"/>
        <v>44958</v>
      </c>
      <c r="H67" s="683">
        <f t="shared" si="18"/>
        <v>44866</v>
      </c>
      <c r="I67" s="683">
        <f t="shared" si="18"/>
        <v>44774</v>
      </c>
      <c r="J67" s="683">
        <f t="shared" si="18"/>
        <v>44682</v>
      </c>
      <c r="K67" s="683">
        <f t="shared" si="18"/>
        <v>44593</v>
      </c>
      <c r="L67" s="683">
        <f t="shared" si="18"/>
        <v>44501</v>
      </c>
      <c r="M67" s="683">
        <f t="shared" si="18"/>
        <v>44409</v>
      </c>
      <c r="N67" s="683">
        <f t="shared" si="18"/>
        <v>44317</v>
      </c>
      <c r="O67" s="683">
        <f t="shared" si="18"/>
        <v>44228</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706" t="s">
        <v>1771</v>
      </c>
      <c r="S4" s="3707"/>
      <c r="T4" s="3706" t="s">
        <v>1772</v>
      </c>
      <c r="U4" s="3707"/>
      <c r="V4" s="3691" t="s">
        <v>1773</v>
      </c>
      <c r="W4" s="3691"/>
      <c r="X4" s="1346"/>
      <c r="Y4" s="3706" t="s">
        <v>1775</v>
      </c>
      <c r="Z4" s="3707"/>
      <c r="AA4" s="3693" t="s">
        <v>1771</v>
      </c>
      <c r="AB4" s="3694" t="s">
        <v>1772</v>
      </c>
      <c r="AC4" s="3693" t="s">
        <v>1773</v>
      </c>
    </row>
    <row r="5" spans="1:29" ht="15">
      <c r="A5" s="352"/>
      <c r="B5" s="353"/>
      <c r="C5" s="3719" t="s">
        <v>1673</v>
      </c>
      <c r="D5" s="3715"/>
      <c r="E5" s="3750" t="s">
        <v>1674</v>
      </c>
      <c r="F5" s="3723"/>
      <c r="G5" s="3719" t="s">
        <v>1675</v>
      </c>
      <c r="H5" s="3715"/>
      <c r="I5" s="3719" t="s">
        <v>1676</v>
      </c>
      <c r="J5" s="3715"/>
      <c r="K5" s="553"/>
      <c r="L5" s="2704"/>
      <c r="M5" s="2705"/>
      <c r="N5" s="2705"/>
      <c r="O5" s="2705"/>
      <c r="P5" s="3702"/>
      <c r="Q5" s="3703"/>
      <c r="R5" s="3708"/>
      <c r="S5" s="3709"/>
      <c r="T5" s="3708"/>
      <c r="U5" s="3709"/>
      <c r="V5" s="3691"/>
      <c r="W5" s="3691"/>
      <c r="X5" s="1346"/>
      <c r="Y5" s="3708"/>
      <c r="Z5" s="3709"/>
      <c r="AA5" s="3694"/>
      <c r="AB5" s="3694"/>
      <c r="AC5" s="3694"/>
    </row>
    <row r="6" spans="1:29" ht="15.75" thickBot="1">
      <c r="A6" s="354"/>
      <c r="B6" s="355"/>
      <c r="C6" s="3771" t="s">
        <v>1919</v>
      </c>
      <c r="D6" s="3772"/>
      <c r="E6" s="3773" t="s">
        <v>1919</v>
      </c>
      <c r="F6" s="3774"/>
      <c r="G6" s="3771" t="s">
        <v>1919</v>
      </c>
      <c r="H6" s="3772"/>
      <c r="I6" s="3771" t="s">
        <v>1919</v>
      </c>
      <c r="J6" s="3772"/>
      <c r="K6" s="553" t="s">
        <v>1678</v>
      </c>
      <c r="L6" s="2704"/>
      <c r="M6" s="2705"/>
      <c r="N6" s="2705"/>
      <c r="O6" s="2705"/>
      <c r="P6" s="3704"/>
      <c r="Q6" s="3705"/>
      <c r="R6" s="3708"/>
      <c r="S6" s="3709"/>
      <c r="T6" s="3710"/>
      <c r="U6" s="3711"/>
      <c r="V6" s="3691"/>
      <c r="W6" s="3691"/>
      <c r="X6" s="1346"/>
      <c r="Y6" s="3710"/>
      <c r="Z6" s="3711"/>
      <c r="AA6" s="3695"/>
      <c r="AB6" s="3695"/>
      <c r="AC6" s="3695"/>
    </row>
    <row r="7" spans="1:29" s="108" customFormat="1" ht="15.75" thickBot="1">
      <c r="A7" s="356" t="s">
        <v>1679</v>
      </c>
      <c r="B7" s="357"/>
      <c r="C7" s="358">
        <f>'数据-取费表'!B2</f>
        <v>45345</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16" t="s">
        <v>1680</v>
      </c>
      <c r="Q7" s="3718"/>
      <c r="R7" s="692" t="s">
        <v>14</v>
      </c>
      <c r="S7" s="693">
        <f t="shared" ref="S7:S15" si="0">F7</f>
        <v>0</v>
      </c>
      <c r="T7" s="692" t="s">
        <v>14</v>
      </c>
      <c r="U7" s="693">
        <f t="shared" ref="U7:U15" si="1">H7</f>
        <v>0</v>
      </c>
      <c r="V7" s="692" t="s">
        <v>14</v>
      </c>
      <c r="W7" s="693">
        <f t="shared" ref="W7:W15" si="2">J7</f>
        <v>0</v>
      </c>
      <c r="X7" s="694"/>
      <c r="Y7" s="3716" t="s">
        <v>1680</v>
      </c>
      <c r="Z7" s="3717"/>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16" t="s">
        <v>1683</v>
      </c>
      <c r="Q8" s="3717"/>
      <c r="R8" s="692" t="s">
        <v>14</v>
      </c>
      <c r="S8" s="693">
        <f t="shared" si="0"/>
        <v>0</v>
      </c>
      <c r="T8" s="692" t="s">
        <v>14</v>
      </c>
      <c r="U8" s="693">
        <f t="shared" si="1"/>
        <v>0</v>
      </c>
      <c r="V8" s="692" t="s">
        <v>14</v>
      </c>
      <c r="W8" s="693">
        <f t="shared" si="2"/>
        <v>0</v>
      </c>
      <c r="X8" s="694"/>
      <c r="Y8" s="3716" t="s">
        <v>1683</v>
      </c>
      <c r="Z8" s="3717"/>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677" t="s">
        <v>1686</v>
      </c>
      <c r="Q9" s="1334" t="str">
        <f t="shared" ref="Q9:Q15" si="6">B9</f>
        <v>用途</v>
      </c>
      <c r="R9" s="692" t="s">
        <v>14</v>
      </c>
      <c r="S9" s="693">
        <f t="shared" si="0"/>
        <v>100</v>
      </c>
      <c r="T9" s="692" t="s">
        <v>14</v>
      </c>
      <c r="U9" s="693">
        <f t="shared" si="1"/>
        <v>100</v>
      </c>
      <c r="V9" s="692" t="s">
        <v>14</v>
      </c>
      <c r="W9" s="693">
        <f t="shared" si="2"/>
        <v>100</v>
      </c>
      <c r="X9" s="694"/>
      <c r="Y9" s="3562"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106</v>
      </c>
      <c r="G10" s="377"/>
      <c r="H10" s="121">
        <f>ROUND(100/'数据-取费表'!G16,0)</f>
        <v>106</v>
      </c>
      <c r="I10" s="377"/>
      <c r="J10" s="121">
        <f>ROUND(100/'数据-取费表'!G16,0)</f>
        <v>106</v>
      </c>
      <c r="K10" s="614"/>
      <c r="L10" s="2708"/>
      <c r="M10" s="2709"/>
      <c r="N10" s="2709"/>
      <c r="O10" s="2762"/>
      <c r="P10" s="3677"/>
      <c r="Q10" s="1334" t="str">
        <f t="shared" si="6"/>
        <v>土地使用年限（年）</v>
      </c>
      <c r="R10" s="692" t="s">
        <v>14</v>
      </c>
      <c r="S10" s="693">
        <f t="shared" si="0"/>
        <v>106</v>
      </c>
      <c r="T10" s="692" t="s">
        <v>14</v>
      </c>
      <c r="U10" s="693">
        <f t="shared" si="1"/>
        <v>106</v>
      </c>
      <c r="V10" s="692" t="s">
        <v>14</v>
      </c>
      <c r="W10" s="693">
        <f t="shared" si="2"/>
        <v>106</v>
      </c>
      <c r="X10" s="694"/>
      <c r="Y10" s="3562"/>
      <c r="Z10" s="52" t="str">
        <f t="shared" si="7"/>
        <v>土地使用年限（年）</v>
      </c>
      <c r="AA10" s="695">
        <f t="shared" si="3"/>
        <v>0.94339622641509435</v>
      </c>
      <c r="AB10" s="695">
        <f t="shared" si="4"/>
        <v>0.94339622641509435</v>
      </c>
      <c r="AC10" s="695">
        <f t="shared" si="5"/>
        <v>0.94339622641509435</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677"/>
      <c r="Q11" s="1334" t="str">
        <f t="shared" si="6"/>
        <v>容积率</v>
      </c>
      <c r="R11" s="692" t="s">
        <v>14</v>
      </c>
      <c r="S11" s="693" t="e">
        <f t="shared" si="0"/>
        <v>#N/A</v>
      </c>
      <c r="T11" s="692" t="s">
        <v>14</v>
      </c>
      <c r="U11" s="693" t="e">
        <f t="shared" si="1"/>
        <v>#N/A</v>
      </c>
      <c r="V11" s="692" t="s">
        <v>14</v>
      </c>
      <c r="W11" s="693" t="e">
        <f t="shared" si="2"/>
        <v>#N/A</v>
      </c>
      <c r="X11" s="694"/>
      <c r="Y11" s="3562"/>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677"/>
      <c r="Q12" s="1334">
        <f t="shared" si="6"/>
        <v>111</v>
      </c>
      <c r="R12" s="692" t="s">
        <v>14</v>
      </c>
      <c r="S12" s="693">
        <f t="shared" si="0"/>
        <v>100</v>
      </c>
      <c r="T12" s="692" t="s">
        <v>14</v>
      </c>
      <c r="U12" s="693">
        <f t="shared" si="1"/>
        <v>100</v>
      </c>
      <c r="V12" s="692" t="s">
        <v>14</v>
      </c>
      <c r="W12" s="693">
        <f t="shared" si="2"/>
        <v>100</v>
      </c>
      <c r="X12" s="694"/>
      <c r="Y12" s="3562"/>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677"/>
      <c r="Q13" s="1334">
        <f t="shared" si="6"/>
        <v>111</v>
      </c>
      <c r="R13" s="692" t="s">
        <v>14</v>
      </c>
      <c r="S13" s="693">
        <f t="shared" si="0"/>
        <v>100</v>
      </c>
      <c r="T13" s="692" t="s">
        <v>14</v>
      </c>
      <c r="U13" s="693">
        <f t="shared" si="1"/>
        <v>100</v>
      </c>
      <c r="V13" s="692" t="s">
        <v>14</v>
      </c>
      <c r="W13" s="693">
        <f t="shared" si="2"/>
        <v>100</v>
      </c>
      <c r="X13" s="694"/>
      <c r="Y13" s="3562"/>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677"/>
      <c r="Q14" s="1334">
        <f t="shared" si="6"/>
        <v>111</v>
      </c>
      <c r="R14" s="692" t="s">
        <v>14</v>
      </c>
      <c r="S14" s="693">
        <f t="shared" si="0"/>
        <v>100</v>
      </c>
      <c r="T14" s="692" t="s">
        <v>14</v>
      </c>
      <c r="U14" s="693">
        <f t="shared" si="1"/>
        <v>100</v>
      </c>
      <c r="V14" s="692" t="s">
        <v>14</v>
      </c>
      <c r="W14" s="693">
        <f t="shared" si="2"/>
        <v>100</v>
      </c>
      <c r="X14" s="694"/>
      <c r="Y14" s="3562"/>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684" t="s">
        <v>1691</v>
      </c>
      <c r="Q15" s="1343" t="str">
        <f t="shared" si="6"/>
        <v>产业集聚程度</v>
      </c>
      <c r="R15" s="696" t="s">
        <v>14</v>
      </c>
      <c r="S15" s="697">
        <f t="shared" si="0"/>
        <v>100</v>
      </c>
      <c r="T15" s="696" t="s">
        <v>14</v>
      </c>
      <c r="U15" s="697">
        <f t="shared" si="1"/>
        <v>100</v>
      </c>
      <c r="V15" s="696" t="s">
        <v>14</v>
      </c>
      <c r="W15" s="697">
        <f t="shared" si="2"/>
        <v>100</v>
      </c>
      <c r="X15" s="1346"/>
      <c r="Y15" s="3684"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685"/>
      <c r="Q16" s="1343"/>
      <c r="R16" s="696"/>
      <c r="S16" s="697"/>
      <c r="T16" s="696"/>
      <c r="U16" s="697"/>
      <c r="V16" s="696"/>
      <c r="W16" s="697"/>
      <c r="X16" s="1346"/>
      <c r="Y16" s="3685"/>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685"/>
      <c r="Q17" s="1343" t="str">
        <f>B17</f>
        <v>交通便捷度</v>
      </c>
      <c r="R17" s="696" t="s">
        <v>14</v>
      </c>
      <c r="S17" s="697">
        <f>F17</f>
        <v>100</v>
      </c>
      <c r="T17" s="696" t="s">
        <v>14</v>
      </c>
      <c r="U17" s="697">
        <f>H17</f>
        <v>100</v>
      </c>
      <c r="V17" s="696" t="s">
        <v>14</v>
      </c>
      <c r="W17" s="697">
        <f>J17</f>
        <v>100</v>
      </c>
      <c r="X17" s="1346"/>
      <c r="Y17" s="3685"/>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685"/>
      <c r="Q18" s="1343"/>
      <c r="R18" s="696"/>
      <c r="S18" s="697"/>
      <c r="T18" s="696"/>
      <c r="U18" s="697"/>
      <c r="V18" s="696"/>
      <c r="W18" s="697"/>
      <c r="X18" s="1346"/>
      <c r="Y18" s="3685"/>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685"/>
      <c r="Q19" s="1343" t="str">
        <f t="shared" ref="Q19:Q33" si="8">B19</f>
        <v>区域土地利用方向</v>
      </c>
      <c r="R19" s="696" t="s">
        <v>14</v>
      </c>
      <c r="S19" s="697">
        <f>F19</f>
        <v>100</v>
      </c>
      <c r="T19" s="696" t="s">
        <v>14</v>
      </c>
      <c r="U19" s="697">
        <f>H19</f>
        <v>100</v>
      </c>
      <c r="V19" s="696" t="s">
        <v>14</v>
      </c>
      <c r="W19" s="697">
        <f>J19</f>
        <v>100</v>
      </c>
      <c r="X19" s="1346"/>
      <c r="Y19" s="3685"/>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685"/>
      <c r="Q20" s="1343"/>
      <c r="R20" s="696"/>
      <c r="S20" s="697"/>
      <c r="T20" s="696"/>
      <c r="U20" s="697"/>
      <c r="V20" s="696"/>
      <c r="W20" s="697"/>
      <c r="X20" s="1346"/>
      <c r="Y20" s="3685"/>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685"/>
      <c r="Q21" s="1343" t="str">
        <f t="shared" si="8"/>
        <v>环境状况</v>
      </c>
      <c r="R21" s="696" t="s">
        <v>14</v>
      </c>
      <c r="S21" s="697">
        <f>F21</f>
        <v>100</v>
      </c>
      <c r="T21" s="696" t="s">
        <v>14</v>
      </c>
      <c r="U21" s="697">
        <f>H21</f>
        <v>100</v>
      </c>
      <c r="V21" s="696" t="s">
        <v>14</v>
      </c>
      <c r="W21" s="697">
        <f>J21</f>
        <v>100</v>
      </c>
      <c r="X21" s="1346"/>
      <c r="Y21" s="3685"/>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685"/>
      <c r="Q22" s="1343"/>
      <c r="R22" s="696"/>
      <c r="S22" s="697"/>
      <c r="T22" s="696"/>
      <c r="U22" s="697"/>
      <c r="V22" s="696"/>
      <c r="W22" s="697"/>
      <c r="X22" s="1346"/>
      <c r="Y22" s="3685"/>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685"/>
      <c r="Q23" s="1334" t="str">
        <f t="shared" si="8"/>
        <v>公共配套设施</v>
      </c>
      <c r="R23" s="692" t="s">
        <v>14</v>
      </c>
      <c r="S23" s="693">
        <f>F23</f>
        <v>100</v>
      </c>
      <c r="T23" s="692" t="s">
        <v>14</v>
      </c>
      <c r="U23" s="693">
        <f>H23</f>
        <v>100</v>
      </c>
      <c r="V23" s="692" t="s">
        <v>14</v>
      </c>
      <c r="W23" s="693">
        <f>J23</f>
        <v>100</v>
      </c>
      <c r="X23" s="694"/>
      <c r="Y23" s="3685"/>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685"/>
      <c r="Q24" s="1334"/>
      <c r="R24" s="692"/>
      <c r="S24" s="693"/>
      <c r="T24" s="692"/>
      <c r="U24" s="693"/>
      <c r="V24" s="692"/>
      <c r="W24" s="693"/>
      <c r="X24" s="694"/>
      <c r="Y24" s="3685"/>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685"/>
      <c r="Q25" s="1334" t="str">
        <f t="shared" ref="Q25" si="9">B25</f>
        <v>基础设施水平</v>
      </c>
      <c r="R25" s="692" t="s">
        <v>14</v>
      </c>
      <c r="S25" s="693">
        <f>F25</f>
        <v>100</v>
      </c>
      <c r="T25" s="692" t="s">
        <v>14</v>
      </c>
      <c r="U25" s="693">
        <f>H25</f>
        <v>100</v>
      </c>
      <c r="V25" s="692" t="s">
        <v>14</v>
      </c>
      <c r="W25" s="693">
        <f>J25</f>
        <v>100</v>
      </c>
      <c r="X25" s="694"/>
      <c r="Y25" s="3685"/>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685"/>
      <c r="Q26" s="1334"/>
      <c r="R26" s="692"/>
      <c r="S26" s="693"/>
      <c r="T26" s="692"/>
      <c r="U26" s="693"/>
      <c r="V26" s="692"/>
      <c r="W26" s="693"/>
      <c r="X26" s="694"/>
      <c r="Y26" s="3685"/>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685"/>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85"/>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685"/>
      <c r="Q28" s="1343" t="str">
        <f t="shared" si="8"/>
        <v>毗邻道路的类型与等级</v>
      </c>
      <c r="R28" s="696" t="s">
        <v>14</v>
      </c>
      <c r="S28" s="697">
        <f t="shared" si="10"/>
        <v>100</v>
      </c>
      <c r="T28" s="696" t="s">
        <v>14</v>
      </c>
      <c r="U28" s="697">
        <f t="shared" si="11"/>
        <v>100</v>
      </c>
      <c r="V28" s="696" t="s">
        <v>14</v>
      </c>
      <c r="W28" s="697">
        <f t="shared" si="12"/>
        <v>100</v>
      </c>
      <c r="X28" s="1346"/>
      <c r="Y28" s="3685"/>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685"/>
      <c r="Q29" s="1343"/>
      <c r="R29" s="696"/>
      <c r="S29" s="697"/>
      <c r="T29" s="696"/>
      <c r="U29" s="697"/>
      <c r="V29" s="696"/>
      <c r="W29" s="697"/>
      <c r="X29" s="1346"/>
      <c r="Y29" s="3685"/>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685"/>
      <c r="Q30" s="1343" t="str">
        <f t="shared" si="8"/>
        <v>土地级别</v>
      </c>
      <c r="R30" s="696" t="s">
        <v>14</v>
      </c>
      <c r="S30" s="697">
        <f t="shared" si="10"/>
        <v>100</v>
      </c>
      <c r="T30" s="696" t="s">
        <v>14</v>
      </c>
      <c r="U30" s="697">
        <f t="shared" si="11"/>
        <v>100</v>
      </c>
      <c r="V30" s="696" t="s">
        <v>14</v>
      </c>
      <c r="W30" s="697">
        <f t="shared" si="12"/>
        <v>100</v>
      </c>
      <c r="X30" s="1346"/>
      <c r="Y30" s="3685"/>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685"/>
      <c r="Q31" s="1343">
        <f t="shared" si="8"/>
        <v>111</v>
      </c>
      <c r="R31" s="696" t="s">
        <v>14</v>
      </c>
      <c r="S31" s="697">
        <f t="shared" si="10"/>
        <v>100</v>
      </c>
      <c r="T31" s="696" t="s">
        <v>14</v>
      </c>
      <c r="U31" s="697">
        <f t="shared" si="11"/>
        <v>100</v>
      </c>
      <c r="V31" s="696" t="s">
        <v>14</v>
      </c>
      <c r="W31" s="697">
        <f t="shared" si="12"/>
        <v>100</v>
      </c>
      <c r="X31" s="1346"/>
      <c r="Y31" s="3685"/>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6" t="s">
        <v>1696</v>
      </c>
      <c r="Q32" s="1343">
        <f t="shared" si="8"/>
        <v>111</v>
      </c>
      <c r="R32" s="696" t="s">
        <v>14</v>
      </c>
      <c r="S32" s="697">
        <f t="shared" si="10"/>
        <v>100</v>
      </c>
      <c r="T32" s="696" t="s">
        <v>14</v>
      </c>
      <c r="U32" s="697">
        <f t="shared" si="11"/>
        <v>100</v>
      </c>
      <c r="V32" s="696" t="s">
        <v>14</v>
      </c>
      <c r="W32" s="697">
        <f t="shared" si="12"/>
        <v>100</v>
      </c>
      <c r="X32" s="1346"/>
      <c r="Y32" s="3689"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689"/>
      <c r="Q33" s="1343">
        <f t="shared" si="8"/>
        <v>111</v>
      </c>
      <c r="R33" s="699" t="s">
        <v>14</v>
      </c>
      <c r="S33" s="700">
        <f t="shared" si="10"/>
        <v>100</v>
      </c>
      <c r="T33" s="699" t="s">
        <v>14</v>
      </c>
      <c r="U33" s="700">
        <f t="shared" si="11"/>
        <v>100</v>
      </c>
      <c r="V33" s="699" t="s">
        <v>14</v>
      </c>
      <c r="W33" s="700">
        <f t="shared" si="12"/>
        <v>100</v>
      </c>
      <c r="X33" s="701"/>
      <c r="Y33" s="3689"/>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689"/>
      <c r="Q34" s="1343" t="str">
        <f>B34</f>
        <v>宗地面积</v>
      </c>
      <c r="R34" s="696" t="s">
        <v>14</v>
      </c>
      <c r="S34" s="697" t="e">
        <f t="shared" si="10"/>
        <v>#N/A</v>
      </c>
      <c r="T34" s="696" t="s">
        <v>14</v>
      </c>
      <c r="U34" s="697" t="e">
        <f t="shared" si="11"/>
        <v>#N/A</v>
      </c>
      <c r="V34" s="696" t="s">
        <v>14</v>
      </c>
      <c r="W34" s="697" t="e">
        <f t="shared" si="12"/>
        <v>#N/A</v>
      </c>
      <c r="X34" s="1346"/>
      <c r="Y34" s="3689"/>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689"/>
      <c r="Q35" s="1343" t="str">
        <f t="shared" ref="Q35:Q40" si="14">B35</f>
        <v>宗地形状</v>
      </c>
      <c r="R35" s="696" t="s">
        <v>14</v>
      </c>
      <c r="S35" s="697">
        <f t="shared" si="10"/>
        <v>100</v>
      </c>
      <c r="T35" s="696" t="s">
        <v>14</v>
      </c>
      <c r="U35" s="697">
        <f t="shared" si="11"/>
        <v>100</v>
      </c>
      <c r="V35" s="696" t="s">
        <v>14</v>
      </c>
      <c r="W35" s="697">
        <f t="shared" si="12"/>
        <v>100</v>
      </c>
      <c r="X35" s="1346"/>
      <c r="Y35" s="3689"/>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689"/>
      <c r="Q36" s="1343" t="str">
        <f t="shared" si="14"/>
        <v>宗地开发程度</v>
      </c>
      <c r="R36" s="692" t="s">
        <v>14</v>
      </c>
      <c r="S36" s="693">
        <f t="shared" si="10"/>
        <v>100</v>
      </c>
      <c r="T36" s="692" t="s">
        <v>14</v>
      </c>
      <c r="U36" s="693">
        <f t="shared" si="11"/>
        <v>100</v>
      </c>
      <c r="V36" s="692" t="s">
        <v>14</v>
      </c>
      <c r="W36" s="693">
        <f t="shared" si="12"/>
        <v>100</v>
      </c>
      <c r="X36" s="694"/>
      <c r="Y36" s="3689"/>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689" t="s">
        <v>1696</v>
      </c>
      <c r="Q37" s="1343" t="str">
        <f t="shared" si="14"/>
        <v>工程地质条件</v>
      </c>
      <c r="R37" s="696" t="s">
        <v>14</v>
      </c>
      <c r="S37" s="697">
        <f t="shared" si="10"/>
        <v>100</v>
      </c>
      <c r="T37" s="696" t="s">
        <v>14</v>
      </c>
      <c r="U37" s="697">
        <f t="shared" si="11"/>
        <v>100</v>
      </c>
      <c r="V37" s="696" t="s">
        <v>14</v>
      </c>
      <c r="W37" s="697">
        <f t="shared" si="12"/>
        <v>100</v>
      </c>
      <c r="X37" s="1346"/>
      <c r="Y37" s="3689"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689"/>
      <c r="Q38" s="1343">
        <f t="shared" si="14"/>
        <v>111</v>
      </c>
      <c r="R38" s="696" t="s">
        <v>14</v>
      </c>
      <c r="S38" s="697">
        <f t="shared" si="10"/>
        <v>100</v>
      </c>
      <c r="T38" s="696" t="s">
        <v>14</v>
      </c>
      <c r="U38" s="697">
        <f t="shared" si="11"/>
        <v>100</v>
      </c>
      <c r="V38" s="696" t="s">
        <v>14</v>
      </c>
      <c r="W38" s="697">
        <f t="shared" si="12"/>
        <v>100</v>
      </c>
      <c r="X38" s="1346"/>
      <c r="Y38" s="3689"/>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689"/>
      <c r="Q39" s="1343">
        <f t="shared" si="14"/>
        <v>111</v>
      </c>
      <c r="R39" s="696" t="s">
        <v>14</v>
      </c>
      <c r="S39" s="697">
        <f t="shared" si="10"/>
        <v>100</v>
      </c>
      <c r="T39" s="696" t="s">
        <v>14</v>
      </c>
      <c r="U39" s="697">
        <f t="shared" si="11"/>
        <v>100</v>
      </c>
      <c r="V39" s="696" t="s">
        <v>14</v>
      </c>
      <c r="W39" s="697">
        <f t="shared" si="12"/>
        <v>100</v>
      </c>
      <c r="X39" s="1346"/>
      <c r="Y39" s="3689"/>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689"/>
      <c r="Q40" s="1343">
        <f t="shared" si="14"/>
        <v>111</v>
      </c>
      <c r="R40" s="699" t="s">
        <v>14</v>
      </c>
      <c r="S40" s="700">
        <f t="shared" si="10"/>
        <v>100</v>
      </c>
      <c r="T40" s="699" t="s">
        <v>14</v>
      </c>
      <c r="U40" s="700">
        <f t="shared" si="11"/>
        <v>100</v>
      </c>
      <c r="V40" s="699" t="s">
        <v>14</v>
      </c>
      <c r="W40" s="700">
        <f t="shared" si="12"/>
        <v>100</v>
      </c>
      <c r="X40" s="701"/>
      <c r="Y40" s="3689"/>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677" t="str">
        <f>A41</f>
        <v>成交单价</v>
      </c>
      <c r="Q41" s="3677"/>
      <c r="R41" s="3691">
        <f>E41</f>
        <v>0</v>
      </c>
      <c r="S41" s="3691"/>
      <c r="T41" s="3691">
        <f>G41</f>
        <v>0</v>
      </c>
      <c r="U41" s="3691"/>
      <c r="V41" s="3691">
        <f>I41</f>
        <v>0</v>
      </c>
      <c r="W41" s="3691"/>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677" t="str">
        <f>A42</f>
        <v>比较价值（元/平方米）</v>
      </c>
      <c r="Q42" s="3677"/>
      <c r="R42" s="3768" t="e">
        <f>ROUND(PRODUCT(R41,AA7:AA40),0)</f>
        <v>#DIV/0!</v>
      </c>
      <c r="S42" s="3768"/>
      <c r="T42" s="3768" t="e">
        <f>ROUND(PRODUCT(T41,AB7:AB40),0)</f>
        <v>#DIV/0!</v>
      </c>
      <c r="U42" s="3768"/>
      <c r="V42" s="3768" t="e">
        <f>ROUND(PRODUCT(V41,AC7:AC40),0)</f>
        <v>#DIV/0!</v>
      </c>
      <c r="W42" s="3768"/>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679" t="str">
        <f>A43</f>
        <v>估价对象XX用房的比较价值（楼面单价，元/平方米）</v>
      </c>
      <c r="Q43" s="3680"/>
      <c r="R43" s="3769" t="e">
        <f>ROUND(IF(D42="简单平均",AVERAGE(R42:W42),R42*F42+T42*H42+V42*J42),0)</f>
        <v>#DIV/0!</v>
      </c>
      <c r="S43" s="3769"/>
      <c r="T43" s="3769"/>
      <c r="U43" s="3769"/>
      <c r="V43" s="3769"/>
      <c r="W43" s="3769"/>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6" t="s">
        <v>1887</v>
      </c>
      <c r="H50" s="3770"/>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35.409999999999997</v>
      </c>
      <c r="F51" s="633" t="e">
        <f t="shared" ref="F51:F60" si="15">ROUND(B51*E51/10000,0)</f>
        <v>#DIV/0!</v>
      </c>
      <c r="G51" s="3692"/>
      <c r="H51" s="3677"/>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2024-2-1</v>
      </c>
      <c r="D63" s="683">
        <f>EDATE(C63,-3)</f>
        <v>45231</v>
      </c>
      <c r="E63" s="683">
        <f>EDATE(D63,-3)</f>
        <v>45139</v>
      </c>
      <c r="F63" s="683">
        <f t="shared" ref="F63:O63" si="18">EDATE(E63,-3)</f>
        <v>45047</v>
      </c>
      <c r="G63" s="683">
        <f t="shared" si="18"/>
        <v>44958</v>
      </c>
      <c r="H63" s="683">
        <f t="shared" si="18"/>
        <v>44866</v>
      </c>
      <c r="I63" s="683">
        <f t="shared" si="18"/>
        <v>44774</v>
      </c>
      <c r="J63" s="683">
        <f t="shared" si="18"/>
        <v>44682</v>
      </c>
      <c r="K63" s="683">
        <f t="shared" si="18"/>
        <v>44593</v>
      </c>
      <c r="L63" s="683">
        <f t="shared" si="18"/>
        <v>44501</v>
      </c>
      <c r="M63" s="683">
        <f t="shared" si="18"/>
        <v>44409</v>
      </c>
      <c r="N63" s="683">
        <f t="shared" si="18"/>
        <v>44317</v>
      </c>
      <c r="O63" s="683">
        <f t="shared" si="18"/>
        <v>44228</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1"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8" t="s">
        <v>2084</v>
      </c>
      <c r="D1" s="3779"/>
      <c r="E1" s="3779"/>
      <c r="F1" s="3779"/>
      <c r="G1" s="3779"/>
      <c r="H1" s="3779"/>
      <c r="I1" s="3779"/>
      <c r="J1" s="3779"/>
      <c r="K1" s="3779"/>
      <c r="L1" s="3779"/>
      <c r="M1" s="3779"/>
      <c r="N1" s="3779"/>
      <c r="O1" s="3779"/>
      <c r="P1" s="3779"/>
      <c r="Q1" s="3779"/>
      <c r="R1" s="3779"/>
      <c r="S1" s="3780"/>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5" t="s">
        <v>27</v>
      </c>
      <c r="D22" s="3776"/>
      <c r="E22" s="3776"/>
      <c r="F22" s="3776"/>
      <c r="G22" s="3776"/>
      <c r="H22" s="3776"/>
      <c r="I22" s="3776"/>
      <c r="J22" s="3776"/>
      <c r="K22" s="3776"/>
      <c r="L22" s="3776"/>
      <c r="M22" s="3776"/>
      <c r="N22" s="3776"/>
      <c r="O22" s="3776"/>
      <c r="P22" s="3776"/>
      <c r="Q22" s="3777"/>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35.409999999999997</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35.409999999999997</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90" t="s">
        <v>2607</v>
      </c>
      <c r="B20" s="3785" t="s">
        <v>2628</v>
      </c>
      <c r="C20" s="3092" t="s">
        <v>2439</v>
      </c>
      <c r="D20" s="3093"/>
      <c r="E20" s="3094">
        <v>1</v>
      </c>
      <c r="F20" s="3095" t="s">
        <v>2440</v>
      </c>
      <c r="G20" s="3095"/>
    </row>
    <row r="21" spans="1:13" ht="19.5" customHeight="1">
      <c r="A21" s="3791"/>
      <c r="B21" s="3784"/>
      <c r="C21" s="3096" t="s">
        <v>2441</v>
      </c>
      <c r="D21" s="3097"/>
      <c r="E21" s="3098">
        <v>1</v>
      </c>
      <c r="F21" s="3095" t="s">
        <v>2442</v>
      </c>
      <c r="G21" s="3095"/>
    </row>
    <row r="22" spans="1:13" ht="19.5" customHeight="1">
      <c r="A22" s="3791"/>
      <c r="B22" s="3784"/>
      <c r="C22" s="3096" t="s">
        <v>2443</v>
      </c>
      <c r="D22" s="3097"/>
      <c r="E22" s="3098">
        <v>0.9</v>
      </c>
      <c r="F22" s="3095" t="s">
        <v>2444</v>
      </c>
      <c r="G22" s="3095"/>
    </row>
    <row r="23" spans="1:13" ht="19.5" customHeight="1">
      <c r="A23" s="3791"/>
      <c r="B23" s="3784"/>
      <c r="C23" s="3096" t="s">
        <v>2445</v>
      </c>
      <c r="D23" s="3097"/>
      <c r="E23" s="3098">
        <v>0.9</v>
      </c>
      <c r="F23" s="3095" t="s">
        <v>2446</v>
      </c>
      <c r="G23" s="3095"/>
    </row>
    <row r="24" spans="1:13" ht="19.5" customHeight="1">
      <c r="A24" s="3791"/>
      <c r="B24" s="3784"/>
      <c r="C24" s="3096" t="s">
        <v>2447</v>
      </c>
      <c r="D24" s="3097"/>
      <c r="E24" s="3098">
        <v>0.8</v>
      </c>
      <c r="F24" s="3095" t="s">
        <v>2448</v>
      </c>
      <c r="G24" s="3095"/>
    </row>
    <row r="25" spans="1:13" ht="19.5" customHeight="1" thickBot="1">
      <c r="A25" s="3792"/>
      <c r="B25" s="3786"/>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7" t="s">
        <v>2631</v>
      </c>
      <c r="B27" s="3785" t="s">
        <v>2612</v>
      </c>
      <c r="C27" s="3092" t="s">
        <v>2452</v>
      </c>
      <c r="D27" s="3093"/>
      <c r="E27" s="3094">
        <v>1</v>
      </c>
      <c r="F27" s="3095" t="s">
        <v>2453</v>
      </c>
      <c r="G27" s="3095"/>
    </row>
    <row r="28" spans="1:13" ht="19.5" customHeight="1">
      <c r="A28" s="3788"/>
      <c r="B28" s="3784"/>
      <c r="C28" s="3096" t="s">
        <v>2454</v>
      </c>
      <c r="D28" s="3097"/>
      <c r="E28" s="3098">
        <v>1</v>
      </c>
      <c r="F28" s="3095" t="s">
        <v>2455</v>
      </c>
      <c r="G28" s="3095"/>
    </row>
    <row r="29" spans="1:13" ht="19.5" customHeight="1">
      <c r="A29" s="3788"/>
      <c r="B29" s="3784"/>
      <c r="C29" s="3096" t="s">
        <v>2456</v>
      </c>
      <c r="D29" s="3097"/>
      <c r="E29" s="3098">
        <v>0.8</v>
      </c>
      <c r="F29" s="3095" t="s">
        <v>2457</v>
      </c>
      <c r="G29" s="3095"/>
    </row>
    <row r="30" spans="1:13" ht="19.5" customHeight="1">
      <c r="A30" s="3788"/>
      <c r="B30" s="3784"/>
      <c r="C30" s="3096" t="s">
        <v>2458</v>
      </c>
      <c r="D30" s="3097"/>
      <c r="E30" s="3098">
        <v>0.8</v>
      </c>
      <c r="F30" s="3095" t="s">
        <v>2459</v>
      </c>
      <c r="G30" s="3095"/>
    </row>
    <row r="31" spans="1:13" ht="19.5" customHeight="1">
      <c r="A31" s="3788"/>
      <c r="B31" s="3784"/>
      <c r="C31" s="3096" t="s">
        <v>2460</v>
      </c>
      <c r="D31" s="3097"/>
      <c r="E31" s="3098">
        <v>0.8</v>
      </c>
      <c r="F31" s="3095" t="s">
        <v>2461</v>
      </c>
      <c r="G31" s="3095"/>
    </row>
    <row r="32" spans="1:13" ht="19.5" customHeight="1">
      <c r="A32" s="3788"/>
      <c r="B32" s="3784"/>
      <c r="C32" s="3096" t="s">
        <v>2462</v>
      </c>
      <c r="D32" s="3097"/>
      <c r="E32" s="3098">
        <v>0.7</v>
      </c>
      <c r="F32" s="3095" t="s">
        <v>2463</v>
      </c>
      <c r="G32" s="3095"/>
    </row>
    <row r="33" spans="1:7" ht="19.5" customHeight="1">
      <c r="A33" s="3788"/>
      <c r="B33" s="3784"/>
      <c r="C33" s="3096" t="s">
        <v>2464</v>
      </c>
      <c r="D33" s="3097"/>
      <c r="E33" s="3098">
        <v>0.8</v>
      </c>
      <c r="F33" s="3095" t="s">
        <v>2465</v>
      </c>
      <c r="G33" s="3095"/>
    </row>
    <row r="34" spans="1:7" ht="19.5" customHeight="1">
      <c r="A34" s="3788"/>
      <c r="B34" s="3784"/>
      <c r="C34" s="3096" t="s">
        <v>2466</v>
      </c>
      <c r="D34" s="3097"/>
      <c r="E34" s="3098">
        <v>0.6</v>
      </c>
      <c r="F34" s="3095" t="s">
        <v>2467</v>
      </c>
      <c r="G34" s="3095"/>
    </row>
    <row r="35" spans="1:7" ht="19.5" customHeight="1">
      <c r="A35" s="3788"/>
      <c r="B35" s="3784"/>
      <c r="C35" s="3096" t="s">
        <v>2468</v>
      </c>
      <c r="D35" s="3097"/>
      <c r="E35" s="3098">
        <v>0.2</v>
      </c>
      <c r="F35" s="3095" t="s">
        <v>2469</v>
      </c>
      <c r="G35" s="3095"/>
    </row>
    <row r="36" spans="1:7" ht="19.5" customHeight="1">
      <c r="A36" s="3788"/>
      <c r="B36" s="3784"/>
      <c r="C36" s="3096" t="s">
        <v>2470</v>
      </c>
      <c r="D36" s="3097"/>
      <c r="E36" s="3098">
        <v>0.2</v>
      </c>
      <c r="F36" s="3095" t="s">
        <v>2471</v>
      </c>
      <c r="G36" s="3095"/>
    </row>
    <row r="37" spans="1:7" ht="19.5" customHeight="1">
      <c r="A37" s="3788"/>
      <c r="B37" s="3782" t="s">
        <v>2632</v>
      </c>
      <c r="C37" s="3096" t="s">
        <v>2472</v>
      </c>
      <c r="D37" s="3097"/>
      <c r="E37" s="3098">
        <v>0.6</v>
      </c>
      <c r="F37" s="3095" t="s">
        <v>2473</v>
      </c>
      <c r="G37" s="3095"/>
    </row>
    <row r="38" spans="1:7" ht="19.5" customHeight="1">
      <c r="A38" s="3788"/>
      <c r="B38" s="3784"/>
      <c r="C38" s="3096" t="s">
        <v>2474</v>
      </c>
      <c r="D38" s="3097"/>
      <c r="E38" s="3098">
        <v>0.6</v>
      </c>
      <c r="F38" s="3095" t="s">
        <v>2475</v>
      </c>
      <c r="G38" s="3095"/>
    </row>
    <row r="39" spans="1:7" ht="19.5" customHeight="1" thickBot="1">
      <c r="A39" s="3789"/>
      <c r="B39" s="3786"/>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90" t="s">
        <v>2610</v>
      </c>
      <c r="B41" s="3785" t="s">
        <v>2634</v>
      </c>
      <c r="C41" s="3092" t="s">
        <v>2479</v>
      </c>
      <c r="D41" s="3093"/>
      <c r="E41" s="3094">
        <v>1</v>
      </c>
      <c r="F41" s="3095" t="s">
        <v>2480</v>
      </c>
      <c r="G41" s="3095"/>
    </row>
    <row r="42" spans="1:7" ht="19.5" customHeight="1">
      <c r="A42" s="3791"/>
      <c r="B42" s="3784"/>
      <c r="C42" s="3096" t="s">
        <v>2481</v>
      </c>
      <c r="D42" s="3097"/>
      <c r="E42" s="3098">
        <v>1</v>
      </c>
      <c r="F42" s="3095" t="s">
        <v>2482</v>
      </c>
      <c r="G42" s="3095"/>
    </row>
    <row r="43" spans="1:7" ht="19.5" customHeight="1">
      <c r="A43" s="3791"/>
      <c r="B43" s="3783"/>
      <c r="C43" s="3096" t="s">
        <v>2483</v>
      </c>
      <c r="D43" s="3097"/>
      <c r="E43" s="3098">
        <v>1.5</v>
      </c>
      <c r="F43" s="3095" t="s">
        <v>2484</v>
      </c>
      <c r="G43" s="3095"/>
    </row>
    <row r="44" spans="1:7" ht="19.5" customHeight="1">
      <c r="A44" s="3791"/>
      <c r="B44" s="3107" t="s">
        <v>2635</v>
      </c>
      <c r="C44" s="3096" t="s">
        <v>2636</v>
      </c>
      <c r="D44" s="3097"/>
      <c r="E44" s="3098">
        <v>2</v>
      </c>
      <c r="F44" s="3095" t="s">
        <v>2485</v>
      </c>
      <c r="G44" s="3095"/>
    </row>
    <row r="45" spans="1:7" ht="19.5" customHeight="1">
      <c r="A45" s="3791"/>
      <c r="B45" s="3782" t="s">
        <v>2637</v>
      </c>
      <c r="C45" s="3096" t="s">
        <v>2486</v>
      </c>
      <c r="D45" s="3097"/>
      <c r="E45" s="3098">
        <v>1</v>
      </c>
      <c r="F45" s="3095" t="s">
        <v>2487</v>
      </c>
      <c r="G45" s="3095"/>
    </row>
    <row r="46" spans="1:7" ht="19.5" customHeight="1">
      <c r="A46" s="3791"/>
      <c r="B46" s="3784"/>
      <c r="C46" s="3096" t="s">
        <v>2488</v>
      </c>
      <c r="D46" s="3097"/>
      <c r="E46" s="3098">
        <v>1</v>
      </c>
      <c r="F46" s="3095" t="s">
        <v>2489</v>
      </c>
      <c r="G46" s="3095"/>
    </row>
    <row r="47" spans="1:7" ht="19.5" customHeight="1">
      <c r="A47" s="3791"/>
      <c r="B47" s="3784"/>
      <c r="C47" s="3096" t="s">
        <v>2490</v>
      </c>
      <c r="D47" s="3097"/>
      <c r="E47" s="3098">
        <v>1</v>
      </c>
      <c r="F47" s="3095" t="s">
        <v>2491</v>
      </c>
      <c r="G47" s="3095"/>
    </row>
    <row r="48" spans="1:7" ht="19.5" customHeight="1">
      <c r="A48" s="3791"/>
      <c r="B48" s="3784"/>
      <c r="C48" s="3096" t="s">
        <v>2492</v>
      </c>
      <c r="D48" s="3097"/>
      <c r="E48" s="3098">
        <v>1</v>
      </c>
      <c r="F48" s="3095" t="s">
        <v>2493</v>
      </c>
      <c r="G48" s="3095"/>
    </row>
    <row r="49" spans="1:7" ht="19.5" customHeight="1">
      <c r="A49" s="3791"/>
      <c r="B49" s="3784"/>
      <c r="C49" s="3096" t="s">
        <v>2494</v>
      </c>
      <c r="D49" s="3097"/>
      <c r="E49" s="3098">
        <v>1</v>
      </c>
      <c r="F49" s="3095" t="s">
        <v>2495</v>
      </c>
      <c r="G49" s="3095"/>
    </row>
    <row r="50" spans="1:7" ht="19.5" customHeight="1">
      <c r="A50" s="3791"/>
      <c r="B50" s="3784"/>
      <c r="C50" s="3096" t="s">
        <v>2496</v>
      </c>
      <c r="D50" s="3097"/>
      <c r="E50" s="3098">
        <v>1</v>
      </c>
      <c r="F50" s="3095" t="s">
        <v>2497</v>
      </c>
      <c r="G50" s="3095"/>
    </row>
    <row r="51" spans="1:7" ht="19.5" customHeight="1" thickBot="1">
      <c r="A51" s="3792"/>
      <c r="B51" s="3786"/>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2" t="s">
        <v>2651</v>
      </c>
      <c r="C73" s="3081" t="s">
        <v>2652</v>
      </c>
      <c r="D73" s="3081" t="s">
        <v>2653</v>
      </c>
      <c r="E73" s="3107">
        <v>0.2</v>
      </c>
      <c r="F73" s="3107">
        <v>25</v>
      </c>
    </row>
    <row r="74" spans="1:7" ht="24">
      <c r="A74" s="3107">
        <v>2</v>
      </c>
      <c r="B74" s="3784"/>
      <c r="C74" s="3081" t="s">
        <v>2654</v>
      </c>
      <c r="D74" s="3081" t="s">
        <v>2655</v>
      </c>
      <c r="E74" s="3107">
        <v>0.2</v>
      </c>
      <c r="F74" s="3107">
        <v>25</v>
      </c>
    </row>
    <row r="75" spans="1:7" ht="24">
      <c r="A75" s="3107">
        <v>3</v>
      </c>
      <c r="B75" s="3784"/>
      <c r="C75" s="3081" t="s">
        <v>2656</v>
      </c>
      <c r="D75" s="3081" t="s">
        <v>2657</v>
      </c>
      <c r="E75" s="3107">
        <v>0.2</v>
      </c>
      <c r="F75" s="3107">
        <v>25</v>
      </c>
    </row>
    <row r="76" spans="1:7" ht="13.5">
      <c r="A76" s="3107">
        <v>4</v>
      </c>
      <c r="B76" s="3784"/>
      <c r="C76" s="3081" t="s">
        <v>2658</v>
      </c>
      <c r="D76" s="3081" t="s">
        <v>2659</v>
      </c>
      <c r="E76" s="3107">
        <v>0.15</v>
      </c>
      <c r="F76" s="3107">
        <v>20</v>
      </c>
    </row>
    <row r="77" spans="1:7" ht="24">
      <c r="A77" s="3107">
        <v>5</v>
      </c>
      <c r="B77" s="3784"/>
      <c r="C77" s="3081" t="s">
        <v>2660</v>
      </c>
      <c r="D77" s="3081" t="s">
        <v>2661</v>
      </c>
      <c r="E77" s="3107">
        <v>0.15</v>
      </c>
      <c r="F77" s="3107">
        <v>20</v>
      </c>
    </row>
    <row r="78" spans="1:7" ht="24">
      <c r="A78" s="3107">
        <v>6</v>
      </c>
      <c r="B78" s="3784"/>
      <c r="C78" s="3081" t="s">
        <v>2662</v>
      </c>
      <c r="D78" s="3081" t="s">
        <v>2663</v>
      </c>
      <c r="E78" s="3107">
        <v>0.15</v>
      </c>
      <c r="F78" s="3107">
        <v>20</v>
      </c>
    </row>
    <row r="79" spans="1:7" ht="24">
      <c r="A79" s="3107">
        <v>7</v>
      </c>
      <c r="B79" s="3784"/>
      <c r="C79" s="3081" t="s">
        <v>2664</v>
      </c>
      <c r="D79" s="3081" t="s">
        <v>2665</v>
      </c>
      <c r="E79" s="3107">
        <v>0.15</v>
      </c>
      <c r="F79" s="3107">
        <v>20</v>
      </c>
    </row>
    <row r="80" spans="1:7" ht="24">
      <c r="A80" s="3107">
        <v>8</v>
      </c>
      <c r="B80" s="3784"/>
      <c r="C80" s="3081" t="s">
        <v>2666</v>
      </c>
      <c r="D80" s="3081" t="s">
        <v>2667</v>
      </c>
      <c r="E80" s="3107">
        <v>0.1</v>
      </c>
      <c r="F80" s="3107">
        <v>15</v>
      </c>
    </row>
    <row r="81" spans="1:6" ht="24">
      <c r="A81" s="3107">
        <v>9</v>
      </c>
      <c r="B81" s="3784"/>
      <c r="C81" s="3081" t="s">
        <v>2668</v>
      </c>
      <c r="D81" s="3081" t="s">
        <v>2669</v>
      </c>
      <c r="E81" s="3107">
        <v>0.1</v>
      </c>
      <c r="F81" s="3107">
        <v>15</v>
      </c>
    </row>
    <row r="82" spans="1:6" ht="24">
      <c r="A82" s="3107">
        <v>10</v>
      </c>
      <c r="B82" s="3784"/>
      <c r="C82" s="3081" t="s">
        <v>2670</v>
      </c>
      <c r="D82" s="3081" t="s">
        <v>2671</v>
      </c>
      <c r="E82" s="3107">
        <v>0.1</v>
      </c>
      <c r="F82" s="3107">
        <v>15</v>
      </c>
    </row>
    <row r="83" spans="1:6" ht="24">
      <c r="A83" s="3107">
        <v>11</v>
      </c>
      <c r="B83" s="3784"/>
      <c r="C83" s="3081" t="s">
        <v>2672</v>
      </c>
      <c r="D83" s="3081" t="s">
        <v>2673</v>
      </c>
      <c r="E83" s="3107">
        <v>0.1</v>
      </c>
      <c r="F83" s="3107">
        <v>15</v>
      </c>
    </row>
    <row r="84" spans="1:6" ht="24">
      <c r="A84" s="3107">
        <v>12</v>
      </c>
      <c r="B84" s="3784"/>
      <c r="C84" s="3081" t="s">
        <v>2674</v>
      </c>
      <c r="D84" s="3081" t="s">
        <v>2675</v>
      </c>
      <c r="E84" s="3107">
        <v>0.1</v>
      </c>
      <c r="F84" s="3107">
        <v>15</v>
      </c>
    </row>
    <row r="85" spans="1:6" ht="13.5">
      <c r="A85" s="3107">
        <v>13</v>
      </c>
      <c r="B85" s="3784"/>
      <c r="C85" s="3081" t="s">
        <v>2676</v>
      </c>
      <c r="D85" s="3081" t="s">
        <v>2677</v>
      </c>
      <c r="E85" s="3107">
        <v>0.1</v>
      </c>
      <c r="F85" s="3107">
        <v>15</v>
      </c>
    </row>
    <row r="86" spans="1:6" ht="13.5">
      <c r="A86" s="3107">
        <v>14</v>
      </c>
      <c r="B86" s="3784"/>
      <c r="C86" s="3081" t="s">
        <v>2678</v>
      </c>
      <c r="D86" s="3081" t="s">
        <v>2679</v>
      </c>
      <c r="E86" s="3107">
        <v>0.1</v>
      </c>
      <c r="F86" s="3107">
        <v>15</v>
      </c>
    </row>
    <row r="87" spans="1:6" ht="13.5">
      <c r="A87" s="3107">
        <v>15</v>
      </c>
      <c r="B87" s="3784"/>
      <c r="C87" s="3081" t="s">
        <v>2680</v>
      </c>
      <c r="D87" s="3081" t="s">
        <v>2681</v>
      </c>
      <c r="E87" s="3107">
        <v>0.1</v>
      </c>
      <c r="F87" s="3107">
        <v>15</v>
      </c>
    </row>
    <row r="88" spans="1:6" ht="24">
      <c r="A88" s="3107">
        <v>16</v>
      </c>
      <c r="B88" s="3784"/>
      <c r="C88" s="3081" t="s">
        <v>2682</v>
      </c>
      <c r="D88" s="3081" t="s">
        <v>2683</v>
      </c>
      <c r="E88" s="3107">
        <v>0.1</v>
      </c>
      <c r="F88" s="3107">
        <v>15</v>
      </c>
    </row>
    <row r="89" spans="1:6" ht="24">
      <c r="A89" s="3107">
        <v>17</v>
      </c>
      <c r="B89" s="3783"/>
      <c r="C89" s="3081" t="s">
        <v>2684</v>
      </c>
      <c r="D89" s="3081" t="s">
        <v>2685</v>
      </c>
      <c r="E89" s="3107">
        <v>0.1</v>
      </c>
      <c r="F89" s="3107">
        <v>15</v>
      </c>
    </row>
    <row r="90" spans="1:6" ht="13.5">
      <c r="A90" s="3107">
        <v>18</v>
      </c>
      <c r="B90" s="3782" t="s">
        <v>2686</v>
      </c>
      <c r="C90" s="3081" t="s">
        <v>2687</v>
      </c>
      <c r="D90" s="3081" t="s">
        <v>2688</v>
      </c>
      <c r="E90" s="3107">
        <v>0.2</v>
      </c>
      <c r="F90" s="3107">
        <v>25</v>
      </c>
    </row>
    <row r="91" spans="1:6" ht="24">
      <c r="A91" s="3107">
        <v>19</v>
      </c>
      <c r="B91" s="3784"/>
      <c r="C91" s="3081" t="s">
        <v>2689</v>
      </c>
      <c r="D91" s="3081" t="s">
        <v>2690</v>
      </c>
      <c r="E91" s="3107">
        <v>0.2</v>
      </c>
      <c r="F91" s="3107">
        <v>25</v>
      </c>
    </row>
    <row r="92" spans="1:6" ht="13.5">
      <c r="A92" s="3107">
        <v>20</v>
      </c>
      <c r="B92" s="3784"/>
      <c r="C92" s="3081" t="s">
        <v>2691</v>
      </c>
      <c r="D92" s="3081" t="s">
        <v>2692</v>
      </c>
      <c r="E92" s="3107">
        <v>0.15</v>
      </c>
      <c r="F92" s="3107">
        <v>20</v>
      </c>
    </row>
    <row r="93" spans="1:6" ht="13.5">
      <c r="A93" s="3107">
        <v>21</v>
      </c>
      <c r="B93" s="3784"/>
      <c r="C93" s="3081" t="s">
        <v>2693</v>
      </c>
      <c r="D93" s="3081" t="s">
        <v>2694</v>
      </c>
      <c r="E93" s="3107">
        <v>0.15</v>
      </c>
      <c r="F93" s="3107">
        <v>20</v>
      </c>
    </row>
    <row r="94" spans="1:6" ht="13.5">
      <c r="A94" s="3107">
        <v>22</v>
      </c>
      <c r="B94" s="3784"/>
      <c r="C94" s="3081" t="s">
        <v>2695</v>
      </c>
      <c r="D94" s="3081" t="s">
        <v>2696</v>
      </c>
      <c r="E94" s="3107">
        <v>0.15</v>
      </c>
      <c r="F94" s="3107">
        <v>20</v>
      </c>
    </row>
    <row r="95" spans="1:6" ht="36">
      <c r="A95" s="3107">
        <v>23</v>
      </c>
      <c r="B95" s="3784"/>
      <c r="C95" s="3081" t="s">
        <v>2697</v>
      </c>
      <c r="D95" s="3081" t="s">
        <v>2698</v>
      </c>
      <c r="E95" s="3107">
        <v>0.15</v>
      </c>
      <c r="F95" s="3107">
        <v>20</v>
      </c>
    </row>
    <row r="96" spans="1:6" ht="13.5">
      <c r="A96" s="3107">
        <v>24</v>
      </c>
      <c r="B96" s="3784"/>
      <c r="C96" s="3081" t="s">
        <v>2699</v>
      </c>
      <c r="D96" s="3081" t="s">
        <v>2700</v>
      </c>
      <c r="E96" s="3107">
        <v>0.1</v>
      </c>
      <c r="F96" s="3107">
        <v>15</v>
      </c>
    </row>
    <row r="97" spans="1:6" ht="13.5">
      <c r="A97" s="3107">
        <v>25</v>
      </c>
      <c r="B97" s="3784"/>
      <c r="C97" s="3081" t="s">
        <v>2701</v>
      </c>
      <c r="D97" s="3081" t="s">
        <v>2702</v>
      </c>
      <c r="E97" s="3107">
        <v>0.1</v>
      </c>
      <c r="F97" s="3107">
        <v>15</v>
      </c>
    </row>
    <row r="98" spans="1:6" ht="24">
      <c r="A98" s="3107">
        <v>26</v>
      </c>
      <c r="B98" s="3784"/>
      <c r="C98" s="3081" t="s">
        <v>2703</v>
      </c>
      <c r="D98" s="3081" t="s">
        <v>2704</v>
      </c>
      <c r="E98" s="3107">
        <v>0.1</v>
      </c>
      <c r="F98" s="3107">
        <v>15</v>
      </c>
    </row>
    <row r="99" spans="1:6" ht="24">
      <c r="A99" s="3107">
        <v>27</v>
      </c>
      <c r="B99" s="3784"/>
      <c r="C99" s="3081" t="s">
        <v>2705</v>
      </c>
      <c r="D99" s="3081" t="s">
        <v>2706</v>
      </c>
      <c r="E99" s="3107">
        <v>0.1</v>
      </c>
      <c r="F99" s="3107">
        <v>15</v>
      </c>
    </row>
    <row r="100" spans="1:6" ht="13.5">
      <c r="A100" s="3107">
        <v>28</v>
      </c>
      <c r="B100" s="3784"/>
      <c r="C100" s="3081" t="s">
        <v>2707</v>
      </c>
      <c r="D100" s="3081" t="s">
        <v>2708</v>
      </c>
      <c r="E100" s="3107">
        <v>0.1</v>
      </c>
      <c r="F100" s="3107">
        <v>15</v>
      </c>
    </row>
    <row r="101" spans="1:6" ht="13.5">
      <c r="A101" s="3107">
        <v>29</v>
      </c>
      <c r="B101" s="3784"/>
      <c r="C101" s="3081" t="s">
        <v>2709</v>
      </c>
      <c r="D101" s="3081" t="s">
        <v>2710</v>
      </c>
      <c r="E101" s="3107">
        <v>0.1</v>
      </c>
      <c r="F101" s="3107">
        <v>15</v>
      </c>
    </row>
    <row r="102" spans="1:6" ht="13.5">
      <c r="A102" s="3107">
        <v>30</v>
      </c>
      <c r="B102" s="3784"/>
      <c r="C102" s="3081" t="s">
        <v>2711</v>
      </c>
      <c r="D102" s="3081" t="s">
        <v>2712</v>
      </c>
      <c r="E102" s="3107">
        <v>0.1</v>
      </c>
      <c r="F102" s="3107">
        <v>15</v>
      </c>
    </row>
    <row r="103" spans="1:6" ht="24">
      <c r="A103" s="3107">
        <v>31</v>
      </c>
      <c r="B103" s="3784"/>
      <c r="C103" s="3081" t="s">
        <v>2713</v>
      </c>
      <c r="D103" s="3081" t="s">
        <v>2714</v>
      </c>
      <c r="E103" s="3107">
        <v>0.1</v>
      </c>
      <c r="F103" s="3107">
        <v>15</v>
      </c>
    </row>
    <row r="104" spans="1:6" ht="24">
      <c r="A104" s="3107">
        <v>32</v>
      </c>
      <c r="B104" s="3784"/>
      <c r="C104" s="3081" t="s">
        <v>2715</v>
      </c>
      <c r="D104" s="3081" t="s">
        <v>2716</v>
      </c>
      <c r="E104" s="3107">
        <v>0.1</v>
      </c>
      <c r="F104" s="3107">
        <v>15</v>
      </c>
    </row>
    <row r="105" spans="1:6" ht="24">
      <c r="A105" s="3107">
        <v>33</v>
      </c>
      <c r="B105" s="3784"/>
      <c r="C105" s="3081" t="s">
        <v>2717</v>
      </c>
      <c r="D105" s="3081" t="s">
        <v>2718</v>
      </c>
      <c r="E105" s="3107">
        <v>0.1</v>
      </c>
      <c r="F105" s="3107">
        <v>15</v>
      </c>
    </row>
    <row r="106" spans="1:6" ht="24">
      <c r="A106" s="3107">
        <v>34</v>
      </c>
      <c r="B106" s="3783"/>
      <c r="C106" s="3081" t="s">
        <v>2719</v>
      </c>
      <c r="D106" s="3081" t="s">
        <v>2720</v>
      </c>
      <c r="E106" s="3107">
        <v>0.1</v>
      </c>
      <c r="F106" s="3107">
        <v>15</v>
      </c>
    </row>
    <row r="107" spans="1:6" ht="24">
      <c r="A107" s="3107">
        <v>35</v>
      </c>
      <c r="B107" s="3782" t="s">
        <v>2721</v>
      </c>
      <c r="C107" s="3107" t="s">
        <v>2722</v>
      </c>
      <c r="D107" s="3081" t="s">
        <v>2723</v>
      </c>
      <c r="E107" s="3107">
        <v>0.15</v>
      </c>
      <c r="F107" s="3107">
        <v>20</v>
      </c>
    </row>
    <row r="108" spans="1:6" ht="13.5">
      <c r="A108" s="3107">
        <v>36</v>
      </c>
      <c r="B108" s="3784"/>
      <c r="C108" s="3107" t="s">
        <v>2724</v>
      </c>
      <c r="D108" s="3081" t="s">
        <v>2725</v>
      </c>
      <c r="E108" s="3107">
        <v>0.15</v>
      </c>
      <c r="F108" s="3107">
        <v>20</v>
      </c>
    </row>
    <row r="109" spans="1:6" ht="13.5">
      <c r="A109" s="3107">
        <v>37</v>
      </c>
      <c r="B109" s="3784"/>
      <c r="C109" s="3107" t="s">
        <v>2726</v>
      </c>
      <c r="D109" s="3081" t="s">
        <v>2727</v>
      </c>
      <c r="E109" s="3107">
        <v>0.15</v>
      </c>
      <c r="F109" s="3107">
        <v>20</v>
      </c>
    </row>
    <row r="110" spans="1:6" ht="13.5">
      <c r="A110" s="3107">
        <v>38</v>
      </c>
      <c r="B110" s="3784"/>
      <c r="C110" s="3107" t="s">
        <v>2728</v>
      </c>
      <c r="D110" s="3081" t="s">
        <v>2729</v>
      </c>
      <c r="E110" s="3107">
        <v>0.1</v>
      </c>
      <c r="F110" s="3107">
        <v>15</v>
      </c>
    </row>
    <row r="111" spans="1:6" ht="24">
      <c r="A111" s="3107">
        <v>39</v>
      </c>
      <c r="B111" s="3784"/>
      <c r="C111" s="3107" t="s">
        <v>2730</v>
      </c>
      <c r="D111" s="3081" t="s">
        <v>2731</v>
      </c>
      <c r="E111" s="3107">
        <v>0.1</v>
      </c>
      <c r="F111" s="3107">
        <v>15</v>
      </c>
    </row>
    <row r="112" spans="1:6" ht="24">
      <c r="A112" s="3107">
        <v>40</v>
      </c>
      <c r="B112" s="3783"/>
      <c r="C112" s="3107" t="s">
        <v>2732</v>
      </c>
      <c r="D112" s="3081" t="s">
        <v>2733</v>
      </c>
      <c r="E112" s="3107">
        <v>0.1</v>
      </c>
      <c r="F112" s="3107">
        <v>15</v>
      </c>
    </row>
    <row r="113" spans="1:6" ht="13.5">
      <c r="A113" s="3107">
        <v>41</v>
      </c>
      <c r="B113" s="3781" t="s">
        <v>2734</v>
      </c>
      <c r="C113" s="3107" t="s">
        <v>2735</v>
      </c>
      <c r="D113" s="3081" t="s">
        <v>2736</v>
      </c>
      <c r="E113" s="3107">
        <v>0.1</v>
      </c>
      <c r="F113" s="3107">
        <v>15</v>
      </c>
    </row>
    <row r="114" spans="1:6" ht="13.5">
      <c r="A114" s="3107">
        <v>42</v>
      </c>
      <c r="B114" s="3781"/>
      <c r="C114" s="3107" t="s">
        <v>2737</v>
      </c>
      <c r="D114" s="3081" t="s">
        <v>2738</v>
      </c>
      <c r="E114" s="3107">
        <v>0.1</v>
      </c>
      <c r="F114" s="3107">
        <v>15</v>
      </c>
    </row>
    <row r="115" spans="1:6" ht="24">
      <c r="A115" s="3107">
        <v>43</v>
      </c>
      <c r="B115" s="3781"/>
      <c r="C115" s="3107" t="s">
        <v>2739</v>
      </c>
      <c r="D115" s="3081" t="s">
        <v>2740</v>
      </c>
      <c r="E115" s="3107">
        <v>0.1</v>
      </c>
      <c r="F115" s="3107">
        <v>15</v>
      </c>
    </row>
    <row r="116" spans="1:6" ht="13.5">
      <c r="A116" s="3107">
        <v>44</v>
      </c>
      <c r="B116" s="3782" t="s">
        <v>2741</v>
      </c>
      <c r="C116" s="3107" t="s">
        <v>2742</v>
      </c>
      <c r="D116" s="3081" t="s">
        <v>2743</v>
      </c>
      <c r="E116" s="3107">
        <v>0.1</v>
      </c>
      <c r="F116" s="3107">
        <v>15</v>
      </c>
    </row>
    <row r="117" spans="1:6" ht="24">
      <c r="A117" s="3107">
        <v>45</v>
      </c>
      <c r="B117" s="3783"/>
      <c r="C117" s="3081" t="s">
        <v>2744</v>
      </c>
      <c r="D117" s="3081" t="s">
        <v>2745</v>
      </c>
      <c r="E117" s="3107">
        <v>0.1</v>
      </c>
      <c r="F117" s="3107">
        <v>15</v>
      </c>
    </row>
    <row r="118" spans="1:6" ht="24">
      <c r="A118" s="3107">
        <v>46</v>
      </c>
      <c r="B118" s="3782" t="s">
        <v>2746</v>
      </c>
      <c r="C118" s="3107" t="s">
        <v>2747</v>
      </c>
      <c r="D118" s="3081" t="s">
        <v>2748</v>
      </c>
      <c r="E118" s="3107">
        <v>0.1</v>
      </c>
      <c r="F118" s="3107">
        <v>15</v>
      </c>
    </row>
    <row r="119" spans="1:6" ht="24">
      <c r="A119" s="3107">
        <v>47</v>
      </c>
      <c r="B119" s="3783"/>
      <c r="C119" s="3107" t="s">
        <v>2749</v>
      </c>
      <c r="D119" s="3081" t="s">
        <v>2750</v>
      </c>
      <c r="E119" s="3107">
        <v>0.1</v>
      </c>
      <c r="F119" s="3107">
        <v>15</v>
      </c>
    </row>
    <row r="120" spans="1:6" ht="13.5">
      <c r="A120" s="3107">
        <v>48</v>
      </c>
      <c r="B120" s="3782" t="s">
        <v>2751</v>
      </c>
      <c r="C120" s="3107" t="s">
        <v>2752</v>
      </c>
      <c r="D120" s="3081" t="s">
        <v>2753</v>
      </c>
      <c r="E120" s="3107">
        <v>0.1</v>
      </c>
      <c r="F120" s="3107">
        <v>15</v>
      </c>
    </row>
    <row r="121" spans="1:6" ht="13.5">
      <c r="A121" s="3107">
        <v>49</v>
      </c>
      <c r="B121" s="3783"/>
      <c r="C121" s="3107" t="s">
        <v>2754</v>
      </c>
      <c r="D121" s="3081" t="s">
        <v>2755</v>
      </c>
      <c r="E121" s="3107">
        <v>0.1</v>
      </c>
      <c r="F121" s="3107">
        <v>15</v>
      </c>
    </row>
    <row r="122" spans="1:6" ht="24">
      <c r="A122" s="3107">
        <v>50</v>
      </c>
      <c r="B122" s="3781" t="s">
        <v>2756</v>
      </c>
      <c r="C122" s="3107" t="s">
        <v>2757</v>
      </c>
      <c r="D122" s="3081" t="s">
        <v>2758</v>
      </c>
      <c r="E122" s="3107">
        <v>0.1</v>
      </c>
      <c r="F122" s="3107">
        <v>15</v>
      </c>
    </row>
    <row r="123" spans="1:6" ht="24">
      <c r="A123" s="3107">
        <v>51</v>
      </c>
      <c r="B123" s="3781"/>
      <c r="C123" s="3107" t="s">
        <v>2759</v>
      </c>
      <c r="D123" s="3081" t="s">
        <v>2760</v>
      </c>
      <c r="E123" s="3107">
        <v>0.1</v>
      </c>
      <c r="F123" s="3107">
        <v>15</v>
      </c>
    </row>
    <row r="124" spans="1:6" ht="24">
      <c r="A124" s="3107">
        <v>52</v>
      </c>
      <c r="B124" s="3781" t="s">
        <v>2761</v>
      </c>
      <c r="C124" s="3107" t="s">
        <v>2762</v>
      </c>
      <c r="D124" s="3081" t="s">
        <v>2763</v>
      </c>
      <c r="E124" s="3107">
        <v>0.1</v>
      </c>
      <c r="F124" s="3107">
        <v>15</v>
      </c>
    </row>
    <row r="125" spans="1:6" ht="24">
      <c r="A125" s="3107">
        <v>53</v>
      </c>
      <c r="B125" s="3781"/>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81" t="s">
        <v>2769</v>
      </c>
      <c r="C127" s="3107" t="s">
        <v>2770</v>
      </c>
      <c r="D127" s="3081" t="s">
        <v>2771</v>
      </c>
      <c r="E127" s="3107">
        <v>0.1</v>
      </c>
      <c r="F127" s="3107">
        <v>15</v>
      </c>
    </row>
    <row r="128" spans="1:6" ht="13.5">
      <c r="A128" s="3107">
        <v>56</v>
      </c>
      <c r="B128" s="3781"/>
      <c r="C128" s="3107" t="s">
        <v>2772</v>
      </c>
      <c r="D128" s="3081" t="s">
        <v>2773</v>
      </c>
      <c r="E128" s="3107">
        <v>0.1</v>
      </c>
      <c r="F128" s="3107">
        <v>15</v>
      </c>
    </row>
    <row r="129" spans="1:6" ht="24">
      <c r="A129" s="3107">
        <v>57</v>
      </c>
      <c r="B129" s="3781"/>
      <c r="C129" s="3107" t="s">
        <v>2774</v>
      </c>
      <c r="D129" s="3081" t="s">
        <v>2775</v>
      </c>
      <c r="E129" s="3107">
        <v>0.1</v>
      </c>
      <c r="F129" s="3107">
        <v>15</v>
      </c>
    </row>
    <row r="130" spans="1:6" ht="24">
      <c r="A130" s="3107">
        <v>58</v>
      </c>
      <c r="B130" s="3781" t="s">
        <v>2776</v>
      </c>
      <c r="C130" s="3107" t="s">
        <v>2777</v>
      </c>
      <c r="D130" s="3081" t="s">
        <v>2778</v>
      </c>
      <c r="E130" s="3107">
        <v>0.1</v>
      </c>
      <c r="F130" s="3107">
        <v>15</v>
      </c>
    </row>
    <row r="131" spans="1:6" ht="13.5">
      <c r="A131" s="3107">
        <v>59</v>
      </c>
      <c r="B131" s="3781"/>
      <c r="C131" s="3107" t="s">
        <v>2779</v>
      </c>
      <c r="D131" s="3081" t="s">
        <v>2780</v>
      </c>
      <c r="E131" s="3107">
        <v>0.1</v>
      </c>
      <c r="F131" s="3107">
        <v>15</v>
      </c>
    </row>
    <row r="132" spans="1:6" ht="13.5">
      <c r="A132" s="3107">
        <v>60</v>
      </c>
      <c r="B132" s="3782" t="s">
        <v>2781</v>
      </c>
      <c r="C132" s="3107" t="s">
        <v>2782</v>
      </c>
      <c r="D132" s="3081" t="s">
        <v>2783</v>
      </c>
      <c r="E132" s="3107">
        <v>0.1</v>
      </c>
      <c r="F132" s="3107">
        <v>15</v>
      </c>
    </row>
    <row r="133" spans="1:6" ht="13.5">
      <c r="A133" s="3107">
        <v>61</v>
      </c>
      <c r="B133" s="3783"/>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81" t="s">
        <v>2789</v>
      </c>
      <c r="C135" s="3107" t="s">
        <v>2790</v>
      </c>
      <c r="D135" s="3081" t="s">
        <v>2791</v>
      </c>
      <c r="E135" s="3107">
        <v>0.1</v>
      </c>
      <c r="F135" s="3107">
        <v>15</v>
      </c>
    </row>
    <row r="136" spans="1:6" ht="13.5">
      <c r="A136" s="3107">
        <v>64</v>
      </c>
      <c r="B136" s="3781"/>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28938</v>
      </c>
      <c r="C2" s="2" t="s">
        <v>106</v>
      </c>
      <c r="D2" s="193"/>
      <c r="E2" s="193"/>
      <c r="F2" s="193"/>
      <c r="G2" s="193"/>
    </row>
    <row r="3" spans="1:7" s="194" customFormat="1" ht="18" customHeight="1" thickBot="1">
      <c r="A3" s="197" t="s">
        <v>58</v>
      </c>
      <c r="B3" s="198">
        <f ca="1">ROUND(B2*10000/'数据-汇总表'!E3,0)</f>
        <v>8172268</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1</v>
      </c>
      <c r="D10" s="836">
        <f>'数据-汇总表'!E6</f>
        <v>35.409999999999997</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v>
      </c>
      <c r="D19" s="840">
        <f>'数据-汇总表'!E3</f>
        <v>35.409999999999997</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1461</v>
      </c>
      <c r="D22" s="229">
        <f ca="1">C26</f>
        <v>6.9999999999999999E-4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1447</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14</v>
      </c>
      <c r="D25" s="232"/>
      <c r="E25" s="235"/>
      <c r="F25" s="233"/>
      <c r="G25" s="236" t="s">
        <v>83</v>
      </c>
    </row>
    <row r="26" spans="1:7" s="208" customFormat="1">
      <c r="A26" s="771" t="s">
        <v>350</v>
      </c>
      <c r="B26" s="209" t="s">
        <v>422</v>
      </c>
      <c r="C26" s="232">
        <f ca="1">ROUND(IF('数据-取费表'!B22&lt;=1,F21*F22*'数据-取费表'!B23/2,F21*(POWER((1+F22),'数据-取费表'!B23/2)-1)),4)</f>
        <v>6.9999999999999999E-4</v>
      </c>
      <c r="D26" s="232"/>
      <c r="E26" s="235"/>
      <c r="F26" s="233"/>
      <c r="G26" s="237"/>
    </row>
    <row r="27" spans="1:7" s="208" customFormat="1" ht="24.75">
      <c r="A27" s="768" t="s">
        <v>342</v>
      </c>
      <c r="B27" s="238" t="s">
        <v>85</v>
      </c>
      <c r="C27" s="239">
        <f>C28</f>
        <v>4205</v>
      </c>
      <c r="D27" s="229">
        <f>C29</f>
        <v>4.0000000000000001E-3</v>
      </c>
      <c r="E27" s="230" t="s">
        <v>99</v>
      </c>
      <c r="F27" s="240">
        <f>'数据-取费表'!Q16</f>
        <v>0.2</v>
      </c>
      <c r="G27" s="241" t="s">
        <v>431</v>
      </c>
    </row>
    <row r="28" spans="1:7" s="208" customFormat="1" ht="13.5" customHeight="1">
      <c r="A28" s="771" t="s">
        <v>349</v>
      </c>
      <c r="B28" s="242" t="s">
        <v>424</v>
      </c>
      <c r="C28" s="243">
        <f>ROUND((C5+C19+C20)*F27*'数据-取费表'!B21/'数据-取费表'!B20,0)</f>
        <v>4205</v>
      </c>
      <c r="D28" s="229"/>
      <c r="E28" s="230"/>
      <c r="F28" s="240"/>
      <c r="G28" s="241"/>
    </row>
    <row r="29" spans="1:7" s="208" customFormat="1" ht="13.5" customHeight="1">
      <c r="A29" s="771" t="s">
        <v>347</v>
      </c>
      <c r="B29" s="242" t="s">
        <v>425</v>
      </c>
      <c r="C29" s="232">
        <f>ROUND(C21*F27*'数据-取费表'!B21/'数据-取费表'!B20,4)</f>
        <v>4.0000000000000001E-3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28918</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15</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14</v>
      </c>
      <c r="D34" s="211"/>
      <c r="E34" s="214"/>
      <c r="F34" s="251">
        <f>IF('数据-取费表'!B24=0,1,'数据-取费表'!N16)</f>
        <v>1</v>
      </c>
      <c r="G34" s="213" t="s">
        <v>89</v>
      </c>
    </row>
    <row r="35" spans="1:7" ht="13.5" customHeight="1">
      <c r="A35" s="771" t="s">
        <v>351</v>
      </c>
      <c r="B35" s="209" t="s">
        <v>33</v>
      </c>
      <c r="C35" s="214">
        <f>ROUND(C34*F35,0)</f>
        <v>0</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1</v>
      </c>
      <c r="D37" s="211">
        <f>'数据-汇总表'!E3</f>
        <v>35.409999999999997</v>
      </c>
      <c r="E37" s="243">
        <f>'数据-取费表'!B35</f>
        <v>200</v>
      </c>
      <c r="F37" s="253"/>
      <c r="G37" s="255" t="s">
        <v>92</v>
      </c>
    </row>
    <row r="38" spans="1:7" ht="13.5" customHeight="1">
      <c r="A38" s="771" t="s">
        <v>354</v>
      </c>
      <c r="B38" s="209" t="s">
        <v>36</v>
      </c>
      <c r="C38" s="214">
        <f>ROUND(C34*F38,0)</f>
        <v>0</v>
      </c>
      <c r="D38" s="214"/>
      <c r="E38" s="214"/>
      <c r="F38" s="253">
        <f>'数据-取费表'!B36</f>
        <v>1.4999999999999999E-2</v>
      </c>
      <c r="G38" s="213" t="s">
        <v>90</v>
      </c>
    </row>
    <row r="39" spans="1:7" s="208" customFormat="1" ht="13.5" customHeight="1">
      <c r="A39" s="768" t="s">
        <v>338</v>
      </c>
      <c r="B39" s="204" t="s">
        <v>77</v>
      </c>
      <c r="C39" s="226">
        <f>ROUND(C33*F20,0)</f>
        <v>0</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1</v>
      </c>
      <c r="D41" s="229">
        <f ca="1">C44</f>
        <v>6.9999999999999999E-4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1</v>
      </c>
      <c r="D42" s="232"/>
      <c r="E42" s="232"/>
      <c r="F42" s="233"/>
      <c r="G42" s="3674" t="s">
        <v>94</v>
      </c>
    </row>
    <row r="43" spans="1:7" ht="13.5" customHeight="1">
      <c r="A43" s="771" t="s">
        <v>347</v>
      </c>
      <c r="B43" s="209" t="s">
        <v>426</v>
      </c>
      <c r="C43" s="232">
        <f ca="1">ROUND(IF('数据-取费表'!B22&lt;=1,C39*F22*'数据-取费表'!B21/2,C39*(POWER((1+F22),'数据-取费表'!B21/2)-1)),0)</f>
        <v>0</v>
      </c>
      <c r="D43" s="232"/>
      <c r="E43" s="232"/>
      <c r="F43" s="233"/>
      <c r="G43" s="3675"/>
    </row>
    <row r="44" spans="1:7" ht="13.5" customHeight="1">
      <c r="A44" s="771" t="s">
        <v>348</v>
      </c>
      <c r="B44" s="209" t="s">
        <v>428</v>
      </c>
      <c r="C44" s="232">
        <f ca="1">ROUND(IF('数据-取费表'!B22&lt;=1,C40*F22*'数据-取费表'!B21/2,C40*(POWER((1+F22),'数据-取费表'!B21/2)-1)),4)</f>
        <v>6.9999999999999999E-4</v>
      </c>
      <c r="D44" s="232"/>
      <c r="E44" s="232"/>
      <c r="F44" s="233"/>
      <c r="G44" s="3676"/>
    </row>
    <row r="45" spans="1:7" s="208" customFormat="1" ht="13.5" customHeight="1">
      <c r="A45" s="768" t="s">
        <v>341</v>
      </c>
      <c r="B45" s="238" t="s">
        <v>85</v>
      </c>
      <c r="C45" s="239">
        <f>C46</f>
        <v>3</v>
      </c>
      <c r="D45" s="229">
        <f>C47</f>
        <v>4.0000000000000001E-3</v>
      </c>
      <c r="E45" s="230" t="s">
        <v>102</v>
      </c>
      <c r="F45" s="240"/>
      <c r="G45" s="241" t="s">
        <v>434</v>
      </c>
    </row>
    <row r="46" spans="1:7" s="208" customFormat="1" ht="13.5" customHeight="1">
      <c r="A46" s="771" t="s">
        <v>349</v>
      </c>
      <c r="B46" s="242" t="s">
        <v>427</v>
      </c>
      <c r="C46" s="243">
        <f>ROUND((C33+C39)*F27,0)</f>
        <v>3</v>
      </c>
      <c r="D46" s="257"/>
      <c r="E46" s="230"/>
      <c r="F46" s="240"/>
      <c r="G46" s="241"/>
    </row>
    <row r="47" spans="1:7" s="208" customFormat="1" ht="13.5" customHeight="1">
      <c r="A47" s="771" t="s">
        <v>347</v>
      </c>
      <c r="B47" s="242" t="s">
        <v>429</v>
      </c>
      <c r="C47" s="232">
        <f>ROUND(C40*F27,4)</f>
        <v>4.0000000000000001E-3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21</v>
      </c>
      <c r="D49" s="226"/>
      <c r="E49" s="226"/>
      <c r="F49" s="258"/>
      <c r="G49" s="228" t="s">
        <v>435</v>
      </c>
    </row>
    <row r="50" spans="1:7" s="252" customFormat="1" ht="24">
      <c r="A50" s="768" t="s">
        <v>344</v>
      </c>
      <c r="B50" s="204" t="s">
        <v>97</v>
      </c>
      <c r="C50" s="226"/>
      <c r="D50" s="226"/>
      <c r="E50" s="226"/>
      <c r="F50" s="258">
        <f>IF('数据-取费表'!B24=0,'数据-取费表'!N16,1)</f>
        <v>0.96</v>
      </c>
      <c r="G50" s="241" t="s">
        <v>98</v>
      </c>
    </row>
    <row r="51" spans="1:7" ht="16.5" customHeight="1">
      <c r="A51" s="768" t="s">
        <v>345</v>
      </c>
      <c r="B51" s="204" t="s">
        <v>105</v>
      </c>
      <c r="C51" s="226">
        <f ca="1">ROUND(C49*F50,0)</f>
        <v>20</v>
      </c>
      <c r="D51" s="226"/>
      <c r="E51" s="226"/>
      <c r="F51" s="258"/>
      <c r="G51" s="228" t="s">
        <v>37</v>
      </c>
    </row>
    <row r="52" spans="1:7" s="202" customFormat="1" ht="16.5" thickBot="1">
      <c r="A52" s="259" t="s">
        <v>38</v>
      </c>
      <c r="B52" s="260"/>
      <c r="C52" s="261">
        <f ca="1">C31+C51</f>
        <v>28938</v>
      </c>
      <c r="D52" s="260"/>
      <c r="E52" s="260"/>
      <c r="F52" s="260"/>
      <c r="G52" s="262"/>
    </row>
    <row r="55" spans="1:7" ht="15">
      <c r="B55" s="264" t="s">
        <v>39</v>
      </c>
      <c r="C55" s="265"/>
    </row>
    <row r="56" spans="1:7">
      <c r="B56" s="267" t="s">
        <v>40</v>
      </c>
      <c r="C56" s="268">
        <f ca="1">ROUND(C51/C52,3)</f>
        <v>1E-3</v>
      </c>
    </row>
    <row r="57" spans="1:7">
      <c r="B57" s="267" t="s">
        <v>41</v>
      </c>
      <c r="C57" s="26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4"/>
      <c r="B4" s="3476" t="s">
        <v>917</v>
      </c>
      <c r="C4" s="3476"/>
      <c r="D4" s="3476"/>
      <c r="E4" s="1484"/>
    </row>
    <row r="5" spans="1:5" ht="16.5" thickTop="1">
      <c r="A5" s="1482"/>
      <c r="B5" s="3474" t="s">
        <v>909</v>
      </c>
      <c r="C5" s="1485" t="s">
        <v>910</v>
      </c>
      <c r="D5" s="841">
        <f ca="1">结果表!H101</f>
        <v>88</v>
      </c>
      <c r="E5" s="1482"/>
    </row>
    <row r="6" spans="1:5" ht="15.75">
      <c r="A6" s="1482"/>
      <c r="B6" s="3474"/>
      <c r="C6" s="1485" t="s">
        <v>911</v>
      </c>
      <c r="D6" s="841" t="str">
        <f ca="1">NUMBERSTRING(INT(D5*10000),2)&amp;"元整"</f>
        <v>捌拾捌万元整</v>
      </c>
      <c r="E6" s="1482"/>
    </row>
    <row r="7" spans="1:5" ht="15.75">
      <c r="A7" s="1482"/>
      <c r="B7" s="3479"/>
      <c r="C7" s="1486" t="s">
        <v>912</v>
      </c>
      <c r="D7" s="842">
        <f ca="1">结果表!H102</f>
        <v>24899</v>
      </c>
      <c r="E7" s="1482"/>
    </row>
    <row r="8" spans="1:5" ht="15.75">
      <c r="A8" s="1482"/>
      <c r="B8" s="3480" t="str">
        <f>结果表!E103</f>
        <v>2.估价师知悉的法定优先受偿款</v>
      </c>
      <c r="C8" s="1487" t="s">
        <v>913</v>
      </c>
      <c r="D8" s="842">
        <f>结果表!H103</f>
        <v>0</v>
      </c>
      <c r="E8" s="1482"/>
    </row>
    <row r="9" spans="1:5" ht="15.75">
      <c r="A9" s="1482"/>
      <c r="B9" s="3482"/>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3" t="str">
        <f>结果表!E107</f>
        <v>3.房地产抵押价值</v>
      </c>
      <c r="C13" s="1490" t="s">
        <v>910</v>
      </c>
      <c r="D13" s="844">
        <f ca="1">结果表!H107</f>
        <v>88</v>
      </c>
      <c r="E13" s="1482"/>
    </row>
    <row r="14" spans="1:5" ht="15.75">
      <c r="A14" s="1482"/>
      <c r="B14" s="3474"/>
      <c r="C14" s="1485" t="s">
        <v>911</v>
      </c>
      <c r="D14" s="841" t="str">
        <f ca="1">NUMBERSTRING(INT(D13*10000),2)&amp;"元整"</f>
        <v>捌拾捌万元整</v>
      </c>
      <c r="E14" s="1482"/>
    </row>
    <row r="15" spans="1:5" ht="15">
      <c r="A15" s="1482"/>
      <c r="B15" s="3479"/>
      <c r="C15" s="1486" t="s">
        <v>921</v>
      </c>
      <c r="D15" s="850">
        <f ca="1">结果表!H108</f>
        <v>24899</v>
      </c>
      <c r="E15" s="1482"/>
    </row>
    <row r="16" spans="1:5" ht="15">
      <c r="A16" s="1482"/>
      <c r="B16" s="3480" t="str">
        <f>结果表!E109</f>
        <v>——</v>
      </c>
      <c r="C16" s="1490" t="s">
        <v>922</v>
      </c>
      <c r="D16" s="1491" t="str">
        <f>结果表!H109</f>
        <v>——</v>
      </c>
      <c r="E16" s="1482"/>
    </row>
    <row r="17" spans="1:5" ht="15.75">
      <c r="A17" s="1482"/>
      <c r="B17" s="3481"/>
      <c r="C17" s="1485" t="s">
        <v>923</v>
      </c>
      <c r="D17" s="841" t="e">
        <f>NUMBERSTRING(INT(D16*10000),2)&amp;"元整"</f>
        <v>#VALUE!</v>
      </c>
      <c r="E17" s="1482"/>
    </row>
    <row r="18" spans="1:5" ht="15">
      <c r="A18" s="1482"/>
      <c r="B18" s="3482"/>
      <c r="C18" s="1486" t="s">
        <v>912</v>
      </c>
      <c r="D18" s="850" t="str">
        <f>结果表!H110</f>
        <v>——</v>
      </c>
      <c r="E18" s="1482"/>
    </row>
    <row r="19" spans="1:5" ht="15.75">
      <c r="A19" s="1482"/>
      <c r="B19" s="3473" t="str">
        <f>结果表!E111</f>
        <v>4.抵押净值</v>
      </c>
      <c r="C19" s="1490" t="s">
        <v>910</v>
      </c>
      <c r="D19" s="842">
        <f ca="1">结果表!H111</f>
        <v>81</v>
      </c>
      <c r="E19" s="1482"/>
    </row>
    <row r="20" spans="1:5" ht="15.75">
      <c r="A20" s="1482"/>
      <c r="B20" s="3474"/>
      <c r="C20" s="1485" t="s">
        <v>923</v>
      </c>
      <c r="D20" s="841" t="str">
        <f ca="1">NUMBERSTRING(INT(D19*10000),2)&amp;"元整"</f>
        <v>捌拾壹万元整</v>
      </c>
      <c r="E20" s="1482"/>
    </row>
    <row r="21" spans="1:5" ht="15.75" thickBot="1">
      <c r="A21" s="1482"/>
      <c r="B21" s="3475"/>
      <c r="C21" s="1492" t="s">
        <v>921</v>
      </c>
      <c r="D21" s="851">
        <f ca="1">结果表!H112</f>
        <v>22875</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5" t="s">
        <v>2839</v>
      </c>
      <c r="B1" s="3795"/>
      <c r="C1" s="3795"/>
      <c r="D1" s="3795"/>
      <c r="E1" s="3795"/>
      <c r="F1" s="3795"/>
      <c r="G1" s="3796"/>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3"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4"/>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7" t="s">
        <v>3181</v>
      </c>
      <c r="B1" s="3797"/>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8" t="s">
        <v>3232</v>
      </c>
      <c r="B1" s="3798"/>
      <c r="C1" s="3798"/>
      <c r="D1" s="3798"/>
      <c r="E1" s="3798"/>
      <c r="F1" s="3799"/>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45345</v>
      </c>
      <c r="B1" s="3199" t="s">
        <v>3372</v>
      </c>
      <c r="C1" s="3200"/>
      <c r="D1" s="3200"/>
      <c r="E1" s="3200"/>
      <c r="F1" s="3200"/>
      <c r="G1" s="3200"/>
      <c r="H1" s="3200"/>
      <c r="I1" s="3200"/>
      <c r="J1" s="3154"/>
      <c r="K1" s="3200" t="s">
        <v>454</v>
      </c>
      <c r="L1" s="3200"/>
      <c r="M1" s="3200"/>
      <c r="N1" s="3200"/>
      <c r="O1" s="3200"/>
      <c r="P1" s="3200"/>
      <c r="Q1" s="3154"/>
      <c r="R1" s="3800" t="s">
        <v>456</v>
      </c>
      <c r="S1" s="3801"/>
      <c r="T1" s="3801"/>
      <c r="U1" s="3801"/>
      <c r="V1" s="3801"/>
      <c r="W1" s="3801"/>
      <c r="X1" s="3154"/>
      <c r="Y1" s="3800" t="s">
        <v>457</v>
      </c>
      <c r="Z1" s="3801"/>
      <c r="AA1" s="3801"/>
      <c r="AB1" s="3801"/>
      <c r="AC1" s="3801"/>
      <c r="AD1" s="3801"/>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800" t="s">
        <v>2827</v>
      </c>
      <c r="S23" s="3801"/>
      <c r="T23" s="3801"/>
      <c r="U23" s="3801"/>
      <c r="V23" s="3801"/>
      <c r="W23" s="3801"/>
      <c r="X23" s="3154"/>
      <c r="Y23" s="3800" t="s">
        <v>2828</v>
      </c>
      <c r="Z23" s="3801"/>
      <c r="AA23" s="3801"/>
      <c r="AB23" s="3801"/>
      <c r="AC23" s="3801"/>
      <c r="AD23" s="3801"/>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3">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3"/>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3"/>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3"/>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3"/>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3"/>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3"/>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4"/>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2">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3"/>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3"/>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4"/>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2">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3"/>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3"/>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4"/>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2">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3"/>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3"/>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4"/>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2">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3">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3">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4">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2">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3">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3">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4">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2">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3">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3">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4">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2">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3">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3">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4">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2">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3">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3">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4">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2">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3">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3">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4">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2">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3">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3">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4">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2">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3">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3">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4">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2">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3">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3">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4">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2">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3">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3">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4">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45345</v>
      </c>
      <c r="D1" s="1293" t="s">
        <v>603</v>
      </c>
      <c r="E1" s="1288">
        <f>'数据-取费表'!B22</f>
        <v>2</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45" t="s">
        <v>925</v>
      </c>
      <c r="E3" s="845" t="s">
        <v>931</v>
      </c>
      <c r="F3" s="845" t="s">
        <v>925</v>
      </c>
      <c r="G3" s="845" t="s">
        <v>926</v>
      </c>
      <c r="H3" s="845" t="s">
        <v>925</v>
      </c>
      <c r="I3" s="845" t="s">
        <v>926</v>
      </c>
    </row>
    <row r="4" spans="1:9" ht="15">
      <c r="A4" s="1496" t="str">
        <f>项目基本情况!S2</f>
        <v>太原市保利东郡房地产</v>
      </c>
      <c r="B4" s="845">
        <f>项目基本情况!C17</f>
        <v>35.409999999999997</v>
      </c>
      <c r="C4" s="845">
        <f>项目基本情况!C18</f>
        <v>0</v>
      </c>
      <c r="D4" s="845">
        <f ca="1">结果表!D118</f>
        <v>66</v>
      </c>
      <c r="E4" s="845">
        <f ca="1">结果表!E118</f>
        <v>18674</v>
      </c>
      <c r="F4" s="845">
        <f ca="1">结果表!F118</f>
        <v>22</v>
      </c>
      <c r="G4" s="845">
        <f ca="1">结果表!G118</f>
        <v>6225</v>
      </c>
      <c r="H4" s="845">
        <f ca="1">结果表!H118</f>
        <v>88</v>
      </c>
      <c r="I4" s="845">
        <f ca="1">结果表!I118</f>
        <v>24899</v>
      </c>
    </row>
    <row r="5" spans="1:9" ht="30" customHeight="1">
      <c r="A5" s="3486" t="s">
        <v>927</v>
      </c>
      <c r="B5" s="3486"/>
      <c r="C5" s="3486"/>
      <c r="D5" s="3486" t="str">
        <f ca="1">结果表!D119</f>
        <v>陆拾陆万元整</v>
      </c>
      <c r="E5" s="3486"/>
      <c r="F5" s="3486" t="str">
        <f ca="1">结果表!F119</f>
        <v>贰拾贰万元整</v>
      </c>
      <c r="G5" s="3486"/>
      <c r="H5" s="3486" t="str">
        <f ca="1">结果表!H119</f>
        <v>捌拾捌万元整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88</v>
      </c>
      <c r="E8" s="3485"/>
      <c r="F8" s="3485"/>
      <c r="G8" s="3485"/>
      <c r="H8" s="3485"/>
      <c r="I8" s="3485"/>
    </row>
    <row r="9" spans="1:9" ht="15">
      <c r="A9" s="3486" t="s">
        <v>927</v>
      </c>
      <c r="B9" s="3486"/>
      <c r="C9" s="3486"/>
      <c r="D9" s="3486" t="str">
        <f ca="1">结果表!D123</f>
        <v>捌拾捌万元整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抵押净值</v>
      </c>
      <c r="B12" s="3485"/>
      <c r="C12" s="3485"/>
      <c r="D12" s="3485">
        <f ca="1">结果表!D126</f>
        <v>81</v>
      </c>
      <c r="E12" s="3485"/>
      <c r="F12" s="3485"/>
      <c r="G12" s="3485"/>
      <c r="H12" s="3485"/>
      <c r="I12" s="3485"/>
    </row>
    <row r="13" spans="1:9" ht="15.75" thickBot="1">
      <c r="A13" s="3483" t="s">
        <v>927</v>
      </c>
      <c r="B13" s="3483"/>
      <c r="C13" s="3483"/>
      <c r="D13" s="3483" t="str">
        <f ca="1">结果表!D127</f>
        <v>捌拾壹万元整</v>
      </c>
      <c r="E13" s="3483"/>
      <c r="F13" s="3483"/>
      <c r="G13" s="3483"/>
      <c r="H13" s="3483"/>
      <c r="I13" s="3483"/>
    </row>
    <row r="14" spans="1:9" ht="15" thickTop="1">
      <c r="A14" s="3484" t="s">
        <v>932</v>
      </c>
      <c r="B14" s="3484"/>
      <c r="C14" s="3484"/>
      <c r="D14" s="3484"/>
      <c r="E14" s="3484"/>
      <c r="F14" s="3484"/>
      <c r="G14" s="3484"/>
      <c r="H14" s="3484"/>
      <c r="I14" s="3484"/>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8" t="s">
        <v>949</v>
      </c>
      <c r="B1" s="3498"/>
      <c r="C1" s="3498"/>
      <c r="D1" s="3498"/>
    </row>
    <row r="2" spans="1:4" ht="18">
      <c r="A2" s="3499" t="s">
        <v>933</v>
      </c>
      <c r="B2" s="3499"/>
      <c r="C2" s="3499"/>
      <c r="D2" s="3499"/>
    </row>
    <row r="3" spans="1:4" ht="18.75">
      <c r="A3" s="1500" t="s">
        <v>934</v>
      </c>
      <c r="B3" s="1500" t="s">
        <v>935</v>
      </c>
      <c r="C3" s="1500" t="s">
        <v>936</v>
      </c>
      <c r="D3" s="1500" t="s">
        <v>937</v>
      </c>
    </row>
    <row r="4" spans="1:4" ht="56.25" customHeight="1">
      <c r="A4" s="1501" t="str">
        <f>项目基本情况!B4</f>
        <v>吴薇</v>
      </c>
      <c r="B4" s="1502">
        <f ca="1">项目基本情况!C4</f>
        <v>1419970001</v>
      </c>
      <c r="C4" s="1503"/>
      <c r="D4" s="1504" t="s">
        <v>938</v>
      </c>
    </row>
    <row r="5" spans="1:4" ht="56.25" customHeight="1">
      <c r="A5" s="1501" t="str">
        <f>项目基本情况!D4</f>
        <v>郑燚</v>
      </c>
      <c r="B5" s="1502">
        <f ca="1">项目基本情况!E4</f>
        <v>1120070131</v>
      </c>
      <c r="C5" s="1505"/>
      <c r="D5" s="1504" t="s">
        <v>938</v>
      </c>
    </row>
    <row r="6" spans="1:4" ht="18">
      <c r="A6" s="3499" t="s">
        <v>939</v>
      </c>
      <c r="B6" s="3499"/>
      <c r="C6" s="3499"/>
      <c r="D6" s="3499"/>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6" t="s">
        <v>956</v>
      </c>
      <c r="B15" s="3501" t="s">
        <v>109</v>
      </c>
      <c r="C15" s="3502"/>
    </row>
    <row r="16" spans="1:7" ht="13.5">
      <c r="A16" s="3507"/>
      <c r="B16" s="3501" t="s">
        <v>42</v>
      </c>
      <c r="C16" s="3502"/>
    </row>
    <row r="17" spans="1:3" ht="13.5">
      <c r="A17" s="3507"/>
      <c r="B17" s="3504" t="s">
        <v>957</v>
      </c>
      <c r="C17" s="1523" t="s">
        <v>956</v>
      </c>
    </row>
    <row r="18" spans="1:3" ht="13.5">
      <c r="A18" s="3507"/>
      <c r="B18" s="3504"/>
      <c r="C18" s="1523" t="s">
        <v>958</v>
      </c>
    </row>
    <row r="19" spans="1:3" ht="13.5">
      <c r="A19" s="3507"/>
      <c r="B19" s="3504"/>
      <c r="C19" s="1523" t="s">
        <v>959</v>
      </c>
    </row>
    <row r="20" spans="1:3" ht="13.5">
      <c r="A20" s="3508"/>
      <c r="B20" s="3503" t="s">
        <v>960</v>
      </c>
      <c r="C20" s="3502"/>
    </row>
    <row r="21" spans="1:3" ht="13.5">
      <c r="A21" s="1524" t="s">
        <v>961</v>
      </c>
      <c r="B21" s="1525"/>
      <c r="C21" s="1526"/>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3" t="s">
        <v>967</v>
      </c>
    </row>
    <row r="26" spans="1:3" ht="13.5">
      <c r="A26" s="3505"/>
      <c r="B26" s="3504"/>
      <c r="C26" s="1523" t="s">
        <v>968</v>
      </c>
    </row>
    <row r="27" spans="1:3" ht="13.5">
      <c r="A27" s="3505"/>
      <c r="B27" s="3504"/>
      <c r="C27" s="1523" t="s">
        <v>969</v>
      </c>
    </row>
    <row r="28" spans="1:3" ht="13.5">
      <c r="A28" s="3505"/>
      <c r="B28" s="3504"/>
      <c r="C28" s="1523" t="s">
        <v>970</v>
      </c>
    </row>
    <row r="29" spans="1:3" ht="13.5">
      <c r="A29" s="3505"/>
      <c r="B29" s="3504"/>
      <c r="C29" s="1523" t="s">
        <v>971</v>
      </c>
    </row>
    <row r="30" spans="1:3" ht="13.5">
      <c r="A30" s="3505"/>
      <c r="B30" s="3504"/>
      <c r="C30" s="1523" t="s">
        <v>972</v>
      </c>
    </row>
    <row r="31" spans="1:3" ht="13.5">
      <c r="A31" s="3505"/>
      <c r="B31" s="3504"/>
      <c r="C31" s="1523" t="s">
        <v>973</v>
      </c>
    </row>
    <row r="32" spans="1:3" ht="13.5">
      <c r="A32" s="3505"/>
      <c r="B32" s="3504"/>
      <c r="C32" s="1523" t="s">
        <v>974</v>
      </c>
    </row>
    <row r="33" spans="1:3" ht="13.5">
      <c r="A33" s="3505"/>
      <c r="B33" s="350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45345</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34"/>
      <c r="E18" s="3511" t="s">
        <v>2162</v>
      </c>
      <c r="F18" s="3510"/>
      <c r="G18" s="3510"/>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2024-02-23T03:14:21Z</dcterms:modified>
</cp:coreProperties>
</file>