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30" windowWidth="20730" windowHeight="1173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汇总表" sheetId="82" r:id="rId19"/>
    <sheet name="租金案例" sheetId="80" r:id="rId20"/>
    <sheet name="比较法-其他办公" sheetId="34" r:id="rId21"/>
    <sheet name="收益法 (倒推)-其他办公" sheetId="79" r:id="rId22"/>
    <sheet name="成本法-其他办公（1995年）" sheetId="68" r:id="rId23"/>
    <sheet name="基准地价修正" sheetId="43" r:id="rId24"/>
    <sheet name="比较法-综合楼" sheetId="81" r:id="rId25"/>
    <sheet name="收益法 (倒推)-综合楼" sheetId="77" r:id="rId26"/>
    <sheet name="假设开发法" sheetId="12" state="hidden" r:id="rId27"/>
    <sheet name="成本法 (元)" sheetId="69" state="hidden" r:id="rId28"/>
    <sheet name="成本法-综合楼（2004年）" sheetId="78" r:id="rId29"/>
    <sheet name="收益法" sheetId="15" state="hidden"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0" hidden="1">'比较法-其他办公'!$A$1:$L$50</definedName>
    <definedName name="_xlnm._FilterDatabase" localSheetId="34" hidden="1">'比较法-商业'!$A$1:$L$49</definedName>
    <definedName name="_xlnm._FilterDatabase" localSheetId="33" hidden="1">'比较法-住宅'!$A$1:$L$49</definedName>
    <definedName name="_xlnm._FilterDatabase" localSheetId="24" hidden="1">'比较法-综合楼'!$A$1:$L$50</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1">'收益法 (倒推)-其他办公'!$A$1:$I$42</definedName>
    <definedName name="_xlnm.Print_Area" localSheetId="25">'收益法 (倒推)-综合楼'!$A$1:$I$42</definedName>
    <definedName name="_xlnm.Print_Area" localSheetId="30">'收益法 (元)'!$A$1:$AK$69</definedName>
    <definedName name="_xlnm.Print_Area" localSheetId="13">'数据-汇总表'!$A$1:$P$32</definedName>
    <definedName name="八级">区片价!$O$1:$O$40</definedName>
    <definedName name="办公层高" localSheetId="24">'比较法-综合楼'!$B$119:$M$119</definedName>
    <definedName name="办公层高" localSheetId="21">'[1]比较法-办公'!$B$119:$M$119</definedName>
    <definedName name="办公层高" localSheetId="25">'[1]比较法-办公'!$B$119:$M$119</definedName>
    <definedName name="办公层高">'比较法-其他办公'!$B$119:$M$119</definedName>
    <definedName name="办公朝向" localSheetId="24">'比较法-综合楼'!$B$91:$M$91</definedName>
    <definedName name="办公朝向" localSheetId="21">'[1]比较法-办公'!$B$91:$M$91</definedName>
    <definedName name="办公朝向" localSheetId="25">'[1]比较法-办公'!$B$91:$M$91</definedName>
    <definedName name="办公朝向">'比较法-其他办公'!$B$91:$M$91</definedName>
    <definedName name="办公道路级别" localSheetId="24">'比较法-综合楼'!$B$87:$M$87</definedName>
    <definedName name="办公道路级别" localSheetId="21">'[1]比较法-办公'!$B$87:$M$87</definedName>
    <definedName name="办公道路级别" localSheetId="25">'[1]比较法-办公'!$B$87:$M$87</definedName>
    <definedName name="办公道路级别">'比较法-其他办公'!$B$87:$M$87</definedName>
    <definedName name="办公公共部分装修" localSheetId="24">'比较法-综合楼'!$B$108:$M$108</definedName>
    <definedName name="办公公共部分装修" localSheetId="21">'[1]比较法-办公'!$B$108:$M$108</definedName>
    <definedName name="办公公共部分装修" localSheetId="25">'[1]比较法-办公'!$B$108:$M$108</definedName>
    <definedName name="办公公共部分装修">'比较法-其他办公'!$B$108:$M$108</definedName>
    <definedName name="办公基础设施水平" localSheetId="24">'比较法-综合楼'!$B$117:$M$117</definedName>
    <definedName name="办公基础设施水平" localSheetId="21">'[1]比较法-办公'!$B$117:$M$117</definedName>
    <definedName name="办公基础设施水平" localSheetId="25">'[1]比较法-办公'!$B$117:$M$117</definedName>
    <definedName name="办公基础设施水平">'比较法-其他办公'!$B$117:$M$117</definedName>
    <definedName name="办公集聚程度" localSheetId="21">[1]定义!$M$1:$M$6</definedName>
    <definedName name="办公集聚程度" localSheetId="25">[1]定义!$M$1:$M$6</definedName>
    <definedName name="办公集聚程度">定义!$M$1:$M$6</definedName>
    <definedName name="办公建筑结构" localSheetId="24">'比较法-综合楼'!$B$106:$M$106</definedName>
    <definedName name="办公建筑结构" localSheetId="21">'[1]比较法-办公'!$B$106:$M$106</definedName>
    <definedName name="办公建筑结构" localSheetId="25">'[1]比较法-办公'!$B$106:$M$106</definedName>
    <definedName name="办公建筑结构">'比较法-其他办公'!$B$106:$M$106</definedName>
    <definedName name="办公建筑类型" localSheetId="24">'比较法-综合楼'!$B$101:$M$101</definedName>
    <definedName name="办公建筑类型" localSheetId="21">'[1]比较法-办公'!$B$101:$M$101</definedName>
    <definedName name="办公建筑类型" localSheetId="25">'[1]比较法-办公'!$B$101:$M$101</definedName>
    <definedName name="办公建筑类型">'比较法-其他办公'!$B$101:$M$101</definedName>
    <definedName name="办公交易情况" localSheetId="24">'比较法-综合楼'!$A$62:$M$62</definedName>
    <definedName name="办公交易情况" localSheetId="21">'[1]比较法-办公'!$A$62:$M$62</definedName>
    <definedName name="办公交易情况" localSheetId="25">'[1]比较法-办公'!$A$62:$M$62</definedName>
    <definedName name="办公交易情况">'比较法-其他办公'!$A$62:$M$62</definedName>
    <definedName name="办公楼层" localSheetId="24">'比较法-综合楼'!$B$89:$M$89</definedName>
    <definedName name="办公楼层" localSheetId="21">'[1]比较法-办公'!$B$89:$M$89</definedName>
    <definedName name="办公楼层" localSheetId="25">'[1]比较法-办公'!$B$89:$M$89</definedName>
    <definedName name="办公楼层">'比较法-其他办公'!$B$89:$M$89</definedName>
    <definedName name="办公内部装修" localSheetId="24">'比较法-综合楼'!$B$123:$M$123</definedName>
    <definedName name="办公内部装修" localSheetId="21">'[1]比较法-办公'!$B$123:$M$123</definedName>
    <definedName name="办公内部装修" localSheetId="25">'[1]比较法-办公'!$B$123:$M$123</definedName>
    <definedName name="办公内部装修">'比较法-其他办公'!$B$123:$M$123</definedName>
    <definedName name="办公物业管理" localSheetId="24">'比较法-综合楼'!$B$115:$M$115</definedName>
    <definedName name="办公物业管理" localSheetId="21">'[1]比较法-办公'!$B$115:$M$115</definedName>
    <definedName name="办公物业管理" localSheetId="25">'[1]比较法-办公'!$B$115:$M$115</definedName>
    <definedName name="办公物业管理">'比较法-其他办公'!$B$115:$M$115</definedName>
    <definedName name="办公用途" localSheetId="24">'比较法-综合楼'!$B$64:$M$64</definedName>
    <definedName name="办公用途" localSheetId="21">'[1]比较法-办公'!$B$64:$M$64</definedName>
    <definedName name="办公用途" localSheetId="25">'[1]比较法-办公'!$B$64:$M$64</definedName>
    <definedName name="办公用途">'比较法-其他办公'!$B$64:$M$64</definedName>
    <definedName name="仓储公共部分装修" localSheetId="21">'[1]比较法-仓储'!$B$77:$M$77</definedName>
    <definedName name="仓储公共部分装修" localSheetId="25">'[1]比较法-仓储'!$B$77:$M$77</definedName>
    <definedName name="仓储公共部分装修">'比较法-仓储'!$B$77:$M$77</definedName>
    <definedName name="仓储交易情况" localSheetId="21">'[1]比较法-仓储'!$A$49:$M$49</definedName>
    <definedName name="仓储交易情况" localSheetId="25">'[1]比较法-仓储'!$A$49:$M$49</definedName>
    <definedName name="仓储交易情况">'比较法-仓储'!$A$49:$M$49</definedName>
    <definedName name="仓储楼层" localSheetId="21">'[1]比较法-仓储'!$B$69:$M$69</definedName>
    <definedName name="仓储楼层" localSheetId="25">'[1]比较法-仓储'!$B$69:$M$69</definedName>
    <definedName name="仓储楼层">'比较法-仓储'!$B$69:$M$69</definedName>
    <definedName name="仓储物业等级" localSheetId="21">'[1]比较法-仓储'!$B$82:$M$82</definedName>
    <definedName name="仓储物业等级" localSheetId="25">'[1]比较法-仓储'!$B$82:$M$82</definedName>
    <definedName name="仓储物业等级">'比较法-仓储'!$B$82:$M$82</definedName>
    <definedName name="仓储用途" localSheetId="21">'[1]比较法-仓储'!$B$51:$M$51</definedName>
    <definedName name="仓储用途" localSheetId="25">'[1]比较法-仓储'!$B$51:$M$51</definedName>
    <definedName name="仓储用途">'比较法-仓储'!$B$51:$M$51</definedName>
    <definedName name="产业集聚程度" localSheetId="21">[1]定义!$N$1:$N$6</definedName>
    <definedName name="产业集聚程度" localSheetId="25">[1]定义!$N$1:$N$6</definedName>
    <definedName name="产业集聚程度">定义!$N$1:$N$6</definedName>
    <definedName name="车位公共部分装修" localSheetId="21">'[1]比较法-车位'!$B$83:$M$83</definedName>
    <definedName name="车位公共部分装修" localSheetId="25">'[1]比较法-车位'!$B$83:$M$83</definedName>
    <definedName name="车位公共部分装修">'比较法-车位'!$B$83:$M$83</definedName>
    <definedName name="车位交易情况" localSheetId="21">'[1]比较法-车位'!$A$51:$M$51</definedName>
    <definedName name="车位交易情况" localSheetId="25">'[1]比较法-车位'!$A$51:$M$51</definedName>
    <definedName name="车位交易情况">'比较法-车位'!$A$51:$M$51</definedName>
    <definedName name="车位类型" localSheetId="21">'[1]比较法-车位'!$B$93:$M$93</definedName>
    <definedName name="车位类型" localSheetId="25">'[1]比较法-车位'!$B$93:$M$93</definedName>
    <definedName name="车位类型">'比较法-车位'!$B$93:$M$93</definedName>
    <definedName name="车位楼层" localSheetId="21">'[1]比较法-车位'!$B$71:$M$71</definedName>
    <definedName name="车位楼层" localSheetId="25">'[1]比较法-车位'!$B$71:$M$71</definedName>
    <definedName name="车位楼层">'比较法-车位'!$B$71:$M$71</definedName>
    <definedName name="车位配套类型" localSheetId="21">'[1]比较法-车位'!$B$79:$M$79</definedName>
    <definedName name="车位配套类型" localSheetId="25">'[1]比较法-车位'!$B$79:$M$79</definedName>
    <definedName name="车位配套类型">'比较法-车位'!$B$79:$M$79</definedName>
    <definedName name="车位物业等级" localSheetId="21">'[1]比较法-车位'!$B$88:$M$88</definedName>
    <definedName name="车位物业等级" localSheetId="25">'[1]比较法-车位'!$B$88:$M$88</definedName>
    <definedName name="车位物业等级">'比较法-车位'!$B$88:$M$88</definedName>
    <definedName name="车位用途" localSheetId="21">'[1]比较法-车位'!$B$53:$M$53</definedName>
    <definedName name="车位用途" localSheetId="25">'[1]比较法-车位'!$B$53:$M$53</definedName>
    <definedName name="车位用途">'比较法-车位'!$B$53:$M$53</definedName>
    <definedName name="城镇土地纳税等级分级范围" localSheetId="21">'[1]数据-取费表'!$A$53:$A$63</definedName>
    <definedName name="城镇土地纳税等级分级范围" localSheetId="25">'[1]数据-取费表'!$A$53:$A$63</definedName>
    <definedName name="城镇土地纳税等级分级范围">'数据-取费表'!$A$53:$A$63</definedName>
    <definedName name="单价内涵" localSheetId="21">[1]定义!$V$1:$V$3</definedName>
    <definedName name="单价内涵" localSheetId="25">[1]定义!$V$1:$V$3</definedName>
    <definedName name="单价内涵">定义!$V$1:$V$3</definedName>
    <definedName name="地类判定" localSheetId="21">[1]定义!$H$1:$H$9</definedName>
    <definedName name="地类判定" localSheetId="25">[1]定义!$H$1:$H$9</definedName>
    <definedName name="地类判定">定义!$H$1:$H$9</definedName>
    <definedName name="二级">区片价!$I$1:$I$20</definedName>
    <definedName name="二级分类" localSheetId="21">[1]修正!$C$17:$C$39</definedName>
    <definedName name="二级分类" localSheetId="25">[1]修正!$C$17:$C$39</definedName>
    <definedName name="二级分类">修正!$C$17:$C$39</definedName>
    <definedName name="法定最高年限" localSheetId="21">[1]定义!$G$1:$G$4</definedName>
    <definedName name="法定最高年限" localSheetId="25">[1]定义!$G$1:$G$4</definedName>
    <definedName name="法定最高年限">定义!$G$1:$G$4</definedName>
    <definedName name="工业公共部分装修" localSheetId="21">'[1]比较法-工业'!$B$95:$M$95</definedName>
    <definedName name="工业公共部分装修" localSheetId="25">'[1]比较法-工业'!$B$95:$M$95</definedName>
    <definedName name="工业公共部分装修">'比较法-工业'!$B$95:$M$95</definedName>
    <definedName name="工业基础设施水平" localSheetId="21">'[1]比较法-工业'!$B$102:$M$102</definedName>
    <definedName name="工业基础设施水平" localSheetId="25">'[1]比较法-工业'!$B$102:$M$102</definedName>
    <definedName name="工业基础设施水平">'比较法-工业'!$B$102:$M$102</definedName>
    <definedName name="工业建筑结构" localSheetId="21">'[1]比较法-工业'!$B$93:$M$93</definedName>
    <definedName name="工业建筑结构" localSheetId="25">'[1]比较法-工业'!$B$93:$M$93</definedName>
    <definedName name="工业建筑结构">'比较法-工业'!$B$93:$M$93</definedName>
    <definedName name="工业建筑类型" localSheetId="21">'[1]比较法-工业'!$B$88:$M$88</definedName>
    <definedName name="工业建筑类型" localSheetId="25">'[1]比较法-工业'!$B$88:$M$88</definedName>
    <definedName name="工业建筑类型">'比较法-工业'!$B$88:$M$88</definedName>
    <definedName name="工业交易情况" localSheetId="21">'[1]比较法-工业'!$A$55:$M$55</definedName>
    <definedName name="工业交易情况" localSheetId="25">'[1]比较法-工业'!$A$55:$M$55</definedName>
    <definedName name="工业交易情况">'比较法-工业'!$A$55:$M$55</definedName>
    <definedName name="工业内部装修" localSheetId="21">'[1]比较法-工业'!$B$104:$M$104</definedName>
    <definedName name="工业内部装修" localSheetId="25">'[1]比较法-工业'!$B$104:$M$104</definedName>
    <definedName name="工业内部装修">'比较法-工业'!$B$104:$M$104</definedName>
    <definedName name="工业物业管理" localSheetId="21">'[1]比较法-工业'!$B$100:$M$100</definedName>
    <definedName name="工业物业管理" localSheetId="25">'[1]比较法-工业'!$B$100:$M$100</definedName>
    <definedName name="工业物业管理">'比较法-工业'!$B$100:$M$100</definedName>
    <definedName name="工业用途" localSheetId="21">'[1]比较法-工业'!$B$57:$M$57</definedName>
    <definedName name="工业用途" localSheetId="25">'[1]比较法-工业'!$B$57:$M$57</definedName>
    <definedName name="工业用途">'比较法-工业'!$B$57:$M$57</definedName>
    <definedName name="公共配套设施" localSheetId="21">[1]定义!$Q$1:$Q$6</definedName>
    <definedName name="公共配套设施" localSheetId="25">[1]定义!$Q$1:$Q$6</definedName>
    <definedName name="公共配套设施">定义!$Q$1:$Q$6</definedName>
    <definedName name="估价方法" localSheetId="21">[1]定义!$B$1:$B$50</definedName>
    <definedName name="估价方法" localSheetId="25">[1]定义!$B$1:$B$50</definedName>
    <definedName name="估价方法">定义!$B$1:$B$50</definedName>
    <definedName name="环境" localSheetId="21">[1]定义!$S$1:$S$6</definedName>
    <definedName name="环境" localSheetId="25">[1]定义!$S$1:$S$6</definedName>
    <definedName name="环境">定义!$S$1:$S$6</definedName>
    <definedName name="基础设施水平" localSheetId="21">[1]定义!$R$1:$R$6</definedName>
    <definedName name="基础设施水平" localSheetId="25">[1]定义!$R$1:$R$6</definedName>
    <definedName name="基础设施水平">定义!$R$1:$R$6</definedName>
    <definedName name="季度">基准地价修正!$Q$19:$AD$19</definedName>
    <definedName name="价值类型2" localSheetId="21">[1]定义!$B$54:$B$56</definedName>
    <definedName name="价值类型2" localSheetId="25">[1]定义!$B$54:$B$56</definedName>
    <definedName name="价值类型2">定义!$B$54:$B$56</definedName>
    <definedName name="交通便捷度" localSheetId="21">[1]定义!$O$1:$O$6</definedName>
    <definedName name="交通便捷度" localSheetId="25">[1]定义!$O$1:$O$6</definedName>
    <definedName name="交通便捷度">定义!$O$1:$O$6</definedName>
    <definedName name="九级">区片价!$P$1:$P$46</definedName>
    <definedName name="居住社区成熟度" localSheetId="21">[1]定义!$K$1:$K$6</definedName>
    <definedName name="居住社区成熟度" localSheetId="25">[1]定义!$K$1:$K$6</definedName>
    <definedName name="居住社区成熟度">定义!$K$1:$K$6</definedName>
    <definedName name="类别" localSheetId="21">[1]定义!$J$1:$J$3</definedName>
    <definedName name="类别" localSheetId="25">[1]定义!$J$1:$J$3</definedName>
    <definedName name="类别">定义!$J$1:$J$3</definedName>
    <definedName name="临街状况" localSheetId="21">[1]定义!$T$1:$T$5</definedName>
    <definedName name="临街状况" localSheetId="25">[1]定义!$T$1:$T$5</definedName>
    <definedName name="临街状况">定义!$T$1:$T$5</definedName>
    <definedName name="六级">区片价!$M$1:$M$49</definedName>
    <definedName name="内部装修维护情况" localSheetId="21">[1]定义!$U$1:$U$6</definedName>
    <definedName name="内部装修维护情况" localSheetId="25">[1]定义!$U$1:$U$6</definedName>
    <definedName name="内部装修维护情况">定义!$U$1:$U$6</definedName>
    <definedName name="判定" localSheetId="21">[1]定义!$D$1:$D$4</definedName>
    <definedName name="判定" localSheetId="25">[1]定义!$D$1:$D$4</definedName>
    <definedName name="判定">定义!$D$1:$D$4</definedName>
    <definedName name="七级">区片价!$N$1:$N$49</definedName>
    <definedName name="七通一平" localSheetId="21">[1]修正!$A$6:$A$14</definedName>
    <definedName name="七通一平" localSheetId="25">[1]修正!$A$6:$A$14</definedName>
    <definedName name="七通一平">修正!$A$6:$A$14</definedName>
    <definedName name="区域土地利用方向" localSheetId="21">[1]定义!$P$1:$P$6</definedName>
    <definedName name="区域土地利用方向" localSheetId="25">[1]定义!$P$1:$P$6</definedName>
    <definedName name="区域土地利用方向">定义!$P$1:$P$6</definedName>
    <definedName name="三级">区片价!$J$1:$J$21</definedName>
    <definedName name="商业层高" localSheetId="21">'[1]比较法-商业'!$B$116:$M$116</definedName>
    <definedName name="商业层高" localSheetId="25">'[1]比较法-商业'!$B$116:$M$116</definedName>
    <definedName name="商业层高">'比较法-商业'!$B$116:$M$116</definedName>
    <definedName name="商业成新度">'比较法-商业'!$B$109:$M$109</definedName>
    <definedName name="商业繁华度" localSheetId="21">[1]定义!$L$1:$L$6</definedName>
    <definedName name="商业繁华度" localSheetId="25">[1]定义!$L$1:$L$6</definedName>
    <definedName name="商业繁华度">定义!$L$1:$L$6</definedName>
    <definedName name="商业公共部分装修" localSheetId="21">'[1]比较法-商业'!$B$107:$M$107</definedName>
    <definedName name="商业公共部分装修" localSheetId="25">'[1]比较法-商业'!$B$107:$M$107</definedName>
    <definedName name="商业公共部分装修">'比较法-商业'!$B$107:$M$107</definedName>
    <definedName name="商业基础设施水平" localSheetId="21">'[1]比较法-商业'!$B$112:$M$112</definedName>
    <definedName name="商业基础设施水平" localSheetId="25">'[1]比较法-商业'!$B$112:$M$112</definedName>
    <definedName name="商业基础设施水平">'比较法-商业'!$B$112:$M$112</definedName>
    <definedName name="商业建筑结构" localSheetId="21">'[1]比较法-商业'!$B$105:$M$105</definedName>
    <definedName name="商业建筑结构" localSheetId="25">'[1]比较法-商业'!$B$105:$M$105</definedName>
    <definedName name="商业建筑结构">'比较法-商业'!$B$105:$M$105</definedName>
    <definedName name="商业交易情况" localSheetId="21">'[1]比较法-商业'!$A$61:$M$61</definedName>
    <definedName name="商业交易情况" localSheetId="25">'[1]比较法-商业'!$A$61:$M$61</definedName>
    <definedName name="商业交易情况">'比较法-商业'!$A$61:$M$61</definedName>
    <definedName name="商业街名称" localSheetId="21">[1]修正!$C$59:$C$119</definedName>
    <definedName name="商业街名称" localSheetId="25">[1]修正!$C$59:$C$119</definedName>
    <definedName name="商业街名称">修正!$C$59:$C$119</definedName>
    <definedName name="商业进深比" localSheetId="21">'[1]比较法-商业'!$B$120:$M$120</definedName>
    <definedName name="商业进深比" localSheetId="25">'[1]比较法-商业'!$B$120:$M$120</definedName>
    <definedName name="商业进深比">'比较法-商业'!$B$120:$M$120</definedName>
    <definedName name="商业类型" localSheetId="21">'[1]比较法-商业'!$B$100:$M$100</definedName>
    <definedName name="商业类型" localSheetId="25">'[1]比较法-商业'!$B$100:$M$100</definedName>
    <definedName name="商业类型">'比较法-商业'!$B$100:$M$100</definedName>
    <definedName name="商业临街状况" localSheetId="21">'[1]比较法-商业'!$B$86:$M$86</definedName>
    <definedName name="商业临街状况" localSheetId="25">'[1]比较法-商业'!$B$86:$M$86</definedName>
    <definedName name="商业临街状况">'比较法-商业'!$B$86:$M$86</definedName>
    <definedName name="商业楼层" localSheetId="21">'[1]比较法-商业'!$B$92:$M$92</definedName>
    <definedName name="商业楼层" localSheetId="25">'[1]比较法-商业'!$B$92:$M$92</definedName>
    <definedName name="商业楼层">'比较法-商业'!$B$92:$M$92</definedName>
    <definedName name="商业内部装修" localSheetId="21">'[1]比较法-商业'!$B$122:$M$122</definedName>
    <definedName name="商业内部装修" localSheetId="25">'[1]比较法-商业'!$B$122:$M$122</definedName>
    <definedName name="商业内部装修">'比较法-商业'!$B$122:$M$122</definedName>
    <definedName name="商业人流量" localSheetId="21">'[1]比较法-商业'!$B$90:$M$90</definedName>
    <definedName name="商业人流量" localSheetId="25">'[1]比较法-商业'!$B$90:$M$90</definedName>
    <definedName name="商业人流量">'比较法-商业'!$B$90:$M$90</definedName>
    <definedName name="商业业态" localSheetId="21">'[1]比较法-商业'!$B$114:$M$114</definedName>
    <definedName name="商业业态" localSheetId="25">'[1]比较法-商业'!$B$114:$M$114</definedName>
    <definedName name="商业业态">'比较法-商业'!$B$114:$M$114</definedName>
    <definedName name="商业用途" localSheetId="21">'[1]比较法-商业'!$B$63:$M$63</definedName>
    <definedName name="商业用途" localSheetId="2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 localSheetId="25">'[1]比较法-仓储'!$B$89:$M$89</definedName>
    <definedName name="是否封闭">'比较法-仓储'!$B$89:$M$89</definedName>
    <definedName name="是否直接入户" localSheetId="21">'[1]比较法-车位'!$B$95:$M$95</definedName>
    <definedName name="是否直接入户" localSheetId="25">'[1]比较法-车位'!$B$95:$M$95</definedName>
    <definedName name="是否直接入户">'比较法-车位'!$B$95:$M$95</definedName>
    <definedName name="四级">区片价!$K$1:$K$28</definedName>
    <definedName name="套工道路等级" localSheetId="21">'[1]土地比较法-工业'!$B$97:$M$97</definedName>
    <definedName name="套工道路等级" localSheetId="25">'[1]土地比较法-工业'!$B$97:$M$97</definedName>
    <definedName name="套工道路等级">'土地比较法-工业'!$B$97:$M$97</definedName>
    <definedName name="套工地质条件" localSheetId="21">'[1]土地比较法-工业'!$B$114:$M$114</definedName>
    <definedName name="套工地质条件" localSheetId="25">'[1]土地比较法-工业'!$B$114:$M$114</definedName>
    <definedName name="套工地质条件">'土地比较法-工业'!$B$114:$M$114</definedName>
    <definedName name="套工交易情况" localSheetId="21">'[1]土地比较法-住宅、综合'!$A$73:$M$73</definedName>
    <definedName name="套工交易情况" localSheetId="25">'[1]土地比较法-住宅、综合'!$A$73:$M$73</definedName>
    <definedName name="套工交易情况">'土地比较法-住宅、综合'!$A$73:$M$73</definedName>
    <definedName name="套工土地级别" localSheetId="21">'[1]土地比较法-工业'!$B$99:$M$99</definedName>
    <definedName name="套工土地级别" localSheetId="25">'[1]土地比较法-工业'!$B$99:$M$99</definedName>
    <definedName name="套工土地级别">'土地比较法-工业'!$B$99:$M$99</definedName>
    <definedName name="套工用途" localSheetId="21">'[1]土地比较法-工业'!$B$70:$M$70</definedName>
    <definedName name="套工用途" localSheetId="25">'[1]土地比较法-工业'!$B$70:$M$70</definedName>
    <definedName name="套工用途">'土地比较法-工业'!$B$70:$M$70</definedName>
    <definedName name="套工宗地开发程度" localSheetId="21">'[1]土地比较法-工业'!$B$112:$M$112</definedName>
    <definedName name="套工宗地开发程度" localSheetId="25">'[1]土地比较法-工业'!$B$112:$M$112</definedName>
    <definedName name="套工宗地开发程度">'土地比较法-工业'!$B$112:$M$112</definedName>
    <definedName name="套工宗地形状" localSheetId="21">'[1]土地比较法-工业'!$B$110:$M$110</definedName>
    <definedName name="套工宗地形状" localSheetId="25">'[1]土地比较法-工业'!$B$110:$M$110</definedName>
    <definedName name="套工宗地形状">'土地比较法-工业'!$B$110:$M$110</definedName>
    <definedName name="套综道路等级" localSheetId="21">'[1]土地比较法-住宅、综合'!$B$106:$M$106</definedName>
    <definedName name="套综道路等级" localSheetId="25">'[1]土地比较法-住宅、综合'!$B$106:$M$106</definedName>
    <definedName name="套综道路等级">'土地比较法-住宅、综合'!$B$106:$M$106</definedName>
    <definedName name="套综工程地质条件" localSheetId="21">'[1]土地比较法-住宅、综合'!$B$125:$M$125</definedName>
    <definedName name="套综工程地质条件" localSheetId="25">'[1]土地比较法-住宅、综合'!$B$125:$M$125</definedName>
    <definedName name="套综工程地质条件">'土地比较法-住宅、综合'!$B$125:$M$125</definedName>
    <definedName name="套综交易情况" localSheetId="21">'[1]土地比较法-住宅、综合'!$A$73:$M$73</definedName>
    <definedName name="套综交易情况" localSheetId="25">'[1]土地比较法-住宅、综合'!$A$73:$M$73</definedName>
    <definedName name="套综交易情况">'土地比较法-住宅、综合'!$A$73:$M$73</definedName>
    <definedName name="套综临街宽度及深度" localSheetId="21">'[1]土地比较法-住宅、综合'!$B$121:$M$121</definedName>
    <definedName name="套综临街宽度及深度" localSheetId="25">'[1]土地比较法-住宅、综合'!$B$121:$M$121</definedName>
    <definedName name="套综临街宽度及深度">'土地比较法-住宅、综合'!$B$121:$M$121</definedName>
    <definedName name="套综土地级别" localSheetId="21">'[1]土地比较法-住宅、综合'!$B$108:$M$108</definedName>
    <definedName name="套综土地级别" localSheetId="25">'[1]土地比较法-住宅、综合'!$B$108:$M$108</definedName>
    <definedName name="套综土地级别">'土地比较法-住宅、综合'!$B$108:$M$108</definedName>
    <definedName name="套综用途" localSheetId="21">'[1]土地比较法-住宅、综合'!$B$75:$M$75</definedName>
    <definedName name="套综用途" localSheetId="25">'[1]土地比较法-住宅、综合'!$B$75:$M$75</definedName>
    <definedName name="套综用途">'土地比较法-住宅、综合'!$B$75:$M$75</definedName>
    <definedName name="套综宗地内开发程度" localSheetId="21">'[1]土地比较法-住宅、综合'!$B$123:$M$123</definedName>
    <definedName name="套综宗地内开发程度" localSheetId="25">'[1]土地比较法-住宅、综合'!$B$123:$M$123</definedName>
    <definedName name="套综宗地内开发程度">'土地比较法-住宅、综合'!$B$123:$M$123</definedName>
    <definedName name="套综宗地形状" localSheetId="21">'[1]土地比较法-住宅、综合'!$B$119:$M$119</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 localSheetId="25">[1]定义!$C$1:$C$14</definedName>
    <definedName name="土地级别">定义!$C$1:$C$14</definedName>
    <definedName name="土地利用方向">定义!$P$1:$P$6</definedName>
    <definedName name="土地年限区间" localSheetId="21">[1]定义!$I$1:$I$8</definedName>
    <definedName name="土地年限区间" localSheetId="25">[1]定义!$I$1:$I$8</definedName>
    <definedName name="土地年限区间">定义!$I$1:$I$8</definedName>
    <definedName name="位置" localSheetId="21">[1]定义!$E$2:$E$4</definedName>
    <definedName name="位置" localSheetId="25">[1]定义!$E$2:$E$4</definedName>
    <definedName name="位置">定义!$E$2:$E$4</definedName>
    <definedName name="五等判定" localSheetId="21">[1]定义!$W$1:$W$6</definedName>
    <definedName name="五等判定" localSheetId="25">[1]定义!$W$1:$W$6</definedName>
    <definedName name="五等判定">定义!$W$1:$W$6</definedName>
    <definedName name="五级">区片价!$L$1:$L$35</definedName>
    <definedName name="项目类型" localSheetId="21">'[1]数据-汇总表'!$C$17:$C$26</definedName>
    <definedName name="项目类型" localSheetId="25">'[1]数据-汇总表'!$C$17:$C$26</definedName>
    <definedName name="项目类型">'数据-汇总表'!$C$17:$C$26</definedName>
    <definedName name="写字楼等级" localSheetId="24">'比较法-综合楼'!$B$113:$M$113</definedName>
    <definedName name="写字楼等级" localSheetId="21">'[1]比较法-办公'!$B$113:$M$113</definedName>
    <definedName name="写字楼等级" localSheetId="25">'[1]比较法-办公'!$B$113:$M$113</definedName>
    <definedName name="写字楼等级">'比较法-其他办公'!$B$113:$M$113</definedName>
    <definedName name="一级">区片价!$H$1:$H$6</definedName>
    <definedName name="一修多修正项2" localSheetId="21">[1]典型户型修正!$5:$5</definedName>
    <definedName name="一修多修正项2" localSheetId="25">[1]典型户型修正!$5:$5</definedName>
    <definedName name="一修多修正项2">典型户型修正!$5:$5</definedName>
    <definedName name="一修多修正项3" localSheetId="21">[1]典型户型修正!$7:$7</definedName>
    <definedName name="一修多修正项3" localSheetId="25">[1]典型户型修正!$7:$7</definedName>
    <definedName name="一修多修正项3">典型户型修正!$7:$7</definedName>
    <definedName name="一修多修正项4" localSheetId="21">[1]典型户型修正!$9:$9</definedName>
    <definedName name="一修多修正项4" localSheetId="25">[1]典型户型修正!$9:$9</definedName>
    <definedName name="一修多修正项4">典型户型修正!$9:$9</definedName>
    <definedName name="一修多修正项5" localSheetId="21">[1]典型户型修正!$11:$11</definedName>
    <definedName name="一修多修正项5" localSheetId="25">[1]典型户型修正!$11:$11</definedName>
    <definedName name="一修多修正项5">典型户型修正!$11:$11</definedName>
    <definedName name="一修多修正项6" localSheetId="21">[1]典型户型修正!$13:$13</definedName>
    <definedName name="一修多修正项6" localSheetId="25">[1]典型户型修正!$13:$13</definedName>
    <definedName name="一修多修正项6">典型户型修正!$13:$13</definedName>
    <definedName name="一修多修正项7" localSheetId="21">[1]典型户型修正!$15:$15</definedName>
    <definedName name="一修多修正项7" localSheetId="25">[1]典型户型修正!$15:$15</definedName>
    <definedName name="一修多修正项7">典型户型修正!$15:$15</definedName>
    <definedName name="一修多修正项8" localSheetId="21">[1]典型户型修正!$17:$17</definedName>
    <definedName name="一修多修正项8" localSheetId="25">[1]典型户型修正!$17:$17</definedName>
    <definedName name="一修多修正项8">典型户型修正!$17:$17</definedName>
    <definedName name="用途明细" localSheetId="21">[1]定义!$A$1:$A$50</definedName>
    <definedName name="用途明细" localSheetId="25">[1]定义!$A$1:$A$50</definedName>
    <definedName name="用途明细">定义!$A$1:$A$50</definedName>
    <definedName name="有无电梯" localSheetId="21">'[1]比较法-仓储'!$B$84:$M$84</definedName>
    <definedName name="有无电梯" localSheetId="25">'[1]比较法-仓储'!$B$84:$M$84</definedName>
    <definedName name="有无电梯">'比较法-仓储'!$B$84:$M$84</definedName>
    <definedName name="主用途" localSheetId="21">[1]定义!$F$1:$F$10</definedName>
    <definedName name="主用途" localSheetId="25">[1]定义!$F$1:$F$10</definedName>
    <definedName name="主用途">定义!$F$1:$F$10</definedName>
    <definedName name="住宅朝向" localSheetId="21">'[1]比较法-住宅'!$B$88:$M$88</definedName>
    <definedName name="住宅朝向" localSheetId="25">'[1]比较法-住宅'!$B$88:$M$88</definedName>
    <definedName name="住宅朝向">'比较法-住宅'!$B$88:$M$88</definedName>
    <definedName name="住宅房型" localSheetId="21">'[1]比较法-住宅'!$B$118:$M$118</definedName>
    <definedName name="住宅房型" localSheetId="25">'[1]比较法-住宅'!$B$118:$M$118</definedName>
    <definedName name="住宅房型">'比较法-住宅'!$B$118:$M$118</definedName>
    <definedName name="住宅公共部分装修" localSheetId="21">'[1]比较法-住宅'!$B$109:$M$109</definedName>
    <definedName name="住宅公共部分装修" localSheetId="25">'[1]比较法-住宅'!$B$109:$M$109</definedName>
    <definedName name="住宅公共部分装修">'比较法-住宅'!$B$109:$M$109</definedName>
    <definedName name="住宅基础设施水平" localSheetId="21">'[1]比较法-住宅'!$B$116:$M$116</definedName>
    <definedName name="住宅基础设施水平" localSheetId="25">'[1]比较法-住宅'!$B$116:$M$116</definedName>
    <definedName name="住宅基础设施水平">'比较法-住宅'!$B$116:$M$116</definedName>
    <definedName name="住宅建筑结构" localSheetId="21">'[1]比较法-住宅'!$B$105:$M$105</definedName>
    <definedName name="住宅建筑结构" localSheetId="25">'[1]比较法-住宅'!$B$105:$M$105</definedName>
    <definedName name="住宅建筑结构">'比较法-住宅'!$B$105:$M$105</definedName>
    <definedName name="住宅建筑类型" localSheetId="21">'[1]比较法-住宅'!$B$100:$M$100</definedName>
    <definedName name="住宅建筑类型" localSheetId="25">'[1]比较法-住宅'!$B$100:$M$100</definedName>
    <definedName name="住宅建筑类型">'比较法-住宅'!$B$100:$M$100</definedName>
    <definedName name="住宅建筑品质" localSheetId="21">'[1]比较法-住宅'!$B$107:$M$107</definedName>
    <definedName name="住宅建筑品质" localSheetId="25">'[1]比较法-住宅'!$B$107:$M$107</definedName>
    <definedName name="住宅建筑品质">'比较法-住宅'!$B$107:$M$107</definedName>
    <definedName name="住宅交易情况" localSheetId="21">'[1]比较法-住宅'!$A$61:$M$61</definedName>
    <definedName name="住宅交易情况" localSheetId="25">'[1]比较法-住宅'!$A$61:$M$61</definedName>
    <definedName name="住宅交易情况">'比较法-住宅'!$A$61:$M$61</definedName>
    <definedName name="住宅楼层" localSheetId="21">'[1]比较法-住宅'!$B$86:$M$86</definedName>
    <definedName name="住宅楼层" localSheetId="25">'[1]比较法-住宅'!$B$86:$M$86</definedName>
    <definedName name="住宅楼层">'比较法-住宅'!$B$86:$M$86</definedName>
    <definedName name="住宅内部装修" localSheetId="21">'[1]比较法-住宅'!$B$122:$M$122</definedName>
    <definedName name="住宅内部装修" localSheetId="25">'[1]比较法-住宅'!$B$122:$M$122</definedName>
    <definedName name="住宅内部装修">'比较法-住宅'!$B$122:$M$122</definedName>
    <definedName name="住宅物业管理" localSheetId="21">'[1]比较法-住宅'!$B$114:$M$114</definedName>
    <definedName name="住宅物业管理" localSheetId="25">'[1]比较法-住宅'!$B$114:$M$114</definedName>
    <definedName name="住宅物业管理">'比较法-住宅'!$B$114:$M$114</definedName>
    <definedName name="住宅用途" localSheetId="21">'[1]比较法-住宅'!$B$63:$M$63</definedName>
    <definedName name="住宅用途" localSheetId="25">'[1]比较法-住宅'!$B$63:$M$63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 localSheetId="2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D8" i="82" l="1"/>
  <c r="D72" i="34" l="1"/>
  <c r="I48" i="81"/>
  <c r="G48" i="81"/>
  <c r="E48" i="81"/>
  <c r="D72" i="81"/>
  <c r="I48" i="34"/>
  <c r="G48" i="34"/>
  <c r="E48" i="34"/>
  <c r="H27" i="79"/>
  <c r="H29" i="79"/>
  <c r="H28" i="79"/>
  <c r="I20" i="79"/>
  <c r="F34" i="68"/>
  <c r="M6" i="1"/>
  <c r="F34" i="78"/>
  <c r="M7" i="1"/>
  <c r="H29" i="77"/>
  <c r="E24" i="77" s="1"/>
  <c r="H28" i="77"/>
  <c r="H27" i="77"/>
  <c r="I20" i="77"/>
  <c r="C21" i="77" s="1"/>
  <c r="E19" i="77" s="1"/>
  <c r="I17" i="77"/>
  <c r="I8" i="77"/>
  <c r="C8" i="77" s="1"/>
  <c r="I7" i="77"/>
  <c r="I8" i="79"/>
  <c r="C18" i="77"/>
  <c r="R48" i="81"/>
  <c r="D126" i="81"/>
  <c r="E126" i="81" s="1"/>
  <c r="F126" i="81" s="1"/>
  <c r="B127" i="81"/>
  <c r="F45" i="81"/>
  <c r="AA45" i="81" s="1"/>
  <c r="B129" i="81"/>
  <c r="F46" i="81"/>
  <c r="AA46" i="81"/>
  <c r="B131" i="81"/>
  <c r="F47" i="81"/>
  <c r="AA47" i="81"/>
  <c r="F8" i="81"/>
  <c r="AA8" i="81" s="1"/>
  <c r="F34" i="81"/>
  <c r="AA34" i="81"/>
  <c r="D118" i="81"/>
  <c r="F40" i="81"/>
  <c r="AA40" i="81"/>
  <c r="F41" i="81"/>
  <c r="AA41" i="81"/>
  <c r="F42" i="81"/>
  <c r="AA42" i="81"/>
  <c r="D124" i="81"/>
  <c r="F43" i="81"/>
  <c r="AA43" i="81"/>
  <c r="D88" i="81"/>
  <c r="E88" i="81"/>
  <c r="F25" i="81"/>
  <c r="AA25" i="81"/>
  <c r="D116" i="81"/>
  <c r="F39" i="81"/>
  <c r="AA39" i="81" s="1"/>
  <c r="D102" i="81"/>
  <c r="F33" i="81"/>
  <c r="AA33" i="81"/>
  <c r="B71" i="81"/>
  <c r="F12" i="81"/>
  <c r="AA12" i="81"/>
  <c r="F10" i="81"/>
  <c r="AA10" i="81"/>
  <c r="F11" i="81"/>
  <c r="AA11" i="81"/>
  <c r="B73" i="81"/>
  <c r="F13" i="81"/>
  <c r="AA13" i="81"/>
  <c r="B75" i="81"/>
  <c r="F14" i="81"/>
  <c r="AA14" i="81"/>
  <c r="D78" i="81"/>
  <c r="E78" i="81"/>
  <c r="F78" i="81"/>
  <c r="F15" i="81"/>
  <c r="AA15" i="81"/>
  <c r="T48" i="81"/>
  <c r="H45" i="81"/>
  <c r="AB45" i="81" s="1"/>
  <c r="H46" i="81"/>
  <c r="AB46" i="81"/>
  <c r="H47" i="81"/>
  <c r="AB47" i="81"/>
  <c r="H8" i="81"/>
  <c r="AB8" i="81" s="1"/>
  <c r="H34" i="81"/>
  <c r="AB34" i="81"/>
  <c r="H40" i="81"/>
  <c r="AB40" i="81"/>
  <c r="H41" i="81"/>
  <c r="AB41" i="81"/>
  <c r="H42" i="81"/>
  <c r="AB42" i="81"/>
  <c r="H43" i="81"/>
  <c r="AB43" i="81"/>
  <c r="H25" i="81"/>
  <c r="AB25" i="81"/>
  <c r="H39" i="81"/>
  <c r="AB39" i="81"/>
  <c r="H33" i="81"/>
  <c r="AB33" i="81"/>
  <c r="H12" i="81"/>
  <c r="AB12" i="81"/>
  <c r="H10" i="81"/>
  <c r="AB10" i="81"/>
  <c r="H11" i="81"/>
  <c r="AB11" i="81"/>
  <c r="H13" i="81"/>
  <c r="AB13" i="81"/>
  <c r="H14" i="81"/>
  <c r="AB14" i="81"/>
  <c r="H15" i="81"/>
  <c r="AB15" i="81"/>
  <c r="V48" i="81"/>
  <c r="J45" i="81"/>
  <c r="AC45" i="81" s="1"/>
  <c r="J46" i="81"/>
  <c r="AC46" i="81"/>
  <c r="J47" i="81"/>
  <c r="AC47" i="81"/>
  <c r="J8" i="81"/>
  <c r="AC8" i="81" s="1"/>
  <c r="J34" i="81"/>
  <c r="AC34" i="81"/>
  <c r="J40" i="81"/>
  <c r="AC40" i="81"/>
  <c r="J41" i="81"/>
  <c r="AC41" i="81"/>
  <c r="J42" i="81"/>
  <c r="AC42" i="81"/>
  <c r="J43" i="81"/>
  <c r="AC43" i="81"/>
  <c r="J25" i="81"/>
  <c r="AC25" i="81"/>
  <c r="J39" i="81"/>
  <c r="AC39" i="81" s="1"/>
  <c r="J33" i="81"/>
  <c r="AC33" i="81"/>
  <c r="J12" i="81"/>
  <c r="AC12" i="81"/>
  <c r="J10" i="81"/>
  <c r="AC10" i="81"/>
  <c r="J11" i="81"/>
  <c r="AC11" i="81"/>
  <c r="J13" i="81"/>
  <c r="AC13" i="81"/>
  <c r="J14" i="81"/>
  <c r="AC14" i="81"/>
  <c r="J15" i="81"/>
  <c r="AC15" i="81"/>
  <c r="C8" i="79"/>
  <c r="C9" i="79" s="1"/>
  <c r="C13" i="79" s="1"/>
  <c r="C10" i="79"/>
  <c r="C12" i="79"/>
  <c r="C21" i="79"/>
  <c r="E24" i="79"/>
  <c r="R48" i="34"/>
  <c r="D126" i="34"/>
  <c r="E126" i="34"/>
  <c r="F126" i="34" s="1"/>
  <c r="B127" i="34"/>
  <c r="F45" i="34"/>
  <c r="AA45" i="34" s="1"/>
  <c r="B129" i="34"/>
  <c r="F46" i="34"/>
  <c r="AA46" i="34"/>
  <c r="B131" i="34"/>
  <c r="F47" i="34"/>
  <c r="AA47" i="34"/>
  <c r="F34" i="34"/>
  <c r="AA34" i="34"/>
  <c r="F8" i="34"/>
  <c r="AA8" i="34" s="1"/>
  <c r="D109" i="34"/>
  <c r="F36" i="34"/>
  <c r="AA36" i="34"/>
  <c r="D112" i="34"/>
  <c r="E112" i="34"/>
  <c r="F112" i="34"/>
  <c r="G112" i="34"/>
  <c r="F37" i="34"/>
  <c r="AA37" i="34"/>
  <c r="F38" i="34"/>
  <c r="AA38" i="34"/>
  <c r="D116" i="34"/>
  <c r="F39" i="34"/>
  <c r="AA39" i="34" s="1"/>
  <c r="D118" i="34"/>
  <c r="F40" i="34"/>
  <c r="AA40" i="34"/>
  <c r="F41" i="34"/>
  <c r="AA41" i="34"/>
  <c r="F42" i="34"/>
  <c r="AA42" i="34" s="1"/>
  <c r="D124" i="34"/>
  <c r="F43" i="34"/>
  <c r="AA43" i="34"/>
  <c r="D102" i="34"/>
  <c r="F33" i="34"/>
  <c r="AA33" i="34"/>
  <c r="D107" i="34"/>
  <c r="F35" i="34"/>
  <c r="AA35" i="34"/>
  <c r="F29" i="34"/>
  <c r="AA29" i="34" s="1"/>
  <c r="D88" i="34"/>
  <c r="E88" i="34"/>
  <c r="F25" i="34"/>
  <c r="AA25" i="34"/>
  <c r="C64" i="34"/>
  <c r="F9" i="34"/>
  <c r="AA9" i="34"/>
  <c r="F10" i="34"/>
  <c r="AA10" i="34"/>
  <c r="F11" i="34"/>
  <c r="AA11" i="34"/>
  <c r="B71" i="34"/>
  <c r="F12" i="34"/>
  <c r="AA12" i="34"/>
  <c r="B73" i="34"/>
  <c r="F13" i="34"/>
  <c r="AA13" i="34"/>
  <c r="B75" i="34"/>
  <c r="F14" i="34"/>
  <c r="AA14" i="34"/>
  <c r="D78" i="34"/>
  <c r="E78" i="34"/>
  <c r="F78" i="34"/>
  <c r="F15" i="34"/>
  <c r="AA15" i="34"/>
  <c r="T48" i="34"/>
  <c r="H45" i="34"/>
  <c r="AB45" i="34" s="1"/>
  <c r="H46" i="34"/>
  <c r="AB46" i="34"/>
  <c r="H47" i="34"/>
  <c r="AB47" i="34"/>
  <c r="H34" i="34"/>
  <c r="AB34" i="34"/>
  <c r="H8" i="34"/>
  <c r="AB8" i="34" s="1"/>
  <c r="H36" i="34"/>
  <c r="AB36" i="34"/>
  <c r="H37" i="34"/>
  <c r="AB37" i="34"/>
  <c r="H38" i="34"/>
  <c r="AB38" i="34"/>
  <c r="H39" i="34"/>
  <c r="AB39" i="34" s="1"/>
  <c r="H40" i="34"/>
  <c r="AB40" i="34"/>
  <c r="H41" i="34"/>
  <c r="AB41" i="34"/>
  <c r="H42" i="34"/>
  <c r="AB42" i="34" s="1"/>
  <c r="H43" i="34"/>
  <c r="AB43" i="34"/>
  <c r="H33" i="34"/>
  <c r="AB33" i="34"/>
  <c r="H35" i="34"/>
  <c r="AB35" i="34"/>
  <c r="H29" i="34"/>
  <c r="AB29" i="34" s="1"/>
  <c r="H25" i="34"/>
  <c r="AB25" i="34"/>
  <c r="H9" i="34"/>
  <c r="AB9" i="34"/>
  <c r="H10" i="34"/>
  <c r="AB10" i="34"/>
  <c r="H11" i="34"/>
  <c r="AB11" i="34"/>
  <c r="H12" i="34"/>
  <c r="AB12" i="34"/>
  <c r="H13" i="34"/>
  <c r="AB13" i="34"/>
  <c r="H14" i="34"/>
  <c r="AB14" i="34"/>
  <c r="H15" i="34"/>
  <c r="AB15" i="34"/>
  <c r="V48" i="34"/>
  <c r="J45" i="34"/>
  <c r="AC45" i="34" s="1"/>
  <c r="J46" i="34"/>
  <c r="AC46" i="34"/>
  <c r="J47" i="34"/>
  <c r="AC47" i="34"/>
  <c r="J34" i="34"/>
  <c r="AC34" i="34"/>
  <c r="J8" i="34"/>
  <c r="AC8" i="34" s="1"/>
  <c r="J36" i="34"/>
  <c r="AC36" i="34"/>
  <c r="J37" i="34"/>
  <c r="AC37" i="34"/>
  <c r="J38" i="34"/>
  <c r="AC38" i="34"/>
  <c r="J39" i="34"/>
  <c r="AC39" i="34" s="1"/>
  <c r="J40" i="34"/>
  <c r="AC40" i="34"/>
  <c r="J41" i="34"/>
  <c r="AC41" i="34"/>
  <c r="J42" i="34"/>
  <c r="AC42" i="34" s="1"/>
  <c r="J43" i="34"/>
  <c r="AC43" i="34"/>
  <c r="J33" i="34"/>
  <c r="AC33" i="34"/>
  <c r="J35" i="34"/>
  <c r="AC35" i="34"/>
  <c r="J29" i="34"/>
  <c r="AC29" i="34"/>
  <c r="J25" i="34"/>
  <c r="AC25" i="34"/>
  <c r="J9" i="34"/>
  <c r="AC9" i="34"/>
  <c r="J10" i="34"/>
  <c r="AC10" i="34"/>
  <c r="J11" i="34"/>
  <c r="AC11" i="34"/>
  <c r="J12" i="34"/>
  <c r="AC12" i="34"/>
  <c r="J13" i="34"/>
  <c r="AC13" i="34"/>
  <c r="J14" i="34"/>
  <c r="AC14" i="34"/>
  <c r="J15" i="34"/>
  <c r="AC15" i="34"/>
  <c r="E124" i="81"/>
  <c r="F124" i="81"/>
  <c r="G124" i="81"/>
  <c r="H124" i="81"/>
  <c r="I124" i="81"/>
  <c r="J124" i="81"/>
  <c r="K124" i="81"/>
  <c r="L124" i="81"/>
  <c r="M124" i="81"/>
  <c r="D120" i="81"/>
  <c r="E120" i="81"/>
  <c r="F120" i="81"/>
  <c r="G120" i="81"/>
  <c r="H120" i="81"/>
  <c r="I120" i="81"/>
  <c r="J120" i="81"/>
  <c r="K120" i="81"/>
  <c r="L120" i="81"/>
  <c r="M120" i="81"/>
  <c r="E118" i="81"/>
  <c r="F118" i="81"/>
  <c r="G118" i="81"/>
  <c r="E116" i="81"/>
  <c r="F116" i="81"/>
  <c r="G116" i="81" s="1"/>
  <c r="H116" i="81" s="1"/>
  <c r="I116" i="81" s="1"/>
  <c r="J116" i="81" s="1"/>
  <c r="K116" i="81" s="1"/>
  <c r="L116" i="81" s="1"/>
  <c r="M116" i="81" s="1"/>
  <c r="D114" i="81"/>
  <c r="E114" i="81"/>
  <c r="F114" i="81"/>
  <c r="G114" i="81"/>
  <c r="H114" i="81"/>
  <c r="I114" i="81"/>
  <c r="J114" i="81"/>
  <c r="K114" i="81"/>
  <c r="L114" i="81"/>
  <c r="M114" i="81"/>
  <c r="D112" i="81"/>
  <c r="E112" i="81"/>
  <c r="F112" i="81"/>
  <c r="G112" i="81"/>
  <c r="H112" i="81"/>
  <c r="I112" i="81"/>
  <c r="J112" i="81"/>
  <c r="K112" i="81"/>
  <c r="L112" i="81"/>
  <c r="M112" i="81"/>
  <c r="G110" i="81"/>
  <c r="F110" i="81"/>
  <c r="E110" i="81"/>
  <c r="D110" i="81"/>
  <c r="C110" i="81"/>
  <c r="D109" i="81"/>
  <c r="E109" i="81"/>
  <c r="F109" i="81"/>
  <c r="G109" i="81"/>
  <c r="H109" i="81"/>
  <c r="I109" i="81"/>
  <c r="J109" i="81"/>
  <c r="K109" i="81"/>
  <c r="L109" i="81"/>
  <c r="M109" i="81"/>
  <c r="D107" i="81"/>
  <c r="E107" i="81"/>
  <c r="F107" i="81"/>
  <c r="G107" i="81"/>
  <c r="H107" i="81"/>
  <c r="I107" i="81"/>
  <c r="J107" i="81"/>
  <c r="K107" i="81"/>
  <c r="L107" i="81"/>
  <c r="M107" i="81"/>
  <c r="M103" i="81"/>
  <c r="L103" i="81"/>
  <c r="K103" i="81"/>
  <c r="J103" i="81"/>
  <c r="I103" i="81"/>
  <c r="H103" i="81"/>
  <c r="G103" i="81"/>
  <c r="F103" i="81"/>
  <c r="E103" i="81"/>
  <c r="D103" i="81"/>
  <c r="C103" i="81"/>
  <c r="E102" i="81"/>
  <c r="F102" i="81"/>
  <c r="G102" i="81"/>
  <c r="H102" i="81"/>
  <c r="I102" i="81"/>
  <c r="J102" i="81"/>
  <c r="K102" i="81"/>
  <c r="L102" i="81"/>
  <c r="M102" i="81"/>
  <c r="B99" i="81"/>
  <c r="B97" i="81"/>
  <c r="B95" i="81"/>
  <c r="B93" i="81"/>
  <c r="D92" i="81"/>
  <c r="E92" i="81"/>
  <c r="F92" i="81"/>
  <c r="G92" i="81"/>
  <c r="H92" i="81"/>
  <c r="I92" i="81"/>
  <c r="J92" i="81"/>
  <c r="K92" i="81"/>
  <c r="L92" i="81"/>
  <c r="M92" i="81"/>
  <c r="B91" i="81"/>
  <c r="D90" i="81"/>
  <c r="E90" i="81"/>
  <c r="F90" i="81"/>
  <c r="G90" i="81"/>
  <c r="H90" i="81"/>
  <c r="I90" i="81"/>
  <c r="J90" i="81"/>
  <c r="K90" i="81"/>
  <c r="L90" i="81"/>
  <c r="M90" i="81"/>
  <c r="B89" i="81"/>
  <c r="F88" i="81"/>
  <c r="G88" i="81"/>
  <c r="H88" i="81"/>
  <c r="I88" i="81"/>
  <c r="J88" i="81"/>
  <c r="K88" i="81"/>
  <c r="L88" i="81"/>
  <c r="M88" i="81"/>
  <c r="D86" i="81"/>
  <c r="E86" i="81"/>
  <c r="F86" i="81"/>
  <c r="G86" i="81"/>
  <c r="D84" i="81"/>
  <c r="E84" i="81"/>
  <c r="F84" i="81"/>
  <c r="G84" i="81"/>
  <c r="D82" i="81"/>
  <c r="E82" i="81"/>
  <c r="F82" i="81"/>
  <c r="G82" i="81"/>
  <c r="D80" i="81"/>
  <c r="E80" i="81"/>
  <c r="F80" i="81"/>
  <c r="G80" i="81"/>
  <c r="G78" i="81"/>
  <c r="D70" i="81"/>
  <c r="E70" i="81"/>
  <c r="F70" i="81"/>
  <c r="G70" i="81"/>
  <c r="H70" i="81"/>
  <c r="I70" i="81"/>
  <c r="J70" i="81"/>
  <c r="K70" i="81"/>
  <c r="L70" i="81"/>
  <c r="M70" i="81"/>
  <c r="M68" i="81"/>
  <c r="L68" i="81"/>
  <c r="K68" i="81"/>
  <c r="J68" i="81"/>
  <c r="I68" i="81"/>
  <c r="H68" i="81"/>
  <c r="G68" i="81"/>
  <c r="F68" i="81"/>
  <c r="E68" i="81"/>
  <c r="D68" i="81"/>
  <c r="C68" i="81"/>
  <c r="F67" i="81"/>
  <c r="G67" i="81"/>
  <c r="H67" i="81"/>
  <c r="I67" i="81"/>
  <c r="C64" i="81"/>
  <c r="C7" i="81"/>
  <c r="C59" i="81"/>
  <c r="D59" i="81"/>
  <c r="E59" i="81"/>
  <c r="F59" i="81"/>
  <c r="G59" i="81"/>
  <c r="H59" i="81"/>
  <c r="I59" i="81"/>
  <c r="J59" i="81"/>
  <c r="K59" i="81"/>
  <c r="L59" i="81"/>
  <c r="M59" i="81"/>
  <c r="N59" i="81"/>
  <c r="O59" i="81"/>
  <c r="I55" i="81"/>
  <c r="J55" i="81"/>
  <c r="G55" i="81"/>
  <c r="H55" i="81"/>
  <c r="E55" i="81"/>
  <c r="F55" i="81"/>
  <c r="G7" i="81"/>
  <c r="I7" i="81"/>
  <c r="J7" i="81"/>
  <c r="AC7" i="81"/>
  <c r="J9" i="81"/>
  <c r="AC9" i="81"/>
  <c r="J17" i="81"/>
  <c r="AC17" i="81"/>
  <c r="J19" i="81"/>
  <c r="AC19" i="81"/>
  <c r="J21" i="81"/>
  <c r="AC21" i="81"/>
  <c r="J23" i="81"/>
  <c r="AC23" i="81"/>
  <c r="J27" i="81"/>
  <c r="AC27" i="81"/>
  <c r="J28" i="81"/>
  <c r="AC28" i="81"/>
  <c r="J29" i="81"/>
  <c r="AC29" i="81" s="1"/>
  <c r="J30" i="81"/>
  <c r="AC30" i="81"/>
  <c r="J31" i="81"/>
  <c r="AC31" i="81"/>
  <c r="J32" i="81"/>
  <c r="AC32" i="81"/>
  <c r="J35" i="81"/>
  <c r="AC35" i="81"/>
  <c r="J36" i="81"/>
  <c r="AC36" i="81"/>
  <c r="J37" i="81"/>
  <c r="AC37" i="81"/>
  <c r="J38" i="81"/>
  <c r="AC38" i="81"/>
  <c r="E7" i="81"/>
  <c r="F7" i="81"/>
  <c r="AA7" i="81"/>
  <c r="F9" i="81"/>
  <c r="AA9" i="81"/>
  <c r="F17" i="81"/>
  <c r="AA17" i="81"/>
  <c r="F19" i="81"/>
  <c r="AA19" i="81"/>
  <c r="F21" i="81"/>
  <c r="AA21" i="81"/>
  <c r="F23" i="81"/>
  <c r="AA23" i="81"/>
  <c r="F27" i="81"/>
  <c r="AA27" i="81"/>
  <c r="F28" i="81"/>
  <c r="AA28" i="81"/>
  <c r="F29" i="81"/>
  <c r="AA29" i="81"/>
  <c r="F30" i="81"/>
  <c r="AA30" i="81"/>
  <c r="F31" i="81"/>
  <c r="AA31" i="81"/>
  <c r="F32" i="81"/>
  <c r="AA32" i="81"/>
  <c r="F35" i="81"/>
  <c r="AA35" i="81"/>
  <c r="F36" i="81"/>
  <c r="AA36" i="81"/>
  <c r="F37" i="81"/>
  <c r="AA37" i="81"/>
  <c r="F38" i="81"/>
  <c r="AA38" i="81"/>
  <c r="H7" i="81"/>
  <c r="AB7" i="81"/>
  <c r="H9" i="81"/>
  <c r="AB9" i="81"/>
  <c r="H17" i="81"/>
  <c r="AB17" i="81"/>
  <c r="H19" i="81"/>
  <c r="AB19" i="81"/>
  <c r="H21" i="81"/>
  <c r="AB21" i="81"/>
  <c r="H23" i="81"/>
  <c r="AB23" i="81"/>
  <c r="H27" i="81"/>
  <c r="AB27" i="81"/>
  <c r="H28" i="81"/>
  <c r="AB28" i="81"/>
  <c r="H29" i="81"/>
  <c r="AB29" i="81" s="1"/>
  <c r="H30" i="81"/>
  <c r="AB30" i="81"/>
  <c r="H31" i="81"/>
  <c r="AB31" i="81"/>
  <c r="H32" i="81"/>
  <c r="AB32" i="81"/>
  <c r="H35" i="81"/>
  <c r="AB35" i="81"/>
  <c r="H36" i="81"/>
  <c r="AB36" i="81"/>
  <c r="H37" i="81"/>
  <c r="AB37" i="81"/>
  <c r="H38" i="81"/>
  <c r="AB38" i="81"/>
  <c r="P50" i="81"/>
  <c r="P49" i="81"/>
  <c r="P48" i="81"/>
  <c r="Q47" i="81"/>
  <c r="Z47" i="81"/>
  <c r="W47" i="81"/>
  <c r="U47" i="81"/>
  <c r="S47" i="81"/>
  <c r="Q46" i="81"/>
  <c r="Z46" i="81"/>
  <c r="W46" i="81"/>
  <c r="U46" i="81"/>
  <c r="S46" i="81"/>
  <c r="Q45" i="81"/>
  <c r="Z45" i="81"/>
  <c r="W45" i="81"/>
  <c r="Q44" i="81"/>
  <c r="Z44" i="81"/>
  <c r="Q43" i="81"/>
  <c r="Z43" i="81"/>
  <c r="W43" i="81"/>
  <c r="U43" i="81"/>
  <c r="S43" i="81"/>
  <c r="Q42" i="81"/>
  <c r="Z42" i="81"/>
  <c r="W42" i="81"/>
  <c r="U42" i="81"/>
  <c r="S42" i="81"/>
  <c r="Q41" i="81"/>
  <c r="Z41" i="81"/>
  <c r="W41" i="81"/>
  <c r="U41" i="81"/>
  <c r="S41" i="81"/>
  <c r="Q40" i="81"/>
  <c r="Z40" i="81"/>
  <c r="W40" i="81"/>
  <c r="U40" i="81"/>
  <c r="S40" i="81"/>
  <c r="Q39" i="81"/>
  <c r="Z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3" i="81"/>
  <c r="R8" i="1"/>
  <c r="B52" i="1"/>
  <c r="F34" i="15"/>
  <c r="F62" i="15"/>
  <c r="AE8" i="1"/>
  <c r="D86" i="34"/>
  <c r="E86" i="34"/>
  <c r="J23" i="34"/>
  <c r="I7" i="34"/>
  <c r="G7" i="34"/>
  <c r="E7" i="34"/>
  <c r="O10" i="79"/>
  <c r="N11" i="79"/>
  <c r="F7" i="1"/>
  <c r="I20" i="43"/>
  <c r="D62" i="43"/>
  <c r="D67" i="43"/>
  <c r="D65" i="43"/>
  <c r="D64" i="43"/>
  <c r="E59" i="43"/>
  <c r="B57" i="43"/>
  <c r="C24" i="43"/>
  <c r="H17" i="43"/>
  <c r="I17" i="43"/>
  <c r="J17" i="43"/>
  <c r="K17" i="43"/>
  <c r="L17" i="43"/>
  <c r="M17" i="43"/>
  <c r="N17" i="43"/>
  <c r="O17" i="43"/>
  <c r="G17" i="43"/>
  <c r="C16" i="43"/>
  <c r="C5" i="43"/>
  <c r="I7" i="79"/>
  <c r="I17" i="79"/>
  <c r="I3" i="79"/>
  <c r="I3" i="77"/>
  <c r="F50" i="78"/>
  <c r="F50" i="68"/>
  <c r="C37" i="79"/>
  <c r="C11" i="79"/>
  <c r="C22" i="79"/>
  <c r="E29" i="79"/>
  <c r="E25" i="79"/>
  <c r="F19" i="79"/>
  <c r="E19" i="79"/>
  <c r="F16" i="79"/>
  <c r="E15" i="79"/>
  <c r="C15" i="79"/>
  <c r="P9" i="79"/>
  <c r="M10" i="79"/>
  <c r="M4" i="79"/>
  <c r="G1" i="78"/>
  <c r="F35" i="78"/>
  <c r="E37" i="78"/>
  <c r="F38" i="78"/>
  <c r="F20" i="78"/>
  <c r="F21" i="78"/>
  <c r="C40" i="78"/>
  <c r="F30" i="78"/>
  <c r="C48" i="78"/>
  <c r="F7" i="78"/>
  <c r="C8" i="78"/>
  <c r="C19" i="78"/>
  <c r="C21" i="78"/>
  <c r="C30" i="78"/>
  <c r="G41" i="78"/>
  <c r="F36" i="78"/>
  <c r="G22" i="78"/>
  <c r="E19" i="78"/>
  <c r="E10" i="78"/>
  <c r="E9" i="78"/>
  <c r="G3" i="43"/>
  <c r="E22" i="43"/>
  <c r="G22" i="43"/>
  <c r="F22" i="43"/>
  <c r="H22" i="43"/>
  <c r="D22" i="43"/>
  <c r="C21" i="43"/>
  <c r="C8" i="68"/>
  <c r="C19" i="68"/>
  <c r="B22" i="1"/>
  <c r="E1" i="73"/>
  <c r="B23" i="1"/>
  <c r="B24" i="1"/>
  <c r="M16" i="1"/>
  <c r="N16" i="1" s="1"/>
  <c r="G60" i="43"/>
  <c r="G61" i="43"/>
  <c r="G62" i="43"/>
  <c r="G63" i="43"/>
  <c r="G64" i="43"/>
  <c r="G65" i="43"/>
  <c r="G66" i="43"/>
  <c r="G67" i="43"/>
  <c r="G59" i="43"/>
  <c r="C19" i="43"/>
  <c r="D29" i="43"/>
  <c r="F19" i="6"/>
  <c r="F20" i="6"/>
  <c r="A3" i="3"/>
  <c r="C37" i="77"/>
  <c r="C11" i="77"/>
  <c r="C22" i="77"/>
  <c r="E29" i="77"/>
  <c r="E25" i="77"/>
  <c r="F19" i="77"/>
  <c r="F16" i="77"/>
  <c r="E16" i="77"/>
  <c r="E15" i="77"/>
  <c r="C15" i="77"/>
  <c r="P9" i="77"/>
  <c r="O10" i="77"/>
  <c r="M10" i="77"/>
  <c r="M4" i="77"/>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0" i="43"/>
  <c r="D61" i="43"/>
  <c r="K62" i="43"/>
  <c r="D63" i="43"/>
  <c r="K64" i="43"/>
  <c r="K66" i="43"/>
  <c r="D66" i="43"/>
  <c r="M59"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K65" i="43"/>
  <c r="J65" i="43"/>
  <c r="M64" i="43"/>
  <c r="N64" i="43"/>
  <c r="J64" i="43"/>
  <c r="M63" i="43"/>
  <c r="N63" i="43"/>
  <c r="K63" i="43"/>
  <c r="J63" i="43"/>
  <c r="M62" i="43"/>
  <c r="N62" i="43"/>
  <c r="J62" i="43"/>
  <c r="M61" i="43"/>
  <c r="N61" i="43"/>
  <c r="K61" i="43"/>
  <c r="J61" i="43"/>
  <c r="M60" i="43"/>
  <c r="N60" i="43"/>
  <c r="K60" i="43"/>
  <c r="J60"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4" i="34"/>
  <c r="F124" i="34"/>
  <c r="G124" i="34"/>
  <c r="H124" i="34"/>
  <c r="I124" i="34"/>
  <c r="J124" i="34"/>
  <c r="K124" i="34"/>
  <c r="L124" i="34"/>
  <c r="M124" i="34"/>
  <c r="E118" i="34"/>
  <c r="F118" i="34"/>
  <c r="G118" i="34"/>
  <c r="E116" i="34"/>
  <c r="F116" i="34" s="1"/>
  <c r="G116" i="34" s="1"/>
  <c r="H116" i="34" s="1"/>
  <c r="I116" i="34" s="1"/>
  <c r="J116" i="34" s="1"/>
  <c r="K116" i="34" s="1"/>
  <c r="L116" i="34" s="1"/>
  <c r="M116" i="34" s="1"/>
  <c r="F110" i="34"/>
  <c r="E110" i="34"/>
  <c r="D110" i="34"/>
  <c r="C110"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92" i="34"/>
  <c r="E92" i="34"/>
  <c r="F92" i="34"/>
  <c r="G92" i="34"/>
  <c r="H92" i="34"/>
  <c r="I92" i="34"/>
  <c r="J92" i="34"/>
  <c r="K92" i="34"/>
  <c r="L92" i="34"/>
  <c r="M92" i="34"/>
  <c r="B91" i="34"/>
  <c r="B89" i="34"/>
  <c r="J27" i="34"/>
  <c r="F88" i="34"/>
  <c r="G88" i="34"/>
  <c r="H88" i="34"/>
  <c r="I88" i="34"/>
  <c r="J88" i="34"/>
  <c r="K88" i="34"/>
  <c r="L88" i="34"/>
  <c r="M88" i="34"/>
  <c r="F86" i="34"/>
  <c r="G86" i="34"/>
  <c r="D82" i="34"/>
  <c r="E82" i="34"/>
  <c r="F82" i="34"/>
  <c r="G82" i="34"/>
  <c r="D80" i="34"/>
  <c r="E80" i="34"/>
  <c r="F80" i="34"/>
  <c r="G80"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7" i="34"/>
  <c r="AA27" i="34"/>
  <c r="S25" i="34"/>
  <c r="H23" i="34"/>
  <c r="U23" i="34"/>
  <c r="F19" i="34"/>
  <c r="H17"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AB23" i="34"/>
  <c r="F23" i="34"/>
  <c r="AA23" i="34"/>
  <c r="J19" i="34"/>
  <c r="AC19" i="34"/>
  <c r="F17" i="34"/>
  <c r="AA17" i="34"/>
  <c r="J17" i="34"/>
  <c r="W17" i="34"/>
  <c r="AB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S45" i="33"/>
  <c r="AB45" i="33"/>
  <c r="AB31" i="33"/>
  <c r="U31" i="33"/>
  <c r="W29" i="33"/>
  <c r="U13" i="33"/>
  <c r="AC28" i="21"/>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F35" i="43"/>
  <c r="F6" i="1"/>
  <c r="U17" i="39"/>
  <c r="S14" i="35"/>
  <c r="U43" i="21"/>
  <c r="U35" i="21"/>
  <c r="AC35" i="21"/>
  <c r="U10" i="21"/>
  <c r="G8" i="1"/>
  <c r="G9" i="1"/>
  <c r="G10" i="1"/>
  <c r="F48" i="9"/>
  <c r="O52" i="9"/>
  <c r="AC11" i="39"/>
  <c r="W37" i="37"/>
  <c r="S15" i="37"/>
  <c r="U13" i="37"/>
  <c r="U12" i="40"/>
  <c r="AA12" i="40"/>
  <c r="J37" i="33"/>
  <c r="W37" i="33"/>
  <c r="AC17" i="34"/>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F28" i="6"/>
  <c r="U30" i="33"/>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A31" i="34"/>
  <c r="AA30" i="34"/>
  <c r="U25" i="34"/>
  <c r="W33" i="34"/>
  <c r="AC32" i="34"/>
  <c r="W29" i="34"/>
  <c r="W46" i="34"/>
  <c r="S32" i="34"/>
  <c r="AA32" i="34"/>
  <c r="U30" i="34"/>
  <c r="AB30" i="34"/>
  <c r="S37" i="34"/>
  <c r="U38" i="34"/>
  <c r="W40" i="34"/>
  <c r="AA19" i="34"/>
  <c r="S19" i="34"/>
  <c r="S36" i="34"/>
  <c r="S8" i="34"/>
  <c r="U9" i="34"/>
  <c r="S46" i="34"/>
  <c r="U32" i="34"/>
  <c r="AB32" i="34"/>
  <c r="U14" i="34"/>
  <c r="W43" i="34"/>
  <c r="W23" i="34"/>
  <c r="AC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AQ13" i="1"/>
  <c r="O6" i="1"/>
  <c r="P6" i="1"/>
  <c r="F30" i="68"/>
  <c r="F30" i="11"/>
  <c r="C48" i="11"/>
  <c r="F28" i="67"/>
  <c r="F52" i="9"/>
  <c r="M18" i="67"/>
  <c r="F32" i="67"/>
  <c r="F60" i="67"/>
  <c r="F30" i="69"/>
  <c r="C48" i="69"/>
  <c r="F32" i="15"/>
  <c r="F60" i="15"/>
  <c r="M18" i="15"/>
  <c r="F28" i="15"/>
  <c r="E63" i="39"/>
  <c r="T11" i="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O7" i="1"/>
  <c r="Q16" i="1"/>
  <c r="F27" i="11" s="1"/>
  <c r="C47" i="11" s="1"/>
  <c r="D45" i="11" s="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s="1"/>
  <c r="P7" i="1"/>
  <c r="S20" i="6"/>
  <c r="I19" i="6"/>
  <c r="M27" i="6"/>
  <c r="AC11" i="37"/>
  <c r="W11" i="37"/>
  <c r="W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s="1"/>
  <c r="C15" i="12" s="1"/>
  <c r="F34" i="11"/>
  <c r="C37" i="11" s="1"/>
  <c r="F11" i="12"/>
  <c r="C23" i="12" s="1"/>
  <c r="H19" i="6"/>
  <c r="S19" i="6"/>
  <c r="S27" i="6"/>
  <c r="I27" i="6"/>
  <c r="L16" i="1"/>
  <c r="C34" i="11"/>
  <c r="C38" i="11" s="1"/>
  <c r="R26" i="6"/>
  <c r="R23" i="6"/>
  <c r="R24" i="6"/>
  <c r="R21" i="6"/>
  <c r="R22" i="6"/>
  <c r="D30" i="6"/>
  <c r="D16" i="6"/>
  <c r="A7" i="51"/>
  <c r="B7" i="72"/>
  <c r="C4" i="52"/>
  <c r="B45" i="72"/>
  <c r="A10" i="51"/>
  <c r="B9" i="72"/>
  <c r="D27" i="6"/>
  <c r="H27" i="6"/>
  <c r="R19" i="6"/>
  <c r="D31" i="6"/>
  <c r="I6" i="6"/>
  <c r="R27" i="6"/>
  <c r="R6" i="1"/>
  <c r="I5" i="6"/>
  <c r="E2" i="70"/>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G16" i="1"/>
  <c r="J1" i="73"/>
  <c r="AA7" i="33"/>
  <c r="R48" i="33"/>
  <c r="C36"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Y9" i="71"/>
  <c r="Z9" i="71"/>
  <c r="AB3" i="71"/>
  <c r="X3" i="71"/>
  <c r="E10" i="49"/>
  <c r="AF3" i="71"/>
  <c r="P24" i="43"/>
  <c r="B66" i="40"/>
  <c r="P21" i="43"/>
  <c r="P22" i="43"/>
  <c r="B9" i="49"/>
  <c r="B8" i="49"/>
  <c r="B14" i="49"/>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W7" i="34"/>
  <c r="E43" i="35"/>
  <c r="F43" i="35"/>
  <c r="E42" i="35"/>
  <c r="F42" i="35"/>
  <c r="C36" i="36"/>
  <c r="C37" i="36"/>
  <c r="C42" i="37"/>
  <c r="C43" i="37"/>
  <c r="G52" i="21"/>
  <c r="H52" i="21"/>
  <c r="G53" i="21"/>
  <c r="H53" i="21"/>
  <c r="I43" i="35"/>
  <c r="J43" i="35"/>
  <c r="H7" i="34"/>
  <c r="E48" i="21"/>
  <c r="R49" i="21"/>
  <c r="C38" i="35"/>
  <c r="C39" i="35"/>
  <c r="S7" i="34"/>
  <c r="AA7" i="34"/>
  <c r="I52" i="21"/>
  <c r="J52" i="21"/>
  <c r="I53" i="21"/>
  <c r="J53" i="21"/>
  <c r="E40" i="36"/>
  <c r="F40" i="36"/>
  <c r="E41" i="36"/>
  <c r="F41" i="36"/>
  <c r="I41" i="36"/>
  <c r="J41" i="36"/>
  <c r="E47" i="37"/>
  <c r="F47" i="37"/>
  <c r="E46" i="37"/>
  <c r="F46" i="37"/>
  <c r="G68" i="39"/>
  <c r="F70" i="39"/>
  <c r="M20" i="43"/>
  <c r="U9"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E13" i="49"/>
  <c r="E8" i="49"/>
  <c r="E22" i="49"/>
  <c r="F59" i="15"/>
  <c r="F59" i="67"/>
  <c r="M17" i="15"/>
  <c r="M17" i="67"/>
  <c r="D113" i="43"/>
  <c r="AB7" i="71"/>
  <c r="F27" i="68"/>
  <c r="C34" i="68"/>
  <c r="C36" i="68"/>
  <c r="D10" i="68"/>
  <c r="F27" i="78"/>
  <c r="C34" i="78"/>
  <c r="C36" i="78"/>
  <c r="D10" i="78"/>
  <c r="F4" i="73"/>
  <c r="F26" i="15"/>
  <c r="F35" i="15"/>
  <c r="F13" i="15"/>
  <c r="F38" i="15"/>
  <c r="F41" i="15"/>
  <c r="F9" i="15"/>
  <c r="D4" i="73"/>
  <c r="D5" i="73"/>
  <c r="D9" i="68"/>
  <c r="D9" i="78"/>
  <c r="F8" i="15"/>
  <c r="F7" i="15"/>
  <c r="C14" i="15"/>
  <c r="F16" i="15"/>
  <c r="F43" i="15"/>
  <c r="F36" i="15"/>
  <c r="F37" i="15"/>
  <c r="F40" i="15"/>
  <c r="F6" i="15"/>
  <c r="F42" i="15"/>
  <c r="F27" i="69"/>
  <c r="C36" i="69"/>
  <c r="C34" i="69"/>
  <c r="L48" i="15"/>
  <c r="L48" i="67"/>
  <c r="F26" i="67"/>
  <c r="M9" i="67"/>
  <c r="M27" i="67"/>
  <c r="M29" i="67"/>
  <c r="M8" i="15"/>
  <c r="M9" i="15"/>
  <c r="M21" i="15"/>
  <c r="D2" i="21"/>
  <c r="E11" i="76"/>
  <c r="F36" i="67"/>
  <c r="AO12" i="1"/>
  <c r="D34" i="9"/>
  <c r="E9" i="76"/>
  <c r="F42" i="67"/>
  <c r="J15" i="15"/>
  <c r="F7" i="67"/>
  <c r="M24" i="67"/>
  <c r="AO13" i="1"/>
  <c r="B13" i="76"/>
  <c r="M28" i="67"/>
  <c r="M23" i="15"/>
  <c r="J15" i="67"/>
  <c r="F3" i="73"/>
  <c r="L47" i="67"/>
  <c r="M29" i="15"/>
  <c r="M22" i="67"/>
  <c r="M8" i="67"/>
  <c r="C20" i="9"/>
  <c r="F9" i="67"/>
  <c r="B11" i="76"/>
  <c r="AO11" i="1"/>
  <c r="D6" i="73"/>
  <c r="E7" i="76"/>
  <c r="E10" i="76"/>
  <c r="M23" i="67"/>
  <c r="E12" i="76"/>
  <c r="F38" i="67"/>
  <c r="E13" i="76"/>
  <c r="M28" i="15"/>
  <c r="F41" i="67"/>
  <c r="M26" i="67"/>
  <c r="D35" i="9"/>
  <c r="D9" i="69"/>
  <c r="D10" i="69"/>
  <c r="D2" i="33"/>
  <c r="B10" i="76"/>
  <c r="B8" i="76"/>
  <c r="M6" i="15"/>
  <c r="F20" i="31"/>
  <c r="F5" i="73"/>
  <c r="F7" i="73"/>
  <c r="M6" i="67"/>
  <c r="F6" i="67"/>
  <c r="D20" i="9"/>
  <c r="F40" i="67"/>
  <c r="M21" i="67"/>
  <c r="F35" i="67"/>
  <c r="C76" i="15"/>
  <c r="D2" i="36"/>
  <c r="F13" i="67"/>
  <c r="C76" i="67"/>
  <c r="B9" i="76"/>
  <c r="B7" i="76"/>
  <c r="D19" i="9"/>
  <c r="AO8" i="1"/>
  <c r="C19" i="9"/>
  <c r="M26" i="15"/>
  <c r="F16" i="67"/>
  <c r="F6" i="73"/>
  <c r="D2" i="37"/>
  <c r="L47" i="15"/>
  <c r="AO9" i="1"/>
  <c r="F37" i="67"/>
  <c r="D7" i="73"/>
  <c r="F8" i="67"/>
  <c r="M24" i="15"/>
  <c r="AO10" i="1"/>
  <c r="E2" i="69"/>
  <c r="M22" i="15"/>
  <c r="E8" i="76"/>
  <c r="D2" i="35"/>
  <c r="F43" i="67"/>
  <c r="B12" i="76"/>
  <c r="M27" i="15"/>
  <c r="D3" i="73"/>
  <c r="B4" i="49" l="1"/>
  <c r="E11" i="49"/>
  <c r="E21" i="49"/>
  <c r="E9" i="49"/>
  <c r="B22" i="49"/>
  <c r="E4" i="49"/>
  <c r="E6" i="49"/>
  <c r="B13" i="49"/>
  <c r="E14" i="49"/>
  <c r="E7" i="49"/>
  <c r="B10" i="49"/>
  <c r="C4" i="4" s="1"/>
  <c r="B6" i="49"/>
  <c r="E4" i="4" s="1"/>
  <c r="B5" i="62" s="1"/>
  <c r="B73" i="72" s="1"/>
  <c r="W39" i="81"/>
  <c r="H44" i="81"/>
  <c r="J44" i="81"/>
  <c r="G126" i="81"/>
  <c r="F44" i="81"/>
  <c r="S45" i="81"/>
  <c r="U45" i="81"/>
  <c r="F44" i="34"/>
  <c r="H44" i="34"/>
  <c r="J44" i="34"/>
  <c r="G126" i="34"/>
  <c r="C9" i="77"/>
  <c r="C10" i="77"/>
  <c r="C28" i="11"/>
  <c r="C27" i="11" s="1"/>
  <c r="C29" i="11"/>
  <c r="D27" i="11" s="1"/>
  <c r="O16" i="1"/>
  <c r="C12" i="77"/>
  <c r="C35" i="11"/>
  <c r="C33" i="11" s="1"/>
  <c r="C39" i="11" s="1"/>
  <c r="C46" i="11" s="1"/>
  <c r="C45" i="11" s="1"/>
  <c r="F50" i="69"/>
  <c r="F50" i="11"/>
  <c r="C14" i="79"/>
  <c r="C20" i="79" s="1"/>
  <c r="C19" i="79" s="1"/>
  <c r="C12" i="12"/>
  <c r="R16" i="1"/>
  <c r="C14" i="12"/>
  <c r="C16" i="12" s="1"/>
  <c r="C18" i="12"/>
  <c r="F71" i="67"/>
  <c r="B2" i="35"/>
  <c r="B3" i="35" s="1"/>
  <c r="B10" i="70"/>
  <c r="F51" i="67"/>
  <c r="F65" i="67"/>
  <c r="B9" i="70"/>
  <c r="N59" i="15"/>
  <c r="L59" i="15"/>
  <c r="M59" i="15"/>
  <c r="L58" i="15"/>
  <c r="B2" i="37"/>
  <c r="B3" i="37" s="1"/>
  <c r="D22" i="9"/>
  <c r="C21" i="9"/>
  <c r="G19" i="9"/>
  <c r="C102" i="9"/>
  <c r="B8" i="70"/>
  <c r="D102" i="9"/>
  <c r="D21" i="9"/>
  <c r="Q71" i="67"/>
  <c r="B2" i="36"/>
  <c r="B3" i="36" s="1"/>
  <c r="Q71" i="15"/>
  <c r="F63" i="67"/>
  <c r="C62" i="67" s="1"/>
  <c r="C34" i="67"/>
  <c r="J20" i="67"/>
  <c r="F68" i="67"/>
  <c r="D103" i="9"/>
  <c r="C6" i="67"/>
  <c r="B20" i="31"/>
  <c r="B2" i="33"/>
  <c r="B3" i="33" s="1"/>
  <c r="C10" i="69"/>
  <c r="C9" i="69"/>
  <c r="D19" i="69"/>
  <c r="F69" i="67"/>
  <c r="F66" i="67"/>
  <c r="B11" i="70"/>
  <c r="C103" i="9"/>
  <c r="G20" i="9"/>
  <c r="M59" i="67"/>
  <c r="N59" i="67"/>
  <c r="L58" i="67"/>
  <c r="L59" i="67"/>
  <c r="B13" i="70"/>
  <c r="F50" i="67"/>
  <c r="M7" i="67"/>
  <c r="J6" i="67" s="1"/>
  <c r="F70" i="67"/>
  <c r="B12" i="70"/>
  <c r="F64" i="67"/>
  <c r="B2" i="21"/>
  <c r="B3" i="21" s="1"/>
  <c r="J20" i="15"/>
  <c r="C27" i="67"/>
  <c r="J53" i="67"/>
  <c r="I54" i="67"/>
  <c r="L56" i="67"/>
  <c r="J57" i="67"/>
  <c r="J55" i="67" s="1"/>
  <c r="J58" i="67" s="1"/>
  <c r="Q50" i="67" s="1"/>
  <c r="J53" i="15"/>
  <c r="L56" i="15" s="1"/>
  <c r="J57" i="15"/>
  <c r="J55" i="15" s="1"/>
  <c r="J58" i="15" s="1"/>
  <c r="Q50" i="15" s="1"/>
  <c r="I54" i="15"/>
  <c r="C35" i="69"/>
  <c r="C38" i="69"/>
  <c r="C47" i="69"/>
  <c r="D45" i="69" s="1"/>
  <c r="C29" i="69"/>
  <c r="D27" i="69" s="1"/>
  <c r="C6" i="15"/>
  <c r="F68" i="15"/>
  <c r="F65" i="15"/>
  <c r="F64" i="15"/>
  <c r="F71" i="15"/>
  <c r="C15" i="15"/>
  <c r="C18" i="15"/>
  <c r="F50" i="15"/>
  <c r="M7" i="15"/>
  <c r="J6" i="15" s="1"/>
  <c r="F51" i="15"/>
  <c r="C49" i="15" s="1"/>
  <c r="C9" i="78"/>
  <c r="D19" i="78"/>
  <c r="D37" i="78" s="1"/>
  <c r="C37" i="78" s="1"/>
  <c r="C9" i="68"/>
  <c r="D19" i="68"/>
  <c r="D37" i="68" s="1"/>
  <c r="C37" i="68" s="1"/>
  <c r="K1" i="73"/>
  <c r="E20" i="43"/>
  <c r="F69" i="15"/>
  <c r="F66" i="15"/>
  <c r="C34" i="15"/>
  <c r="F63" i="15"/>
  <c r="C62" i="15" s="1"/>
  <c r="C27" i="15"/>
  <c r="I1" i="73"/>
  <c r="B39" i="1" s="1"/>
  <c r="C10" i="78"/>
  <c r="C38" i="78"/>
  <c r="C35" i="78"/>
  <c r="C47" i="78"/>
  <c r="D45" i="78" s="1"/>
  <c r="C29" i="78"/>
  <c r="D27" i="78" s="1"/>
  <c r="C10" i="68"/>
  <c r="C38" i="68"/>
  <c r="C35" i="68"/>
  <c r="C47" i="68"/>
  <c r="D45" i="68" s="1"/>
  <c r="C29" i="68"/>
  <c r="D27" i="68" s="1"/>
  <c r="K4" i="4"/>
  <c r="B46" i="48" s="1"/>
  <c r="B4" i="72" s="1"/>
  <c r="B4" i="62"/>
  <c r="B71" i="72" s="1"/>
  <c r="C14" i="67"/>
  <c r="C17" i="15"/>
  <c r="C17" i="67"/>
  <c r="C16" i="67"/>
  <c r="G1" i="73"/>
  <c r="C16" i="15"/>
  <c r="AA44" i="81" l="1"/>
  <c r="R49" i="81" s="1"/>
  <c r="S44" i="81"/>
  <c r="AC44" i="81"/>
  <c r="V49" i="81" s="1"/>
  <c r="I49" i="81" s="1"/>
  <c r="I53" i="81" s="1"/>
  <c r="J53" i="81" s="1"/>
  <c r="W44" i="81"/>
  <c r="U44" i="81"/>
  <c r="AB44" i="81"/>
  <c r="T49" i="81" s="1"/>
  <c r="G49" i="81" s="1"/>
  <c r="U44" i="34"/>
  <c r="AB44" i="34"/>
  <c r="T49" i="34" s="1"/>
  <c r="G49" i="34" s="1"/>
  <c r="AC44" i="34"/>
  <c r="V49" i="34" s="1"/>
  <c r="I49" i="34" s="1"/>
  <c r="W44" i="34"/>
  <c r="S44" i="34"/>
  <c r="AA44" i="34"/>
  <c r="R49" i="34" s="1"/>
  <c r="C13" i="77"/>
  <c r="C14" i="77" s="1"/>
  <c r="C21" i="12"/>
  <c r="C22" i="12" s="1"/>
  <c r="C30" i="12" s="1"/>
  <c r="C28" i="12" s="1"/>
  <c r="C33" i="68"/>
  <c r="C39" i="68" s="1"/>
  <c r="C46" i="68" s="1"/>
  <c r="C45" i="68" s="1"/>
  <c r="C33" i="78"/>
  <c r="C39" i="78" s="1"/>
  <c r="C46" i="78" s="1"/>
  <c r="C45" i="78" s="1"/>
  <c r="C49" i="67"/>
  <c r="C19" i="15"/>
  <c r="B40" i="1"/>
  <c r="C18" i="67"/>
  <c r="C15" i="67"/>
  <c r="J18" i="15"/>
  <c r="J18" i="67"/>
  <c r="F11" i="15"/>
  <c r="M11" i="15"/>
  <c r="J10" i="15" s="1"/>
  <c r="J5" i="15" s="1"/>
  <c r="M11" i="67"/>
  <c r="J10" i="67" s="1"/>
  <c r="J5" i="67" s="1"/>
  <c r="F11" i="67"/>
  <c r="C32" i="15"/>
  <c r="F1" i="15"/>
  <c r="Q52" i="15"/>
  <c r="F1" i="67"/>
  <c r="Q52" i="67"/>
  <c r="Q61" i="67"/>
  <c r="Q74" i="67"/>
  <c r="C8" i="69"/>
  <c r="C32" i="67"/>
  <c r="N28" i="43"/>
  <c r="G20" i="43" s="1"/>
  <c r="M28" i="43"/>
  <c r="P28" i="43"/>
  <c r="O28" i="43"/>
  <c r="Q60" i="67"/>
  <c r="Q73" i="67"/>
  <c r="C19" i="69"/>
  <c r="D37" i="69"/>
  <c r="C37" i="69" s="1"/>
  <c r="C33" i="69" s="1"/>
  <c r="G21" i="9"/>
  <c r="C32" i="9"/>
  <c r="Q73" i="15"/>
  <c r="Q60" i="15"/>
  <c r="Q74" i="15"/>
  <c r="Q61" i="15"/>
  <c r="AE6" i="1"/>
  <c r="AE7" i="1"/>
  <c r="G53" i="81" l="1"/>
  <c r="H53" i="81" s="1"/>
  <c r="G54" i="81"/>
  <c r="H54" i="81" s="1"/>
  <c r="E49" i="81"/>
  <c r="R50" i="81"/>
  <c r="E49" i="34"/>
  <c r="R50" i="34"/>
  <c r="G54" i="34"/>
  <c r="H54" i="34" s="1"/>
  <c r="G53" i="34"/>
  <c r="H53" i="34" s="1"/>
  <c r="I54" i="34"/>
  <c r="J54" i="34" s="1"/>
  <c r="I53" i="34"/>
  <c r="J53" i="34" s="1"/>
  <c r="C17" i="77"/>
  <c r="C16" i="77" s="1"/>
  <c r="C20" i="77"/>
  <c r="C19" i="77" s="1"/>
  <c r="C19" i="67"/>
  <c r="C20" i="67" s="1"/>
  <c r="C26" i="67" s="1"/>
  <c r="C23" i="77"/>
  <c r="J24" i="67"/>
  <c r="J26" i="67"/>
  <c r="J29" i="67" s="1"/>
  <c r="J26" i="15"/>
  <c r="J29" i="15" s="1"/>
  <c r="J24" i="15"/>
  <c r="H118" i="9"/>
  <c r="C35" i="9"/>
  <c r="F118" i="9" s="1"/>
  <c r="C39" i="69"/>
  <c r="C10" i="67"/>
  <c r="C5" i="67" s="1"/>
  <c r="C53" i="67"/>
  <c r="C48" i="67" s="1"/>
  <c r="F24" i="15"/>
  <c r="C24" i="15" s="1"/>
  <c r="F22" i="68"/>
  <c r="F22" i="78"/>
  <c r="C43" i="78" s="1"/>
  <c r="I18" i="79"/>
  <c r="F22" i="69"/>
  <c r="F25" i="12"/>
  <c r="F22" i="11"/>
  <c r="F24" i="67"/>
  <c r="C24" i="67" s="1"/>
  <c r="C24" i="69"/>
  <c r="C20" i="43"/>
  <c r="E41" i="43"/>
  <c r="C41" i="43" s="1"/>
  <c r="C53" i="15"/>
  <c r="C48" i="15" s="1"/>
  <c r="C10" i="15"/>
  <c r="C5" i="15" s="1"/>
  <c r="C43" i="68"/>
  <c r="C20" i="15"/>
  <c r="C26" i="15" s="1"/>
  <c r="C50" i="81" l="1"/>
  <c r="C49" i="81"/>
  <c r="D36" i="77" s="1"/>
  <c r="J8" i="77" s="1"/>
  <c r="I54" i="81"/>
  <c r="J54" i="81" s="1"/>
  <c r="E54" i="81"/>
  <c r="F54" i="81" s="1"/>
  <c r="E53" i="81"/>
  <c r="F53" i="81" s="1"/>
  <c r="C50" i="34"/>
  <c r="C49" i="34"/>
  <c r="E54" i="34"/>
  <c r="F54" i="34" s="1"/>
  <c r="E53" i="34"/>
  <c r="F53" i="34" s="1"/>
  <c r="C7" i="77"/>
  <c r="C28" i="77" s="1"/>
  <c r="C27" i="77"/>
  <c r="C23" i="15"/>
  <c r="C29" i="15" s="1"/>
  <c r="C57" i="15" s="1"/>
  <c r="C43" i="69"/>
  <c r="C36" i="15"/>
  <c r="C38" i="15"/>
  <c r="C39" i="43"/>
  <c r="C38" i="43"/>
  <c r="C23" i="11"/>
  <c r="C24" i="11"/>
  <c r="C43" i="11"/>
  <c r="C25" i="11"/>
  <c r="C44" i="11"/>
  <c r="D41" i="11" s="1"/>
  <c r="C26" i="11"/>
  <c r="D22" i="11" s="1"/>
  <c r="C42" i="11"/>
  <c r="C41" i="11" s="1"/>
  <c r="C49" i="11" s="1"/>
  <c r="C51" i="11" s="1"/>
  <c r="C44" i="69"/>
  <c r="D41" i="69" s="1"/>
  <c r="C26" i="69"/>
  <c r="D22" i="69" s="1"/>
  <c r="C44" i="78"/>
  <c r="D41" i="78" s="1"/>
  <c r="C24" i="78"/>
  <c r="C26" i="78"/>
  <c r="D22" i="78" s="1"/>
  <c r="C42" i="78"/>
  <c r="C41" i="78" s="1"/>
  <c r="C60" i="67"/>
  <c r="C66" i="67"/>
  <c r="C42" i="69"/>
  <c r="C46" i="69"/>
  <c r="C45" i="69" s="1"/>
  <c r="I118" i="9"/>
  <c r="H119" i="9"/>
  <c r="H5" i="52" s="1"/>
  <c r="H101" i="9"/>
  <c r="H4" i="52"/>
  <c r="C104" i="9"/>
  <c r="C23" i="67"/>
  <c r="C29" i="67" s="1"/>
  <c r="C60" i="15"/>
  <c r="C66" i="15"/>
  <c r="C29" i="43"/>
  <c r="T3" i="43"/>
  <c r="V3" i="43" s="1"/>
  <c r="T6" i="43"/>
  <c r="V6" i="43" s="1"/>
  <c r="T14" i="43"/>
  <c r="V14" i="43" s="1"/>
  <c r="T5" i="43"/>
  <c r="V5"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C26" i="12"/>
  <c r="D25" i="12" s="1"/>
  <c r="C27" i="12"/>
  <c r="C25" i="12" s="1"/>
  <c r="C17" i="79"/>
  <c r="C18" i="79"/>
  <c r="E16" i="79" s="1"/>
  <c r="C44" i="68"/>
  <c r="D41" i="68" s="1"/>
  <c r="C24" i="68"/>
  <c r="C26" i="68"/>
  <c r="D22" i="68" s="1"/>
  <c r="C42" i="68"/>
  <c r="C41" i="68" s="1"/>
  <c r="C38" i="67"/>
  <c r="F4" i="52"/>
  <c r="B51" i="72" s="1"/>
  <c r="F119" i="9"/>
  <c r="F5" i="52" s="1"/>
  <c r="B53" i="72" s="1"/>
  <c r="G118" i="9"/>
  <c r="G4" i="52" s="1"/>
  <c r="B52" i="72" s="1"/>
  <c r="C34" i="9"/>
  <c r="D118" i="9" s="1"/>
  <c r="C7" i="82" l="1"/>
  <c r="B2" i="81"/>
  <c r="B3" i="81"/>
  <c r="D36" i="79"/>
  <c r="J8" i="79" s="1"/>
  <c r="C6" i="82"/>
  <c r="B3" i="34"/>
  <c r="B2" i="34"/>
  <c r="C24" i="77"/>
  <c r="Q49" i="15"/>
  <c r="J14" i="15"/>
  <c r="J13" i="15" s="1"/>
  <c r="J23" i="15" s="1"/>
  <c r="C13" i="15"/>
  <c r="C37" i="15" s="1"/>
  <c r="C30" i="15" s="1"/>
  <c r="C39" i="15" s="1"/>
  <c r="J59" i="15"/>
  <c r="J60" i="15" s="1"/>
  <c r="Q48" i="15" s="1"/>
  <c r="J19" i="15"/>
  <c r="J17" i="15" s="1"/>
  <c r="C33" i="15"/>
  <c r="C31" i="15" s="1"/>
  <c r="C49" i="68"/>
  <c r="C51" i="68" s="1"/>
  <c r="C32" i="12"/>
  <c r="B2" i="12" s="1"/>
  <c r="B3" i="12" s="1"/>
  <c r="C41" i="69"/>
  <c r="E37" i="43"/>
  <c r="G37" i="43"/>
  <c r="I37" i="43" s="1"/>
  <c r="E35" i="43"/>
  <c r="G35" i="43"/>
  <c r="I35" i="43" s="1"/>
  <c r="E36" i="43"/>
  <c r="G36" i="43"/>
  <c r="I36" i="43" s="1"/>
  <c r="C6" i="68"/>
  <c r="C6" i="78"/>
  <c r="E29" i="43"/>
  <c r="C6" i="69"/>
  <c r="C30" i="43"/>
  <c r="E30" i="43" s="1"/>
  <c r="J19" i="67"/>
  <c r="J17" i="67" s="1"/>
  <c r="C33" i="67"/>
  <c r="C31" i="67" s="1"/>
  <c r="C57" i="67"/>
  <c r="C36" i="67"/>
  <c r="C13" i="67"/>
  <c r="Q49" i="67"/>
  <c r="J14" i="67"/>
  <c r="J59" i="67"/>
  <c r="J60" i="67" s="1"/>
  <c r="G38" i="43"/>
  <c r="I38" i="43" s="1"/>
  <c r="E38" i="43"/>
  <c r="C61" i="15"/>
  <c r="C59" i="15" s="1"/>
  <c r="C64" i="15"/>
  <c r="D4" i="52"/>
  <c r="B47" i="72" s="1"/>
  <c r="D119" i="9"/>
  <c r="D5" i="52" s="1"/>
  <c r="B49" i="72" s="1"/>
  <c r="C23" i="79"/>
  <c r="C16" i="79"/>
  <c r="E34" i="43"/>
  <c r="G34" i="43"/>
  <c r="I34" i="43" s="1"/>
  <c r="E33" i="43"/>
  <c r="G33" i="43"/>
  <c r="I33" i="43" s="1"/>
  <c r="H107" i="9"/>
  <c r="M48" i="9"/>
  <c r="D5" i="53"/>
  <c r="D45" i="9"/>
  <c r="C105" i="9"/>
  <c r="E118" i="9"/>
  <c r="E4" i="52" s="1"/>
  <c r="B48" i="72" s="1"/>
  <c r="H102" i="9"/>
  <c r="D7" i="53" s="1"/>
  <c r="B21" i="72" s="1"/>
  <c r="I4" i="52"/>
  <c r="C49" i="69"/>
  <c r="C51" i="69" s="1"/>
  <c r="C49" i="78"/>
  <c r="C51" i="78" s="1"/>
  <c r="C22" i="11"/>
  <c r="C31" i="11" s="1"/>
  <c r="C52" i="11" s="1"/>
  <c r="B2" i="11" s="1"/>
  <c r="B3" i="11" s="1"/>
  <c r="G39" i="43"/>
  <c r="I39" i="43" s="1"/>
  <c r="E39" i="43"/>
  <c r="J22" i="15"/>
  <c r="C56" i="15"/>
  <c r="C65" i="15" s="1"/>
  <c r="C75" i="15"/>
  <c r="Q70" i="15" l="1"/>
  <c r="L46" i="15"/>
  <c r="J16" i="15"/>
  <c r="J25" i="15" s="1"/>
  <c r="C56" i="11"/>
  <c r="C57" i="11" s="1"/>
  <c r="C58" i="15"/>
  <c r="C67" i="15" s="1"/>
  <c r="C68" i="15" s="1"/>
  <c r="C71" i="15" s="1"/>
  <c r="C40" i="15"/>
  <c r="Q69" i="15"/>
  <c r="Q68" i="15" s="1"/>
  <c r="D6" i="53"/>
  <c r="B22" i="72" s="1"/>
  <c r="B20" i="72"/>
  <c r="C64" i="9"/>
  <c r="C63" i="9" s="1"/>
  <c r="C67" i="9" s="1"/>
  <c r="C68" i="9" s="1"/>
  <c r="D54" i="9" s="1"/>
  <c r="D52" i="9"/>
  <c r="C78" i="9"/>
  <c r="C73" i="9" s="1"/>
  <c r="C85" i="9"/>
  <c r="D53" i="9"/>
  <c r="D55" i="9"/>
  <c r="M53" i="9" s="1"/>
  <c r="C72" i="9"/>
  <c r="C79" i="9" s="1"/>
  <c r="C93" i="9"/>
  <c r="C86" i="9" s="1"/>
  <c r="C7" i="79"/>
  <c r="C28" i="79" s="1"/>
  <c r="C27" i="79"/>
  <c r="J13" i="67"/>
  <c r="J23" i="67" s="1"/>
  <c r="J22" i="67"/>
  <c r="C75" i="67"/>
  <c r="Q70" i="67"/>
  <c r="C56" i="67"/>
  <c r="C65" i="67" s="1"/>
  <c r="C37" i="67"/>
  <c r="C30" i="67" s="1"/>
  <c r="C39" i="67" s="1"/>
  <c r="C61" i="67"/>
  <c r="C59" i="67" s="1"/>
  <c r="C64" i="67"/>
  <c r="C7" i="69"/>
  <c r="C5" i="69" s="1"/>
  <c r="C7" i="78"/>
  <c r="C5" i="78" s="1"/>
  <c r="C80" i="15"/>
  <c r="C79" i="15" s="1"/>
  <c r="H108" i="9"/>
  <c r="D15" i="53" s="1"/>
  <c r="B31" i="72" s="1"/>
  <c r="D13" i="53"/>
  <c r="D122" i="9"/>
  <c r="Q48" i="67"/>
  <c r="L46" i="67"/>
  <c r="C27" i="43"/>
  <c r="C26" i="43"/>
  <c r="C7" i="68"/>
  <c r="C5" i="68" s="1"/>
  <c r="L51" i="15"/>
  <c r="E6" i="76"/>
  <c r="J16" i="67" l="1"/>
  <c r="J25" i="67" s="1"/>
  <c r="C58" i="67"/>
  <c r="C67" i="67" s="1"/>
  <c r="C68" i="67" s="1"/>
  <c r="C71" i="67" s="1"/>
  <c r="C24" i="79"/>
  <c r="E2" i="76"/>
  <c r="Q67" i="15"/>
  <c r="L57" i="15"/>
  <c r="L60" i="15" s="1"/>
  <c r="C20" i="68"/>
  <c r="C25" i="68" s="1"/>
  <c r="C23" i="68"/>
  <c r="C28" i="68"/>
  <c r="C27" i="68" s="1"/>
  <c r="C20" i="78"/>
  <c r="C25" i="78" s="1"/>
  <c r="C23" i="78"/>
  <c r="B2" i="43"/>
  <c r="Q69" i="67"/>
  <c r="Q68" i="67" s="1"/>
  <c r="C40" i="67"/>
  <c r="D14" i="53"/>
  <c r="B32" i="72" s="1"/>
  <c r="B30" i="72"/>
  <c r="C80" i="67"/>
  <c r="C79" i="67" s="1"/>
  <c r="C80" i="9"/>
  <c r="E80" i="9" s="1"/>
  <c r="E81" i="9" s="1"/>
  <c r="C81" i="9"/>
  <c r="D123" i="9"/>
  <c r="D9" i="52" s="1"/>
  <c r="D8" i="52"/>
  <c r="C20" i="69"/>
  <c r="C25" i="69" s="1"/>
  <c r="C23" i="69"/>
  <c r="C95" i="9"/>
  <c r="B2" i="15"/>
  <c r="Q65" i="15"/>
  <c r="C43" i="15"/>
  <c r="Q47" i="15"/>
  <c r="Q53" i="15" s="1"/>
  <c r="Q56" i="15"/>
  <c r="C83" i="15"/>
  <c r="C82" i="15" s="1"/>
  <c r="C46" i="15"/>
  <c r="AO6" i="1"/>
  <c r="AO7" i="1"/>
  <c r="D2" i="34"/>
  <c r="E2" i="78"/>
  <c r="E2" i="68"/>
  <c r="D2" i="81"/>
  <c r="B6" i="76"/>
  <c r="L51" i="67"/>
  <c r="C28" i="78" l="1"/>
  <c r="C27" i="78" s="1"/>
  <c r="C28" i="69"/>
  <c r="C27" i="69" s="1"/>
  <c r="C22" i="78"/>
  <c r="C22" i="68"/>
  <c r="C31" i="68" s="1"/>
  <c r="C52" i="68" s="1"/>
  <c r="Q67" i="67"/>
  <c r="L57" i="67"/>
  <c r="L60" i="67" s="1"/>
  <c r="B2" i="76"/>
  <c r="B3" i="76" s="1"/>
  <c r="B7" i="70"/>
  <c r="B6" i="70"/>
  <c r="B2" i="70" s="1"/>
  <c r="B3" i="70" s="1"/>
  <c r="C96" i="9"/>
  <c r="E96" i="9" s="1"/>
  <c r="E97" i="9" s="1"/>
  <c r="C97" i="9"/>
  <c r="D58" i="9" s="1"/>
  <c r="D56" i="9" s="1"/>
  <c r="M54" i="9" s="1"/>
  <c r="N57" i="9" s="1"/>
  <c r="C22" i="69"/>
  <c r="C43" i="67"/>
  <c r="Q56" i="67"/>
  <c r="Q47" i="67"/>
  <c r="Q53" i="67" s="1"/>
  <c r="Q65" i="67"/>
  <c r="D2" i="67"/>
  <c r="C83" i="67"/>
  <c r="C82" i="67" s="1"/>
  <c r="B3" i="43"/>
  <c r="C45" i="67"/>
  <c r="C46" i="67" s="1"/>
  <c r="B3" i="15"/>
  <c r="Q57" i="15"/>
  <c r="Q62" i="15" s="1"/>
  <c r="Q66" i="15"/>
  <c r="Q75" i="15" s="1"/>
  <c r="C31" i="78" l="1"/>
  <c r="C52" i="78" s="1"/>
  <c r="B2" i="78" s="1"/>
  <c r="C3" i="77" s="1"/>
  <c r="C4" i="77" s="1"/>
  <c r="C30" i="77" s="1"/>
  <c r="C31" i="77" s="1"/>
  <c r="D37" i="77" s="1"/>
  <c r="C31" i="69"/>
  <c r="C52" i="69" s="1"/>
  <c r="B2" i="69" s="1"/>
  <c r="C57" i="68"/>
  <c r="C56" i="68" s="1"/>
  <c r="B2" i="68"/>
  <c r="N58" i="9"/>
  <c r="N59" i="9"/>
  <c r="P57" i="9"/>
  <c r="Q57" i="67"/>
  <c r="Q62" i="67" s="1"/>
  <c r="Q66" i="67"/>
  <c r="Q75" i="67" s="1"/>
  <c r="B3" i="67"/>
  <c r="B2" i="67"/>
  <c r="B3" i="69"/>
  <c r="B3" i="68"/>
  <c r="B3" i="78"/>
  <c r="D14" i="74" l="1"/>
  <c r="B5" i="74" s="1"/>
  <c r="C57" i="78"/>
  <c r="C56" i="78" s="1"/>
  <c r="C3" i="79"/>
  <c r="C4" i="79" s="1"/>
  <c r="C30" i="79" s="1"/>
  <c r="C31" i="79" s="1"/>
  <c r="D37" i="79" s="1"/>
  <c r="G36" i="79" s="1"/>
  <c r="C57" i="69"/>
  <c r="C56" i="69" s="1"/>
  <c r="G36" i="77"/>
  <c r="D7" i="82"/>
  <c r="E7" i="82" s="1"/>
  <c r="D38" i="77"/>
  <c r="J9" i="77"/>
  <c r="N60" i="9"/>
  <c r="N61" i="9"/>
  <c r="F14" i="74" l="1"/>
  <c r="G14" i="74"/>
  <c r="B6" i="74" s="1"/>
  <c r="D6" i="74" s="1"/>
  <c r="E14" i="74"/>
  <c r="D38" i="79"/>
  <c r="E39" i="79" s="1"/>
  <c r="E40" i="79" s="1"/>
  <c r="J9" i="79"/>
  <c r="D6" i="82"/>
  <c r="E6" i="82" s="1"/>
  <c r="B10" i="74"/>
  <c r="C5" i="74"/>
  <c r="D5" i="74"/>
  <c r="E39" i="77"/>
  <c r="E40" i="77" s="1"/>
  <c r="C39" i="77"/>
  <c r="C40" i="77" s="1"/>
  <c r="J10" i="77"/>
  <c r="C6" i="74" l="1"/>
  <c r="C39" i="79"/>
  <c r="C40" i="79" s="1"/>
  <c r="J1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<sst xmlns="http://schemas.openxmlformats.org/spreadsheetml/2006/main" count="8248" uniqueCount="3273">
  <si>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</si>
  <si>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</si>
  <si>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</si>
  <si>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</si>
  <si>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</si>
  <si>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</si>
  <si>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</si>
  <si>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</si>
  <si>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</si>
  <si>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</si>
  <si>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</si>
  <si>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</si>
  <si>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</si>
  <si>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</si>
  <si>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</si>
  <si>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</si>
  <si>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</si>
  <si>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</si>
  <si>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</si>
  <si>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</si>
  <si>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</si>
  <si>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</si>
  <si>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</si>
  <si>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</si>
  <si>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</si>
  <si>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</si>
  <si>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</si>
  <si>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</si>
  <si>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</si>
  <si>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</si>
  <si>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</si>
  <si>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</si>
  <si>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</si>
  <si>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</si>
  <si>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</si>
  <si>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</si>
  <si>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</si>
  <si>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</si>
  <si>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</si>
  <si>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</si>
  <si>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</si>
  <si>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</si>
  <si>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</si>
  <si>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</si>
  <si>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</si>
  <si>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</si>
  <si>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</si>
  <si>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</si>
  <si>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</si>
  <si>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</si>
  <si>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</si>
  <si>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</si>
  <si>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</si>
  <si>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</si>
  <si>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</si>
  <si>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</si>
  <si>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</si>
  <si>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</si>
  <si>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</si>
  <si>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</si>
  <si>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</si>
  <si>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</si>
  <si>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</si>
  <si>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</si>
  <si>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</si>
  <si>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</si>
  <si>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</si>
  <si>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</si>
  <si>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</si>
  <si>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</si>
  <si>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</si>
  <si>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</si>
  <si>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</si>
  <si>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</si>
  <si>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</si>
  <si>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</si>
  <si>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</si>
  <si>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</si>
  <si>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</si>
  <si>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</si>
  <si>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</si>
  <si>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</si>
  <si>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</si>
  <si>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</si>
  <si>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</si>
  <si>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</si>
  <si>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</si>
  <si>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</si>
  <si>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</si>
  <si>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</si>
  <si>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</si>
  <si>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</si>
  <si>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</si>
  <si>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</si>
  <si>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</si>
  <si>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</si>
  <si>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</si>
  <si>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</si>
  <si>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</si>
  <si>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</si>
  <si>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</si>
  <si>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</si>
  <si>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</si>
  <si>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</si>
  <si>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</si>
  <si>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</si>
  <si>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</si>
  <si>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</si>
  <si>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</si>
  <si>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</si>
  <si>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</si>
  <si>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</si>
  <si>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</si>
  <si>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</si>
  <si>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</si>
  <si>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</si>
  <si>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</si>
  <si>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</si>
  <si>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</si>
  <si>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</si>
  <si>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</si>
  <si>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</si>
  <si>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</si>
  <si>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</si>
  <si>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</si>
  <si>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</si>
  <si>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</si>
  <si>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</si>
  <si>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</si>
  <si>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</si>
  <si>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</si>
  <si>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</si>
  <si>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</si>
  <si>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</si>
  <si>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</si>
  <si>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</si>
  <si>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</si>
  <si>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</si>
  <si>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</si>
  <si>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</si>
  <si>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</si>
  <si>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</si>
  <si>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</si>
  <si>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</si>
  <si>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</si>
  <si>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</si>
  <si>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</si>
  <si>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</si>
  <si>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</si>
  <si>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</si>
  <si>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</si>
  <si>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</si>
  <si>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</si>
  <si>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</si>
  <si>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</si>
  <si>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</si>
  <si>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</si>
  <si>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</si>
  <si>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</si>
  <si>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</si>
  <si>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</si>
  <si>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</si>
  <si>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</si>
  <si>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</si>
  <si>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</si>
  <si>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</si>
  <si>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</si>
  <si>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</si>
  <si>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</si>
  <si>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</si>
  <si>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</si>
  <si>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</si>
  <si>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</si>
  <si>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</si>
  <si>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</si>
  <si>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</si>
  <si>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</si>
  <si>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</si>
  <si>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</si>
  <si>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</si>
  <si>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</si>
  <si>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</si>
  <si>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</si>
  <si>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</si>
  <si>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</si>
  <si>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</si>
  <si>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</si>
  <si>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</si>
  <si>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</si>
  <si>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</si>
  <si>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</si>
  <si>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</si>
  <si>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</si>
  <si>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</si>
  <si>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</si>
  <si>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</si>
  <si>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</si>
  <si>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</si>
  <si>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</si>
  <si>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</si>
  <si>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</si>
  <si>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</si>
  <si>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</si>
  <si>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</si>
  <si>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</si>
  <si>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</si>
  <si>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</si>
  <si>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</si>
  <si>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</si>
  <si>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</si>
  <si>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</si>
  <si>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</si>
  <si>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</si>
  <si>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</si>
  <si>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</si>
  <si>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</si>
  <si>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</si>
  <si>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</si>
  <si>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</si>
  <si>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</si>
  <si>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</si>
  <si>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</si>
  <si>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</si>
  <si>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</si>
  <si>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</si>
  <si>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</si>
  <si>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</si>
  <si>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</si>
  <si>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</si>
  <si>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</si>
  <si>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</si>
  <si>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</si>
  <si>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</si>
  <si>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</si>
  <si>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</si>
  <si>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</si>
  <si>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</si>
  <si>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</si>
  <si>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</si>
  <si>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</si>
  <si>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</si>
  <si>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</si>
  <si>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</si>
  <si>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</si>
  <si>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</si>
  <si>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</si>
  <si>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</si>
  <si>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</si>
  <si>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</si>
  <si>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</si>
  <si>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</si>
  <si>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</si>
  <si>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</si>
  <si>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</si>
  <si>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</si>
  <si>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</si>
  <si>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</si>
  <si>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</si>
  <si>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</si>
  <si>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</si>
  <si>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</si>
  <si>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</si>
  <si>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</si>
  <si>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</si>
  <si>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</si>
  <si>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</si>
  <si>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</si>
  <si>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</si>
  <si>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</si>
  <si>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</si>
  <si>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</si>
  <si>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</si>
  <si>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</si>
  <si>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</si>
  <si>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</si>
  <si>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</si>
  <si>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</si>
  <si>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</si>
  <si>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</si>
  <si>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</si>
  <si>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</si>
  <si>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</si>
  <si>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</si>
  <si>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</si>
  <si>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</si>
  <si>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</si>
  <si>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</si>
  <si>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</si>
  <si>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</si>
  <si>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</si>
  <si>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</si>
  <si>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</si>
  <si>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</si>
  <si>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</si>
  <si>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</si>
  <si>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</si>
  <si>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</si>
  <si>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</si>
  <si>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</si>
  <si>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</si>
  <si>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</si>
  <si>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</si>
  <si>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</si>
  <si>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</si>
  <si>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</si>
  <si>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</si>
  <si>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</si>
  <si>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</si>
  <si>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</si>
  <si>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</si>
  <si>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</si>
  <si>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</si>
  <si>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</si>
  <si>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</si>
  <si>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</si>
  <si>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</si>
  <si>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</si>
  <si>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</si>
  <si>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</si>
  <si>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</si>
  <si>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</si>
  <si>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</si>
  <si>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</si>
  <si>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</si>
  <si>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</si>
  <si>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</si>
  <si>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</si>
  <si>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</si>
  <si>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</si>
  <si>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</si>
  <si>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</si>
  <si>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</si>
  <si>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</si>
  <si>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</si>
  <si>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</si>
  <si>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</si>
  <si>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</si>
  <si>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</si>
  <si>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</si>
  <si>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</si>
  <si>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</si>
  <si>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</si>
  <si>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</si>
  <si>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</si>
  <si>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</si>
  <si>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</si>
  <si>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</si>
  <si>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</si>
  <si>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</si>
  <si>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</si>
  <si>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</si>
  <si>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</si>
  <si>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</si>
  <si>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</si>
  <si>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</si>
  <si>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</si>
  <si>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</si>
  <si>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</si>
  <si>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</si>
  <si>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</si>
  <si>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</si>
  <si>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</si>
  <si>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</si>
  <si>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</si>
  <si>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</si>
  <si>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</si>
  <si>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</si>
  <si>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</si>
  <si>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</si>
  <si>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</si>
  <si>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</si>
  <si>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</si>
  <si>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</si>
  <si>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</si>
  <si>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</si>
  <si>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</si>
  <si>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</si>
  <si>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</si>
  <si>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</si>
  <si>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</si>
  <si>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</si>
  <si>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</si>
  <si>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</si>
  <si>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</si>
  <si>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</si>
  <si>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</si>
  <si>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</si>
  <si>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</si>
  <si>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</si>
  <si>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</si>
  <si>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</si>
  <si>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</si>
  <si>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</si>
  <si>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</si>
  <si>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</si>
  <si>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</si>
  <si>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</si>
  <si>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</si>
  <si>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</si>
  <si>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</si>
  <si>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</si>
  <si>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</si>
  <si>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</si>
  <si>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</si>
  <si>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</si>
  <si>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</si>
  <si>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</si>
  <si>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</si>
  <si>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</si>
  <si>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</si>
  <si>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</si>
  <si>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</si>
  <si>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</si>
  <si>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</si>
  <si>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</si>
  <si>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</si>
  <si>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</si>
  <si>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</si>
  <si>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</si>
  <si>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</si>
  <si>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</si>
  <si>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</si>
  <si>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</si>
  <si>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</si>
  <si>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</si>
  <si>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</si>
  <si>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</si>
  <si>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</si>
  <si>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</si>
  <si>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</si>
  <si>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</si>
  <si>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</si>
  <si>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</si>
  <si>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</si>
  <si>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</si>
  <si>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</si>
  <si>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</si>
  <si>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</si>
  <si>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</si>
  <si>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</si>
  <si>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</si>
  <si>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</si>
  <si>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</si>
  <si>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</si>
  <si>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</si>
  <si>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</si>
  <si>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</si>
  <si>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</si>
  <si>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</si>
  <si>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</si>
  <si>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</si>
  <si>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</si>
  <si>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</si>
  <si>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</si>
  <si>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</si>
  <si>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</si>
  <si>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</si>
  <si>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</si>
  <si>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</si>
  <si>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</si>
  <si>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</si>
  <si>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</si>
  <si>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</si>
  <si>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</si>
  <si>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</si>
  <si>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</si>
  <si>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</si>
  <si>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</si>
  <si>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</si>
  <si>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</si>
  <si>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</si>
  <si>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</si>
  <si>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</si>
  <si>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</si>
  <si>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</si>
  <si>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</si>
  <si>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</si>
  <si>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</si>
  <si>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</si>
  <si>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</si>
  <si>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</si>
  <si>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</si>
  <si>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</si>
  <si>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</si>
  <si>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</si>
  <si>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</si>
  <si>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</si>
  <si>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</si>
  <si>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</si>
  <si>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</si>
  <si>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</si>
  <si>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</si>
  <si>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</si>
  <si>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</si>
  <si>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</si>
  <si>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</si>
  <si>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</si>
  <si>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</si>
  <si>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</si>
  <si>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</si>
  <si>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</si>
  <si>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</si>
  <si>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</si>
  <si>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</si>
  <si>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</si>
  <si>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</si>
  <si>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</si>
  <si>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</si>
  <si>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</si>
  <si>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</si>
  <si>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</si>
  <si>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</si>
  <si>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</si>
  <si>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</si>
  <si>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</si>
  <si>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</si>
  <si>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</si>
  <si>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</si>
  <si>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</si>
  <si>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</si>
  <si>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</si>
  <si>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</si>
  <si>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</si>
  <si>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</si>
  <si>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</si>
  <si>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</si>
  <si>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</si>
  <si>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</si>
  <si>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</si>
  <si>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</si>
  <si>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</si>
  <si>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</si>
  <si>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</si>
  <si>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</si>
  <si>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</si>
  <si>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</si>
  <si>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</si>
  <si>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</si>
  <si>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</si>
  <si>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</si>
  <si>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</si>
  <si>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</si>
  <si>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</si>
  <si>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</si>
  <si>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</si>
  <si>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</si>
  <si>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</si>
  <si>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</si>
  <si>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</si>
  <si>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</si>
  <si>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</si>
  <si>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</si>
  <si>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</si>
  <si>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</si>
  <si>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</si>
  <si>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</si>
  <si>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</si>
  <si>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</si>
  <si>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</si>
  <si>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</si>
  <si>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</si>
  <si>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</si>
  <si>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</si>
  <si>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</si>
  <si>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</si>
  <si>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</si>
  <si>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</si>
  <si>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</si>
  <si>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</si>
  <si>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</si>
  <si>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</si>
  <si>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</si>
  <si>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</si>
  <si>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</si>
  <si>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</si>
  <si>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</si>
  <si>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</si>
  <si>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</si>
  <si>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</si>
  <si>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</si>
  <si>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</si>
  <si>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</si>
  <si>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</si>
  <si>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</si>
  <si>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</si>
  <si>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</si>
  <si>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</si>
  <si>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</si>
  <si>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</si>
  <si>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</si>
  <si>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</si>
  <si>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</si>
  <si>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</si>
  <si>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</si>
  <si>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</si>
  <si>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</si>
  <si>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</si>
  <si>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</si>
  <si>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</si>
  <si>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</si>
  <si>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</si>
  <si>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</si>
  <si>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</si>
  <si>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</si>
  <si>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</si>
  <si>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</si>
  <si>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</si>
  <si>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</si>
  <si>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</si>
  <si>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</si>
  <si>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</si>
  <si>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</si>
  <si>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</si>
  <si>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</si>
  <si>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</si>
  <si>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</si>
  <si>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</si>
  <si>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</si>
  <si>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</si>
  <si>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</si>
  <si>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</si>
  <si>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</si>
  <si>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</si>
  <si>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</si>
  <si>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</si>
  <si>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</si>
  <si>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</si>
  <si>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</si>
  <si>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</si>
  <si>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</si>
  <si>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</si>
  <si>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</si>
  <si>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</si>
  <si>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</si>
  <si>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</si>
  <si>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</si>
  <si>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</si>
  <si>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</si>
  <si>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</si>
  <si>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</si>
  <si>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</si>
  <si>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</si>
  <si>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</si>
  <si>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</si>
  <si>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</si>
  <si>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</si>
  <si>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</si>
  <si>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</si>
  <si>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</si>
  <si>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</si>
  <si>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</si>
  <si>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</si>
  <si>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</si>
  <si>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</si>
  <si>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</si>
  <si>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</si>
  <si>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</si>
  <si>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</si>
  <si>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</si>
  <si>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</si>
  <si>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</si>
  <si>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</si>
  <si>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</si>
  <si>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</si>
  <si>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</si>
  <si>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</si>
  <si>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</si>
  <si>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</si>
  <si>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</si>
  <si>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</si>
  <si>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</si>
  <si>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</si>
  <si>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</si>
  <si>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</si>
  <si>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</si>
  <si>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</si>
  <si>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</si>
  <si>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</si>
  <si>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</si>
  <si>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</si>
  <si>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</si>
  <si>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</si>
  <si>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</si>
  <si>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</si>
  <si>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</si>
  <si>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</si>
  <si>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</si>
  <si>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</si>
  <si>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</si>
  <si>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</si>
  <si>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</si>
  <si>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</si>
  <si>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</si>
  <si>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</si>
  <si>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</si>
  <si>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</si>
  <si>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</si>
  <si>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</si>
  <si>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</si>
  <si>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</si>
  <si>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</si>
  <si>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</si>
  <si>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</si>
  <si>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</si>
  <si>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</si>
  <si>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</si>
  <si>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</si>
  <si>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</si>
  <si>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</si>
  <si>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</si>
  <si>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</si>
  <si>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</si>
  <si>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</si>
  <si>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</si>
  <si>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</si>
  <si>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</si>
  <si>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</si>
  <si>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</si>
  <si>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</si>
  <si>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</si>
  <si>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</si>
  <si>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</si>
  <si>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</si>
  <si>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</si>
  <si>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</si>
  <si>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</si>
  <si>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</si>
  <si>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</si>
  <si>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</si>
  <si>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</si>
  <si>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</si>
  <si>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</si>
  <si>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</si>
  <si>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</si>
  <si>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</si>
  <si>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</si>
  <si>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</si>
  <si>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</si>
  <si>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</si>
  <si>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</si>
  <si>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</si>
  <si>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</si>
  <si>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</si>
  <si>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</si>
  <si>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</si>
  <si>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</si>
  <si>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</si>
  <si>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</si>
  <si>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</si>
  <si>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</si>
  <si>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</si>
  <si>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</si>
  <si>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</si>
  <si>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</si>
  <si>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</si>
  <si>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</si>
  <si>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</si>
  <si>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</si>
  <si>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</si>
  <si>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</si>
  <si>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</si>
  <si>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</si>
  <si>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</si>
  <si>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</si>
  <si>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</si>
  <si>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</si>
  <si>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</si>
  <si>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</si>
  <si>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</si>
  <si>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</si>
  <si>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</si>
  <si>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</si>
  <si>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</si>
  <si>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</si>
  <si>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</si>
  <si>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</si>
  <si>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</si>
  <si>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</si>
  <si>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</si>
  <si>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</si>
  <si>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</si>
  <si>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</si>
  <si>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</si>
  <si>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</si>
  <si>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</si>
  <si>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</si>
  <si>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</si>
  <si>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</si>
  <si>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</si>
  <si>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</si>
  <si>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</si>
  <si>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</si>
  <si>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</si>
  <si>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</si>
  <si>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</si>
  <si>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</si>
  <si>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</si>
  <si>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</si>
  <si>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</si>
  <si>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</si>
  <si>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</si>
  <si>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</si>
  <si>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</si>
  <si>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</si>
  <si>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</si>
  <si>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</si>
  <si>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</si>
  <si>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</si>
  <si>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</si>
  <si>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</si>
  <si>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</si>
  <si>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</si>
  <si>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</si>
  <si>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</si>
  <si>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</si>
  <si>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</si>
  <si>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</si>
  <si>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</si>
  <si>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</si>
  <si>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</si>
  <si>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</si>
  <si>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</si>
  <si>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</si>
  <si>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</si>
  <si>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</si>
  <si>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</si>
  <si>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</si>
  <si>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</si>
  <si>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</si>
  <si>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</si>
  <si>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</si>
  <si>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</si>
  <si>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</si>
  <si>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</si>
  <si>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</si>
  <si>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</si>
  <si>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</si>
  <si>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</si>
  <si>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</si>
  <si>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</si>
  <si>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</si>
  <si>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</si>
  <si>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</si>
  <si>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</si>
  <si>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</si>
  <si>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</si>
  <si>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</si>
  <si>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</si>
  <si>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</si>
  <si>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</si>
  <si>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</si>
  <si>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</si>
  <si>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</si>
  <si>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</si>
  <si>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</si>
  <si>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</si>
  <si>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</si>
  <si>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</si>
  <si>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</si>
  <si>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</si>
  <si>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</si>
  <si>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</si>
  <si>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</si>
  <si>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</si>
  <si>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</si>
  <si>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</si>
  <si>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</si>
  <si>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</si>
  <si>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</si>
  <si>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</si>
  <si>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</si>
  <si>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</si>
  <si>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</si>
  <si>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</si>
  <si>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</si>
  <si>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</si>
  <si>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</si>
  <si>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</si>
  <si>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</si>
  <si>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</si>
  <si>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</si>
  <si>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</si>
  <si>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</si>
  <si>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</si>
  <si>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</si>
  <si>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</si>
  <si>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</si>
  <si>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</si>
  <si>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</si>
  <si>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</si>
  <si>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</si>
  <si>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</si>
  <si>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</si>
  <si>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</si>
  <si>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</si>
  <si>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</si>
  <si>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</si>
  <si>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</si>
  <si>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</si>
  <si>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</si>
  <si>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</si>
  <si>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</si>
  <si>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</si>
  <si>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</si>
  <si>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</si>
  <si>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</si>
  <si>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</si>
  <si>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</si>
  <si>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</si>
  <si>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</si>
  <si>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</si>
  <si>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</si>
  <si>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</si>
  <si>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</si>
  <si>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</si>
  <si>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</si>
  <si>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</si>
  <si>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</si>
  <si>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</si>
  <si>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</si>
  <si>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</si>
  <si>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</si>
  <si>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</si>
  <si>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</si>
  <si>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</si>
  <si>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</si>
  <si>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</si>
  <si>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</si>
  <si>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</si>
  <si>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</si>
  <si>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</si>
  <si>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</si>
  <si>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</si>
  <si>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</si>
  <si>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</si>
  <si>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</si>
  <si>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</si>
  <si>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</si>
  <si>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</si>
  <si>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</si>
  <si>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</si>
  <si>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</si>
  <si>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</si>
  <si>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</si>
  <si>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</si>
  <si>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</si>
  <si>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</si>
  <si>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</si>
  <si>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</si>
  <si>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</si>
  <si>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</si>
  <si>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</si>
  <si>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</si>
  <si>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</si>
  <si>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</si>
  <si>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</si>
  <si>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</si>
  <si>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</si>
  <si>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</si>
  <si>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</si>
  <si>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</si>
  <si>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</si>
  <si>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</si>
  <si>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</si>
  <si>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</si>
  <si>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</si>
  <si>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</si>
  <si>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</si>
  <si>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</si>
  <si>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</si>
  <si>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</si>
  <si>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</si>
  <si>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</si>
  <si>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</si>
  <si>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</si>
  <si>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</si>
  <si>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</si>
  <si>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</si>
  <si>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</si>
  <si>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</si>
  <si>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</si>
  <si>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</si>
  <si>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</si>
  <si>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</si>
  <si>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</si>
  <si>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</si>
  <si>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</si>
  <si>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</si>
  <si>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</si>
  <si>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</si>
  <si>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</si>
  <si>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</si>
  <si>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</si>
  <si>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</si>
  <si>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</si>
  <si>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</si>
  <si>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</si>
  <si>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</si>
  <si>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</si>
  <si>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</si>
  <si>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</si>
  <si>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</si>
  <si>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</si>
  <si>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</si>
  <si>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</si>
  <si>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</si>
  <si>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</si>
  <si>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</si>
  <si>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</si>
  <si>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</si>
  <si>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</si>
  <si>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</si>
  <si>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</si>
  <si>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</si>
  <si>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</si>
  <si>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</si>
  <si>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</si>
  <si>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</si>
  <si>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</si>
  <si>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</si>
  <si>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</si>
  <si>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</si>
  <si>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</si>
  <si>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</si>
  <si>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</si>
  <si>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</si>
  <si>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</si>
  <si>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</si>
  <si>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</si>
  <si>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</si>
  <si>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</si>
  <si>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</si>
  <si>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</si>
  <si>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</si>
  <si>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</si>
  <si>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</si>
  <si>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</si>
  <si>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</si>
  <si>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</si>
  <si>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</si>
  <si>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</si>
  <si>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</si>
  <si>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</si>
  <si>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</si>
  <si>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</si>
  <si>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</si>
  <si>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</si>
  <si>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</si>
  <si>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</si>
  <si>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</si>
  <si>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</si>
  <si>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</si>
  <si>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</si>
  <si>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</si>
  <si>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</si>
  <si>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</si>
  <si>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</si>
  <si>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</si>
  <si>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</si>
  <si>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</si>
  <si>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</si>
  <si>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</si>
  <si>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</si>
  <si>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</si>
  <si>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</si>
  <si>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</si>
  <si>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</si>
  <si>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</si>
  <si>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</si>
  <si>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</si>
  <si>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</si>
  <si>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</si>
  <si>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</si>
  <si>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</si>
  <si>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</si>
  <si>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</si>
  <si>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</si>
  <si>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</si>
  <si>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</si>
  <si>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</si>
  <si>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</si>
  <si>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</si>
  <si>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</si>
  <si>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</si>
  <si>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</si>
  <si>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</si>
  <si>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</si>
  <si>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</si>
  <si>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</si>
  <si>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</si>
  <si>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</si>
  <si>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</si>
  <si>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</si>
  <si>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</si>
  <si>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</si>
  <si>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</si>
  <si>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</si>
  <si>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</si>
  <si>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</si>
  <si>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</si>
  <si>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</si>
  <si>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</si>
  <si>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</si>
  <si>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</si>
  <si>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</si>
  <si>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</si>
  <si>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</si>
  <si>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</si>
  <si>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</si>
  <si>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</si>
  <si>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</si>
  <si>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</si>
  <si>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</si>
  <si>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</si>
  <si>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</si>
  <si>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</si>
  <si>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</si>
  <si>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</si>
  <si>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</si>
  <si>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</si>
  <si>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</si>
  <si>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</si>
  <si>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</si>
  <si>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</si>
  <si>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</si>
  <si>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</si>
  <si>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</si>
  <si>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</si>
  <si>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</si>
  <si>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</si>
  <si>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</si>
  <si>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</si>
  <si>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</si>
  <si>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</si>
  <si>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</si>
  <si>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</si>
  <si>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</si>
  <si>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</si>
  <si>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</si>
  <si>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</si>
  <si>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</si>
  <si>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</si>
  <si>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</si>
  <si>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</si>
  <si>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</si>
  <si>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</si>
  <si>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</si>
  <si>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</si>
  <si>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</si>
  <si>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</si>
  <si>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</si>
  <si>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</si>
  <si>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</si>
  <si>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</si>
  <si>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</si>
  <si>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</si>
  <si>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</si>
  <si>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</si>
  <si>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</si>
  <si>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</si>
  <si>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</si>
  <si>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</si>
  <si>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</si>
  <si>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</si>
  <si>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</si>
  <si>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</si>
  <si>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</si>
  <si>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</si>
  <si>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</si>
  <si>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</si>
  <si>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</si>
  <si>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</si>
  <si>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</si>
  <si>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</si>
  <si>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</si>
  <si>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</si>
  <si>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</si>
  <si>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</si>
  <si>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</si>
  <si>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</si>
  <si>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</si>
  <si>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</si>
  <si>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</si>
  <si>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</si>
  <si>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</si>
  <si>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</si>
  <si>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</si>
  <si>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</si>
  <si>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</si>
  <si>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</si>
  <si>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</si>
  <si>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</si>
  <si>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</si>
  <si>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</si>
  <si>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</si>
  <si>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</si>
  <si>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</si>
  <si>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</si>
  <si>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</si>
  <si>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</si>
  <si>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</si>
  <si>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</si>
  <si>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</si>
  <si>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</si>
  <si>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</si>
  <si>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</si>
  <si>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</si>
  <si>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</si>
  <si>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</si>
  <si>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</si>
  <si>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</si>
  <si>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</si>
  <si>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</si>
  <si>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</si>
  <si>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</si>
  <si>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</si>
  <si>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</si>
  <si>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</si>
  <si>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</si>
  <si>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</si>
  <si>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</si>
  <si>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</si>
  <si>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</si>
  <si>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</si>
  <si>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</si>
  <si>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</si>
  <si>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</si>
  <si>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</si>
  <si>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</si>
  <si>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</si>
  <si>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</si>
  <si>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</si>
  <si>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</si>
  <si>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</si>
  <si>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</si>
  <si>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</si>
  <si>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</si>
  <si>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</si>
  <si>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</si>
  <si>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</si>
  <si>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</si>
  <si>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</si>
  <si>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</si>
  <si>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</si>
  <si>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</si>
  <si>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</si>
  <si>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</si>
  <si>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</si>
  <si>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</si>
  <si>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</si>
  <si>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</si>
  <si>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</si>
  <si>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</si>
  <si>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</si>
  <si>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</si>
  <si>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</si>
  <si>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</si>
  <si>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</si>
  <si>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</si>
  <si>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</si>
  <si>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</si>
  <si>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</si>
  <si>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</si>
  <si>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</si>
  <si>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</si>
  <si>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</si>
  <si>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</si>
  <si>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</si>
  <si>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</si>
  <si>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</si>
  <si>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</si>
  <si>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</si>
  <si>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</si>
  <si>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</si>
  <si>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</si>
  <si>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</si>
  <si>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</si>
  <si>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</si>
  <si>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</si>
  <si>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</si>
  <si>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</si>
  <si>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</si>
  <si>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</si>
  <si>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</si>
  <si>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</si>
  <si>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</si>
  <si>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</si>
  <si>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</si>
  <si>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</si>
  <si>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</si>
  <si>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</si>
  <si>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</si>
  <si>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</si>
  <si>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</si>
  <si>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</si>
  <si>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</si>
  <si>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</si>
  <si>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</si>
  <si>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</si>
  <si>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</si>
  <si>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</si>
  <si>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</si>
  <si>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</si>
  <si>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</si>
  <si>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</si>
  <si>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</si>
  <si>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</si>
  <si>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</si>
  <si>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</si>
  <si>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</si>
  <si>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</si>
  <si>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</si>
  <si>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</si>
  <si>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</si>
  <si>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</si>
  <si>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</si>
  <si>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</si>
  <si>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</si>
  <si>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</si>
  <si>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</si>
  <si>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</si>
  <si>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</si>
  <si>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</si>
  <si>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</si>
  <si>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</si>
  <si>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</si>
  <si>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</si>
  <si>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</si>
  <si>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</si>
  <si>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</si>
  <si>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</si>
  <si>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</si>
  <si>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</si>
  <si>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</si>
  <si>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</si>
  <si>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</si>
  <si>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</si>
  <si>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</si>
  <si>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</si>
  <si>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</si>
  <si>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</si>
  <si>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</si>
  <si>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</si>
  <si>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</si>
  <si>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</si>
  <si>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</si>
  <si>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</si>
  <si>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</si>
  <si>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</si>
  <si>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</si>
  <si>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</si>
  <si>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</si>
  <si>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</si>
  <si>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</si>
  <si>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</si>
  <si>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</si>
  <si>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</si>
  <si>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</si>
  <si>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</si>
  <si>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</si>
  <si>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</si>
  <si>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</si>
  <si>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</si>
  <si>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</si>
  <si>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</si>
  <si>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</si>
  <si>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</si>
  <si>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</si>
  <si>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</si>
  <si>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</si>
  <si>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</si>
  <si>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</si>
  <si>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</si>
  <si>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</si>
  <si>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</si>
  <si>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</si>
  <si>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</si>
  <si>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</si>
  <si>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</si>
  <si>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</si>
  <si>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</si>
  <si>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</si>
  <si>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</si>
  <si>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</si>
  <si>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</si>
  <si>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</si>
  <si>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</si>
  <si>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</si>
  <si>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</si>
  <si>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</si>
  <si>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</si>
  <si>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</si>
  <si>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</si>
  <si>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</si>
  <si>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</si>
  <si>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</si>
  <si>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</si>
  <si>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</si>
  <si>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</si>
  <si>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</si>
  <si>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</si>
  <si>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</si>
  <si>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</si>
  <si>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</si>
  <si>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</si>
  <si>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</si>
  <si>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</si>
  <si>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</si>
  <si>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</si>
  <si>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</si>
  <si>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</si>
  <si>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</si>
  <si>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</si>
  <si>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</si>
  <si>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</si>
  <si>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</si>
  <si>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</si>
  <si>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</si>
  <si>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</si>
  <si>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</si>
  <si>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</si>
  <si>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</si>
  <si>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</si>
  <si>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</si>
  <si>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</si>
  <si>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</si>
  <si>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</si>
  <si>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</si>
  <si>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</si>
  <si>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</si>
  <si>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</si>
  <si>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</si>
  <si>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</si>
  <si>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</si>
  <si>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</si>
  <si>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</si>
  <si>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</si>
  <si>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</si>
  <si>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</si>
  <si>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</si>
  <si>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</si>
  <si>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</si>
  <si>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</si>
  <si>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</si>
  <si>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</si>
  <si>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</si>
  <si>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</si>
  <si>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</si>
  <si>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</si>
  <si>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</si>
  <si>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</si>
  <si>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</si>
  <si>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</si>
  <si>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</si>
  <si>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</si>
  <si>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</si>
  <si>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</si>
  <si>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</si>
  <si>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</si>
  <si>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</si>
  <si>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</si>
  <si>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</si>
  <si>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</si>
  <si>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</si>
  <si>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</si>
  <si>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</si>
  <si>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</si>
  <si>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</si>
  <si>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</si>
  <si>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</si>
  <si>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</si>
  <si>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</si>
  <si>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</si>
  <si>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</si>
  <si>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</si>
  <si>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</si>
  <si>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</si>
  <si>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</si>
  <si>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</si>
  <si>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</si>
  <si>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</si>
  <si>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</si>
  <si>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</si>
  <si>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</si>
  <si>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</si>
  <si>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</si>
  <si>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</si>
  <si>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</si>
  <si>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</si>
  <si>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</si>
  <si>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</si>
  <si>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</si>
  <si>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</si>
  <si>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</si>
  <si>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</si>
  <si>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</si>
  <si>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</si>
  <si>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</si>
  <si>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</si>
  <si>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</si>
  <si>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</si>
  <si>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</si>
  <si>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</si>
  <si>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</si>
  <si>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</si>
  <si>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</si>
  <si>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</si>
  <si>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</si>
  <si>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</si>
  <si>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</si>
  <si>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</si>
  <si>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</si>
  <si>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</si>
  <si>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</si>
  <si>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</si>
  <si>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</si>
  <si>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</si>
  <si>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</si>
  <si>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</si>
  <si>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</si>
  <si>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</si>
  <si>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</si>
  <si>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</si>
  <si>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</si>
  <si>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</si>
  <si>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</si>
  <si>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</si>
  <si>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</si>
  <si>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</si>
  <si>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</si>
  <si>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</si>
  <si>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</si>
  <si>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</si>
  <si>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</si>
  <si>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</si>
  <si>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</si>
  <si>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</si>
  <si>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</si>
  <si>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</si>
  <si>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</si>
  <si>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</si>
  <si>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</si>
  <si>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</si>
  <si>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</si>
  <si>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</si>
  <si>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</si>
  <si>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</si>
  <si>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</si>
  <si>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</si>
  <si>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</si>
  <si>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</si>
  <si>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</si>
  <si>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</si>
  <si>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</si>
  <si>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</si>
  <si>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</si>
  <si>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</si>
  <si>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</si>
  <si>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</si>
  <si>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</si>
  <si>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</si>
  <si>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</si>
  <si>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</si>
  <si>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</si>
  <si>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</si>
  <si>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</si>
  <si>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</si>
  <si>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</si>
  <si>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</si>
  <si>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</si>
  <si>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</si>
  <si>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</si>
  <si>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</si>
  <si>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</si>
  <si>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</si>
  <si>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</si>
  <si>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</si>
  <si>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</si>
  <si>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</si>
  <si>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</si>
  <si>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</si>
  <si>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</si>
  <si>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</si>
  <si>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</si>
  <si>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</si>
  <si>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</si>
  <si>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</si>
  <si>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</si>
  <si>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</si>
  <si>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</si>
  <si>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</si>
  <si>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</si>
  <si>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</si>
  <si>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</si>
  <si>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</si>
  <si>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</si>
  <si>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</si>
  <si>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</si>
  <si>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</si>
  <si>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</si>
  <si>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</si>
  <si>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</si>
  <si>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</si>
  <si>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</si>
  <si>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</si>
  <si>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</si>
  <si>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</si>
  <si>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</si>
  <si>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</si>
  <si>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</si>
  <si>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</si>
  <si>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</si>
  <si>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</si>
  <si>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</si>
  <si>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</si>
  <si>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</si>
  <si>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</si>
  <si>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</si>
  <si>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</si>
  <si>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</si>
  <si>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</si>
  <si>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</si>
  <si>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</si>
  <si>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</si>
  <si>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</si>
  <si>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</si>
  <si>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</si>
  <si>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</si>
  <si>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</si>
  <si>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</si>
  <si>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</si>
  <si>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</si>
  <si>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</si>
  <si>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</si>
  <si>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</si>
  <si>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</si>
  <si>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</si>
  <si>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</si>
  <si>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</si>
  <si>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</si>
  <si>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</si>
  <si>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</si>
  <si>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</si>
  <si>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</si>
  <si>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</si>
  <si>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</si>
  <si>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</si>
  <si>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</si>
  <si>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</si>
  <si>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</si>
  <si>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</si>
  <si>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</si>
  <si>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</si>
  <si>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</si>
  <si>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</si>
  <si>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</si>
  <si>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</si>
  <si>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</si>
  <si>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</si>
  <si>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</si>
  <si>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</si>
  <si>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</si>
  <si>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</si>
  <si>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</si>
  <si>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</si>
  <si>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</si>
  <si>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</si>
  <si>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</si>
  <si>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</si>
  <si>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</si>
  <si>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</si>
  <si>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</si>
  <si>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</si>
  <si>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</si>
  <si>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</si>
  <si>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</si>
  <si>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</si>
  <si>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</si>
  <si>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</si>
  <si>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</si>
  <si>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</si>
  <si>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</si>
  <si>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</si>
  <si>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</si>
  <si>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</si>
  <si>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</si>
  <si>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</si>
  <si>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</si>
  <si>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</si>
  <si>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</si>
  <si>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</si>
  <si>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</si>
  <si>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</si>
  <si>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</si>
  <si>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</si>
  <si>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</si>
  <si>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</si>
  <si>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</si>
  <si>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</si>
  <si>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</si>
  <si>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</si>
  <si>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</si>
  <si>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</si>
  <si>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</si>
  <si>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</si>
  <si>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</si>
  <si>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</si>
  <si>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</si>
  <si>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</si>
  <si>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</si>
  <si>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</si>
  <si>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</si>
  <si>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</si>
  <si>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</si>
  <si>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</si>
  <si>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</si>
  <si>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</si>
  <si>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</si>
  <si>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</si>
  <si>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</si>
  <si>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</si>
  <si>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</si>
  <si>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</si>
  <si>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</si>
  <si>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</si>
  <si>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</si>
  <si>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</si>
  <si>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</si>
  <si>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</si>
  <si>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</si>
  <si>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</si>
  <si>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</si>
  <si>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</si>
  <si>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</si>
  <si>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</si>
  <si>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</si>
  <si>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</si>
  <si>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</si>
  <si>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</si>
  <si>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</si>
  <si>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</si>
  <si>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</si>
  <si>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</si>
  <si>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</si>
  <si>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</si>
  <si>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</si>
  <si>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</si>
  <si>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</si>
  <si>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</si>
  <si>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</si>
  <si>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</si>
  <si>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</si>
  <si>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</si>
  <si>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</si>
  <si>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</si>
  <si>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</si>
  <si>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</si>
  <si>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</si>
  <si>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</si>
  <si>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</si>
  <si>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</si>
  <si>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</si>
  <si>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</si>
  <si>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</si>
  <si>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</si>
  <si>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</si>
  <si>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</si>
  <si>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</si>
  <si>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</si>
  <si>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</si>
  <si>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</si>
  <si>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</si>
  <si>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</si>
  <si>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</si>
  <si>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</si>
  <si>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</si>
  <si>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</si>
  <si>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</si>
  <si>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</si>
  <si>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</si>
  <si>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</si>
  <si>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</si>
  <si>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</si>
  <si>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</si>
  <si>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</si>
  <si>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</si>
  <si>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</si>
  <si>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</si>
  <si>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</si>
  <si>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</si>
  <si>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</si>
  <si>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</si>
  <si>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</si>
  <si>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</si>
  <si>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</si>
  <si>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</si>
  <si>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</si>
  <si>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</si>
  <si>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</si>
  <si>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</si>
  <si>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</si>
  <si>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</si>
  <si>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</si>
  <si>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</si>
  <si>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</si>
  <si>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</si>
  <si>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</si>
  <si>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</si>
  <si>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</si>
  <si>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</si>
  <si>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</si>
  <si>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</si>
  <si>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</si>
  <si>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</si>
  <si>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</si>
  <si>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</si>
  <si>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</si>
  <si>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</si>
  <si>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</si>
  <si>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</si>
  <si>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</si>
  <si>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</si>
  <si>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</si>
  <si>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</si>
  <si>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</si>
  <si>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</si>
  <si>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</si>
  <si>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</si>
  <si>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</si>
  <si>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</si>
  <si>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</si>
  <si>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</si>
  <si>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</si>
  <si>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</si>
  <si>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</si>
  <si>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</si>
  <si>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</si>
  <si>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</si>
  <si>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</si>
  <si>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</si>
  <si>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</si>
  <si>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</si>
  <si>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</si>
  <si>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</si>
  <si>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</si>
  <si>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</si>
  <si>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</si>
  <si>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</si>
  <si>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</si>
  <si>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</si>
  <si>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</si>
  <si>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</si>
  <si>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</si>
  <si>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</si>
  <si>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</si>
  <si>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</si>
  <si>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</si>
  <si>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</si>
  <si>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</si>
  <si>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</si>
  <si>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</si>
  <si>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</si>
  <si>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</si>
  <si>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</si>
  <si>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</si>
  <si>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</si>
  <si>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</si>
  <si>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</si>
  <si>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</si>
  <si>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</si>
  <si>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</si>
  <si>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</si>
  <si>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</si>
  <si>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</si>
  <si>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</si>
  <si>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</si>
  <si>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</si>
  <si>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</si>
  <si>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</si>
  <si>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</si>
  <si>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</si>
  <si>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</si>
  <si>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</si>
  <si>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</si>
  <si>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</si>
  <si>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</si>
  <si>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</si>
  <si>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</si>
  <si>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</si>
  <si>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</si>
  <si>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</si>
  <si>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</si>
  <si>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</si>
  <si>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</si>
  <si>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</si>
  <si>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</si>
  <si>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</si>
  <si>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</si>
  <si>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</si>
  <si>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</si>
  <si>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</si>
  <si>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</si>
  <si>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</si>
  <si>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</si>
  <si>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</si>
  <si>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</si>
  <si>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</si>
  <si>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</si>
  <si>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</si>
  <si>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</si>
  <si>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</si>
  <si>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</si>
  <si>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</si>
  <si>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</si>
  <si>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</si>
  <si>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</si>
  <si>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</si>
  <si>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</si>
  <si>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</si>
  <si>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</si>
  <si>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</si>
  <si>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</si>
  <si>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</si>
  <si>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</si>
  <si>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</si>
  <si>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</si>
  <si>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</si>
  <si>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</si>
  <si>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</si>
  <si>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</si>
  <si>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</si>
  <si>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</si>
  <si>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</si>
  <si>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</si>
  <si>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</si>
  <si>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</si>
  <si>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</si>
  <si>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</si>
  <si>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</si>
  <si>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</si>
  <si>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</si>
  <si>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</si>
  <si>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</si>
  <si>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</si>
  <si>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</si>
  <si>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</si>
  <si>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</si>
  <si>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</si>
  <si>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</si>
  <si>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</si>
  <si>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</si>
  <si>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</si>
  <si>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</si>
  <si>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</si>
  <si>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</si>
  <si>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</si>
  <si>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</si>
  <si>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</si>
  <si>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</si>
  <si>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</si>
  <si>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</si>
  <si>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</si>
  <si>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</si>
  <si>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</si>
  <si>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</si>
  <si>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</si>
  <si>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</si>
  <si>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</si>
  <si>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</si>
  <si>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</si>
  <si>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</si>
  <si>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</si>
  <si>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</si>
  <si>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</si>
  <si>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</si>
  <si>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</si>
  <si>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</si>
  <si>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</si>
  <si>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</si>
  <si>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</si>
  <si>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</si>
  <si>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</si>
  <si>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</si>
  <si>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</si>
  <si>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</si>
  <si>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</si>
  <si>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</si>
  <si>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</si>
  <si>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</si>
  <si>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</si>
  <si>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</si>
  <si>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</si>
  <si>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</si>
  <si>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</si>
  <si>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</si>
  <si>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</si>
  <si>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</si>
  <si>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</si>
  <si>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</si>
  <si>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</si>
  <si>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</si>
  <si>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</si>
  <si>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</si>
  <si>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</si>
  <si>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</si>
  <si>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</si>
  <si>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</si>
  <si>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</si>
  <si>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</si>
  <si>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</si>
  <si>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</si>
  <si>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</si>
  <si>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</si>
  <si>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</si>
  <si>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</si>
  <si>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</si>
  <si>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</si>
  <si>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</si>
  <si>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</si>
  <si>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</si>
  <si>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</si>
  <si>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</si>
  <si>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</si>
  <si>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</si>
  <si>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</si>
  <si>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</si>
  <si>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</si>
  <si>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</si>
  <si>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</si>
  <si>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</si>
  <si>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</si>
  <si>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</si>
  <si>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</si>
  <si>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</si>
  <si>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</si>
  <si>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</si>
  <si>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</si>
  <si>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</si>
  <si>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</si>
  <si>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</si>
  <si>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</si>
  <si>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</si>
  <si>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</si>
  <si>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</si>
  <si>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</si>
  <si>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</si>
  <si>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</si>
  <si>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</si>
  <si>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</si>
  <si>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</si>
  <si>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</si>
  <si>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</si>
  <si>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</si>
  <si>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</si>
  <si>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</si>
  <si>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</si>
  <si>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</si>
  <si>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</si>
  <si>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</si>
  <si>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</si>
  <si>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</si>
  <si>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</si>
  <si>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</si>
  <si>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</si>
  <si>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</si>
  <si>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</si>
  <si>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</si>
  <si>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</si>
  <si>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</si>
  <si>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</si>
  <si>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</si>
  <si>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</si>
  <si>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</si>
  <si>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</si>
  <si>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</si>
  <si>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</si>
  <si>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</si>
  <si>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</si>
  <si>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</si>
  <si>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</si>
  <si>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</si>
  <si>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</si>
  <si>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</si>
  <si>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</si>
  <si>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</si>
  <si>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</si>
  <si>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</si>
  <si>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</si>
  <si>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</si>
  <si>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</si>
  <si>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</si>
  <si>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</si>
  <si>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</si>
  <si>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</si>
  <si>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</si>
  <si>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</si>
  <si>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</si>
  <si>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</si>
  <si>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</si>
  <si>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</si>
  <si>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</si>
  <si>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</si>
  <si>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</si>
  <si>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</si>
  <si>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</si>
  <si>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</si>
  <si>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</si>
  <si>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</si>
  <si>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</si>
  <si>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</si>
  <si>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</si>
  <si>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</si>
  <si>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</si>
  <si>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</si>
  <si>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</si>
  <si>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</si>
  <si>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</si>
  <si>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</si>
  <si>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</si>
  <si>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</si>
  <si>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</si>
  <si>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</si>
  <si>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</si>
  <si>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</si>
  <si>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</si>
  <si>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</si>
  <si>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</si>
  <si>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</si>
  <si>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</si>
  <si>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</si>
  <si>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</si>
  <si>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</si>
  <si>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</si>
  <si>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</si>
  <si>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</si>
  <si>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</si>
  <si>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</si>
  <si>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</si>
  <si>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</si>
  <si>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</si>
  <si>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</si>
  <si>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</si>
  <si>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</si>
  <si>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</si>
  <si>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</si>
  <si>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</si>
  <si>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</si>
  <si>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</si>
  <si>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</si>
  <si>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</si>
  <si>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</si>
  <si>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</si>
  <si>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</si>
  <si>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</si>
  <si>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</si>
  <si>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</si>
  <si>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</si>
  <si>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</si>
  <si>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</si>
  <si>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</si>
  <si>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</si>
  <si>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</si>
  <si>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</si>
  <si>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</si>
  <si>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</si>
  <si>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</si>
  <si>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</si>
  <si>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</si>
  <si>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</si>
  <si>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</si>
  <si>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</si>
  <si>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</si>
  <si>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</si>
  <si>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</si>
  <si>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</si>
  <si>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</si>
  <si>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</si>
  <si>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</si>
  <si>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</si>
  <si>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</si>
  <si>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</si>
  <si>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</si>
  <si>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</si>
  <si>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</si>
  <si>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</si>
  <si>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</si>
  <si>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</si>
  <si>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</si>
  <si>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</si>
  <si>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</si>
  <si>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</si>
  <si>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</si>
  <si>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</si>
  <si>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</si>
  <si>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</si>
  <si>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</si>
  <si>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</si>
  <si>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</si>
  <si>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</si>
  <si>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</si>
  <si>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</si>
  <si>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</si>
  <si>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</si>
  <si>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</si>
  <si>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</si>
  <si>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</si>
  <si>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</si>
  <si>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</si>
  <si>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</si>
  <si>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</si>
  <si>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</si>
  <si>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</si>
  <si>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</si>
  <si>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</si>
  <si>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</si>
  <si>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</si>
  <si>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</si>
  <si>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</si>
  <si>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</si>
  <si>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</si>
  <si>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</si>
  <si>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</si>
  <si>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</si>
  <si>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</si>
  <si>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</si>
  <si>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</si>
  <si>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</si>
  <si>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</si>
  <si>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</si>
  <si>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</si>
  <si>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</si>
  <si>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</si>
  <si>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</si>
  <si>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</si>
  <si>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</si>
  <si>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</si>
  <si>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</si>
  <si>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</si>
  <si>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</si>
  <si>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</si>
  <si>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</si>
  <si>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</si>
  <si>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</si>
  <si>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</si>
  <si>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</si>
  <si>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</si>
  <si>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</si>
  <si>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</si>
  <si>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</si>
  <si>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</si>
  <si>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</si>
  <si>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</si>
  <si>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</si>
  <si>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</si>
  <si>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</si>
  <si>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</si>
  <si>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</si>
  <si>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</si>
  <si>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</si>
  <si>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</si>
  <si>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</si>
  <si>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</si>
  <si>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</si>
  <si>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</si>
  <si>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</si>
  <si>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</si>
  <si>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</si>
  <si>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</si>
  <si>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</si>
  <si>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</si>
  <si>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</si>
  <si>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</si>
  <si>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</si>
  <si>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</si>
  <si>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</si>
  <si>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</si>
  <si>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</si>
  <si>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</si>
  <si>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</si>
  <si>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</si>
  <si>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</si>
  <si>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</si>
  <si>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</si>
  <si>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</si>
  <si>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</si>
  <si>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</si>
  <si>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</si>
  <si>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</si>
  <si>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</si>
  <si>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</si>
  <si>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</si>
  <si>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</si>
  <si>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</si>
  <si>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</si>
  <si>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</si>
  <si>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</si>
  <si>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</si>
  <si>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</si>
  <si>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</si>
  <si>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</si>
  <si>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</si>
  <si>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</si>
  <si>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</si>
  <si>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</si>
  <si>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</si>
  <si>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</si>
  <si>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</si>
  <si>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</si>
  <si>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</si>
  <si>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</si>
  <si>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</si>
  <si>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</si>
  <si>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</si>
  <si>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</si>
  <si>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</si>
  <si>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</si>
  <si>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</si>
  <si>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</si>
  <si>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</si>
  <si>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</si>
  <si>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</si>
  <si>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</si>
  <si>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</si>
  <si>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</si>
  <si>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</si>
  <si>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</si>
  <si>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</si>
  <si>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</si>
  <si>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</si>
  <si>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</si>
  <si>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</si>
  <si>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</si>
  <si>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</si>
  <si>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</si>
  <si>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</si>
  <si>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</si>
  <si>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</si>
  <si>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</si>
  <si>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</si>
  <si>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</si>
  <si>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</si>
  <si>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</si>
  <si>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</si>
  <si>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</si>
  <si>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</si>
  <si>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</si>
  <si>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</si>
  <si>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</si>
  <si>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</si>
  <si>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</si>
  <si>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</si>
  <si>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</si>
  <si>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</si>
  <si>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</si>
  <si>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</si>
  <si>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</si>
  <si>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</si>
  <si>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</si>
  <si>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</si>
  <si>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</si>
  <si>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</si>
  <si>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</si>
  <si>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</si>
  <si>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</si>
  <si>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</si>
  <si>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</si>
  <si>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</si>
  <si>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</si>
  <si>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</si>
  <si>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</si>
  <si>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</si>
  <si>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</si>
  <si>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</si>
  <si>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</si>
  <si>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</si>
  <si>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</si>
  <si>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</si>
  <si>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</si>
  <si>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</si>
  <si>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</si>
  <si>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</si>
  <si>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</si>
  <si>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</si>
  <si>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</si>
  <si>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</si>
  <si>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</si>
  <si>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</si>
  <si>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</si>
  <si>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</si>
  <si>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</si>
  <si>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</si>
  <si>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</si>
  <si>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</si>
  <si>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</si>
  <si>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</si>
  <si>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</si>
  <si>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</si>
  <si>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</si>
  <si>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</si>
  <si>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</si>
  <si>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</si>
  <si>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</si>
  <si>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</si>
  <si>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</si>
  <si>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</si>
  <si>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</si>
  <si>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</si>
  <si>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</si>
  <si>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</si>
  <si>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</si>
  <si>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</si>
  <si>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</si>
  <si>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</si>
  <si>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</si>
  <si>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</si>
  <si>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</si>
  <si>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</si>
  <si>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</si>
  <si>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</si>
  <si>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</si>
  <si>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</si>
  <si>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</si>
  <si>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</si>
  <si>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</si>
  <si>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</si>
  <si>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</si>
  <si>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</si>
  <si>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</si>
  <si>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</si>
  <si>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</si>
  <si>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</si>
  <si>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</si>
  <si>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</si>
  <si>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</si>
  <si>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</si>
  <si>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</si>
  <si>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</si>
  <si>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</si>
  <si>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</si>
  <si>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</si>
  <si>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</si>
  <si>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</si>
  <si>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</si>
  <si>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</si>
  <si>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</si>
  <si>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</si>
  <si>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</si>
  <si>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</si>
  <si>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</si>
  <si>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</si>
  <si>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</si>
  <si>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</si>
  <si>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</si>
  <si>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</si>
  <si>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</si>
  <si>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</si>
  <si>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</si>
  <si>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</si>
  <si>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</si>
  <si>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</si>
  <si>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</si>
  <si>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</si>
  <si>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</si>
  <si>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</si>
  <si>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</si>
  <si>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</si>
  <si>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</si>
  <si>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</si>
  <si>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</si>
  <si>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</si>
  <si>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</si>
  <si>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</si>
  <si>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</si>
  <si>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</si>
  <si>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</si>
  <si>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</si>
  <si>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</si>
  <si>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</si>
  <si>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</si>
  <si>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</si>
  <si>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</si>
  <si>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</si>
  <si>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</si>
  <si>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</si>
  <si>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</si>
  <si>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</si>
  <si>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</si>
  <si>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</si>
  <si>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</si>
  <si>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</si>
  <si>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</si>
  <si>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</si>
  <si>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</si>
  <si>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</si>
  <si>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</si>
  <si>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</si>
  <si>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</si>
  <si>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</si>
  <si>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</si>
  <si>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</si>
  <si>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</si>
  <si>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</si>
  <si>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</si>
  <si>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</si>
  <si>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</si>
  <si>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</si>
  <si>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</si>
  <si>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</si>
  <si>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</si>
  <si>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</si>
  <si>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</si>
  <si>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</si>
  <si>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</si>
  <si>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</si>
  <si>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</si>
  <si>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</si>
  <si>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</si>
  <si>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</si>
  <si>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</si>
  <si>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</si>
  <si>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</si>
  <si>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</si>
  <si>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</si>
  <si>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</si>
  <si>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</si>
  <si>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</si>
  <si>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</si>
  <si>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</si>
  <si>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</si>
  <si>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</si>
  <si>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</si>
  <si>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</si>
  <si>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</si>
  <si>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</si>
  <si>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</si>
  <si>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</si>
  <si>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</si>
  <si>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</si>
  <si>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</si>
  <si>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</si>
  <si>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</si>
  <si>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</si>
  <si>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</si>
  <si>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</si>
  <si>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</si>
  <si>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</si>
  <si>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</si>
  <si>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</si>
  <si>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</si>
  <si>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</si>
  <si>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</si>
  <si>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</si>
  <si>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</si>
  <si>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</si>
  <si>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</si>
  <si>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</si>
  <si>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</si>
  <si>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</si>
  <si>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</si>
  <si>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</si>
  <si>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</si>
  <si>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</si>
  <si>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</si>
  <si>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</si>
  <si>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</si>
  <si>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</si>
  <si>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</si>
  <si>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</si>
  <si>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</si>
  <si>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</si>
  <si>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</si>
  <si>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</si>
  <si>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</si>
  <si>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</si>
  <si>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</si>
  <si>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</si>
  <si>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</si>
  <si>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</si>
  <si>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</si>
  <si>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</si>
  <si>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</si>
  <si>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</si>
  <si>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</si>
  <si>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</si>
  <si>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</si>
  <si>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</si>
  <si>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</si>
  <si>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</si>
  <si>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</si>
  <si>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</si>
  <si>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</si>
  <si>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</si>
  <si>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</si>
  <si>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</si>
  <si>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</si>
  <si>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</si>
  <si>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</si>
  <si>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</si>
  <si>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</si>
  <si>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</si>
  <si>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</si>
  <si>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</si>
  <si>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</si>
  <si>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</si>
  <si>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</si>
  <si>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</si>
  <si>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</si>
  <si>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</si>
  <si>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</si>
  <si>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</si>
  <si>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</si>
  <si>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</si>
  <si>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</si>
  <si>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</si>
  <si>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</si>
  <si>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</si>
  <si>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</si>
  <si>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</si>
  <si>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</si>
  <si>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</si>
  <si>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</si>
  <si>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</si>
  <si>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</si>
  <si>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</si>
  <si>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</si>
  <si>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</si>
  <si>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</si>
  <si>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</si>
  <si>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</si>
  <si>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</si>
  <si>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</si>
  <si>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</si>
  <si>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</si>
  <si>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</si>
  <si>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</si>
  <si>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</si>
  <si>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</si>
  <si>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</si>
  <si>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</si>
  <si>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</si>
  <si>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</si>
  <si>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</si>
  <si>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</si>
  <si>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</si>
  <si>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</si>
  <si>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</si>
  <si>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</si>
  <si>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</si>
  <si>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</si>
  <si>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</si>
  <si>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</si>
  <si>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</si>
  <si>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</si>
  <si>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</si>
  <si>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</si>
  <si>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</si>
  <si>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</si>
  <si>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</si>
  <si>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</si>
  <si>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</si>
  <si>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</si>
  <si>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</si>
  <si>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</si>
  <si>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</si>
  <si>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</si>
  <si>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</si>
  <si>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</si>
  <si>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</si>
  <si>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</si>
  <si>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</si>
  <si>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</si>
  <si>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</si>
  <si>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</si>
  <si>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</si>
  <si>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</si>
  <si>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</si>
  <si>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</si>
  <si>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</si>
  <si>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</si>
  <si>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</si>
  <si>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</si>
  <si>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</si>
  <si>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</si>
  <si>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</si>
  <si>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</si>
  <si>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</si>
  <si>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</si>
  <si>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</si>
  <si>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</si>
  <si>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</si>
  <si>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</si>
  <si>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</si>
  <si>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</si>
  <si>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</si>
  <si>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</si>
  <si>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</si>
  <si>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</si>
  <si>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</si>
  <si>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</si>
  <si>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</si>
  <si>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</si>
  <si>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</si>
  <si>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</si>
  <si>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</si>
  <si>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</si>
  <si>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</si>
  <si>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</si>
  <si>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</si>
  <si>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</si>
  <si>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</si>
  <si>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</si>
  <si>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</si>
  <si>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</si>
  <si>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</si>
  <si>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</si>
  <si>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</si>
  <si>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</si>
  <si>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</si>
  <si>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</si>
  <si>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</si>
  <si>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</si>
  <si>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</si>
  <si>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</si>
  <si>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</si>
  <si>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</si>
  <si>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</si>
  <si>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</si>
  <si>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</si>
  <si>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</si>
  <si>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</si>
  <si>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</si>
  <si>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</si>
  <si>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</si>
  <si>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</si>
  <si>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</si>
  <si>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</si>
  <si>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</si>
  <si>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</si>
  <si>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</si>
  <si>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</si>
  <si>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</si>
  <si>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</si>
  <si>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</si>
  <si>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</si>
  <si>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</si>
  <si>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</si>
  <si>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</si>
  <si>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</si>
  <si>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</si>
  <si>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</si>
  <si>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</si>
  <si>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</si>
  <si>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</si>
  <si>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</si>
  <si>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</si>
  <si>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</si>
  <si>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</si>
  <si>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</si>
  <si>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</si>
  <si>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</si>
  <si>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</si>
  <si>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</si>
  <si>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</si>
  <si>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</si>
  <si>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</si>
  <si>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</si>
  <si>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</si>
  <si>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</si>
  <si>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</si>
  <si>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</si>
  <si>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</si>
  <si>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</si>
  <si>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</si>
  <si>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</si>
  <si>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</si>
  <si>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</si>
  <si>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</si>
  <si>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</si>
  <si>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</si>
  <si>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</si>
  <si>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</si>
  <si>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</si>
  <si>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</si>
  <si>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</si>
  <si>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</si>
  <si>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</si>
  <si>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</si>
  <si>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</si>
  <si>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</si>
  <si>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</si>
  <si>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</si>
  <si>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</si>
  <si>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</si>
  <si>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</si>
  <si>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</si>
  <si>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</si>
  <si>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</si>
  <si>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</si>
  <si>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</si>
  <si>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</si>
  <si>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</si>
  <si>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</si>
  <si>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</si>
  <si>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</si>
  <si>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</si>
  <si>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</si>
  <si>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</si>
  <si>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</si>
  <si>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</si>
  <si>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</si>
  <si>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</si>
  <si>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</si>
  <si>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</si>
  <si>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</si>
  <si>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</si>
  <si>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</si>
  <si>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</si>
  <si>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</si>
  <si>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</si>
  <si>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</si>
  <si>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</si>
  <si>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</si>
  <si>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</si>
  <si>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</si>
  <si>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</si>
  <si>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</si>
  <si>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</si>
  <si>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</si>
  <si>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</si>
  <si>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</si>
  <si>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</si>
  <si>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</si>
  <si>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</si>
  <si>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</si>
  <si>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</si>
  <si>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</si>
  <si>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</si>
  <si>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</si>
  <si>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</si>
  <si>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</si>
  <si>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</si>
  <si>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</si>
  <si>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</si>
  <si>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</si>
  <si>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</si>
  <si>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</si>
  <si>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</si>
  <si>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</si>
  <si>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</si>
  <si>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</si>
  <si>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</si>
  <si>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</si>
  <si>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</si>
  <si>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</si>
  <si>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</si>
  <si>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</si>
  <si>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</si>
  <si>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</si>
  <si>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</si>
  <si>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</si>
  <si>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</si>
  <si>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</si>
  <si>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</si>
  <si>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</si>
  <si>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</si>
  <si>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</si>
  <si>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</si>
  <si>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</si>
  <si>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</si>
  <si>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</si>
  <si>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</si>
  <si>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</si>
  <si>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</si>
  <si>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</si>
  <si>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</si>
  <si>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</si>
  <si>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</si>
  <si>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</si>
  <si>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</si>
  <si>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</si>
  <si>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</si>
  <si>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</si>
  <si>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</si>
  <si>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</si>
  <si>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</si>
  <si>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</si>
  <si>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</si>
  <si>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</si>
  <si>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</si>
  <si>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</si>
  <si>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</si>
  <si>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</si>
  <si>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</si>
  <si>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</si>
  <si>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</si>
  <si>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</si>
  <si>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</si>
  <si>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</si>
  <si>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</si>
  <si>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</si>
  <si>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</si>
  <si>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</si>
  <si>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</si>
  <si>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</si>
  <si>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</si>
  <si>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</si>
  <si>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</si>
  <si>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</si>
  <si>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</si>
  <si>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</si>
  <si>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</si>
  <si>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</si>
  <si>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</si>
  <si>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</si>
  <si>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</si>
  <si>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</si>
  <si>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</si>
  <si>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</si>
  <si>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</si>
  <si>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</si>
  <si>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</si>
  <si>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</si>
  <si>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</si>
  <si>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</si>
  <si>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</si>
  <si>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</si>
  <si>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</si>
  <si>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</si>
  <si>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</si>
  <si>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</si>
  <si>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</si>
  <si>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</si>
  <si>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</si>
  <si>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</si>
  <si>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</si>
  <si>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</si>
  <si>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</si>
  <si>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</si>
  <si>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</si>
  <si>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</si>
  <si>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</si>
  <si>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</si>
  <si>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</si>
  <si>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</si>
  <si>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</si>
  <si>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</si>
  <si>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</si>
  <si>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</si>
  <si>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</si>
  <si>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</si>
  <si>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</si>
  <si>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</si>
  <si>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</si>
  <si>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</si>
  <si>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</si>
  <si>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</si>
  <si>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</si>
  <si>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</si>
  <si>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</si>
  <si>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</si>
  <si>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</si>
  <si>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</si>
  <si>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</si>
  <si>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</si>
  <si>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</si>
  <si>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</si>
  <si>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</si>
  <si>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</si>
  <si>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</si>
  <si>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</si>
  <si>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</si>
  <si>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</si>
  <si>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</si>
  <si>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</si>
  <si>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</si>
  <si>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</si>
  <si>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</si>
  <si>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</si>
  <si>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</si>
  <si>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</si>
  <si>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</si>
  <si>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</si>
  <si>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</si>
  <si>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</si>
  <si>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</si>
  <si>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</si>
  <si>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</si>
  <si>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</si>
  <si>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</si>
  <si>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</si>
  <si>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</si>
  <si>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</si>
  <si>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</si>
  <si>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</si>
  <si>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</si>
  <si>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</si>
  <si>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</si>
  <si>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</si>
  <si>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</si>
  <si>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</si>
  <si>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</si>
  <si>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</si>
  <si>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</si>
  <si>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</si>
  <si>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</si>
  <si>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</si>
  <si>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</si>
  <si>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</si>
  <si>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</si>
  <si>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</si>
  <si>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</si>
  <si>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</si>
  <si>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</si>
  <si>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</si>
  <si>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</si>
  <si>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</si>
  <si>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</si>
  <si>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</si>
  <si>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</si>
  <si>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</si>
  <si>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</si>
  <si>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</si>
  <si>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</si>
  <si>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</si>
  <si>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</si>
  <si>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</si>
  <si>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</si>
  <si>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</si>
  <si>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</si>
  <si>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</si>
  <si>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</si>
  <si>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</si>
  <si>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</si>
  <si>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</si>
  <si>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</si>
  <si>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</si>
  <si>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</si>
  <si>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</si>
  <si>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</si>
  <si>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</si>
  <si>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</si>
  <si>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</si>
  <si>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</si>
  <si>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</si>
  <si>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</si>
  <si>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</si>
  <si>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</si>
  <si>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</si>
  <si>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</si>
  <si>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</si>
  <si>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</si>
  <si>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</si>
  <si>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</si>
  <si>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</si>
  <si>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</si>
  <si>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</si>
  <si>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</si>
  <si>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</si>
  <si>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</si>
  <si>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</si>
  <si>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</si>
  <si>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</si>
  <si>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</si>
  <si>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</si>
  <si>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</si>
  <si>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</si>
  <si>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</si>
  <si>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</si>
  <si>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</si>
  <si>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</si>
  <si>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</si>
  <si>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</si>
  <si>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</si>
  <si>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</si>
  <si>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</si>
  <si>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</si>
  <si>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</si>
  <si>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</si>
  <si>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</si>
  <si>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</si>
  <si>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</si>
  <si>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</si>
  <si>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</si>
  <si>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</si>
  <si>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</si>
  <si>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</si>
  <si>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</si>
  <si>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</si>
  <si>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</si>
  <si>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</si>
  <si>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</si>
  <si>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</si>
  <si>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</si>
  <si>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</si>
  <si>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</si>
  <si>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</si>
  <si>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</si>
  <si>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</si>
  <si>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</si>
  <si>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</si>
  <si>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</si>
  <si>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</si>
  <si>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</si>
  <si>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</si>
  <si>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</si>
  <si>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</si>
  <si>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</si>
  <si>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</si>
  <si>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</si>
  <si>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</si>
  <si>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</si>
  <si>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</si>
  <si>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</si>
  <si>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</si>
  <si>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</si>
  <si>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</si>
  <si>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</si>
  <si>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</si>
  <si>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</si>
  <si>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</si>
  <si>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</si>
  <si>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</si>
  <si>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</si>
  <si>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</si>
  <si>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</si>
  <si>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</si>
  <si>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</si>
  <si>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</si>
  <si>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</si>
  <si>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</si>
  <si>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</si>
  <si>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</si>
  <si>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</si>
  <si>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</si>
  <si>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</si>
  <si>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</si>
  <si>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</si>
  <si>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</si>
  <si>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</si>
  <si>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</si>
  <si>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</si>
  <si>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</si>
  <si>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</si>
  <si>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</si>
  <si>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</si>
  <si>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</si>
  <si>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</si>
  <si>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</si>
  <si>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</si>
  <si>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</si>
  <si>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</si>
  <si>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</si>
  <si>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</si>
  <si>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</si>
  <si>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</si>
  <si>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</si>
  <si>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</si>
  <si>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</si>
  <si>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</si>
  <si>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</si>
  <si>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</si>
  <si>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</si>
  <si>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</si>
  <si>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</si>
  <si>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</si>
  <si>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</si>
  <si>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</si>
  <si>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</si>
  <si>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</si>
  <si>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</si>
  <si>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</si>
  <si>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</si>
  <si>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</si>
  <si>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</si>
  <si>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</si>
  <si>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</si>
  <si>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陈颖</t>
  </si>
  <si>
    <t>叶凌</t>
  </si>
  <si>
    <t>房地产市场价值</t>
  </si>
  <si>
    <t>北京市</t>
  </si>
  <si>
    <t>企业</t>
  </si>
  <si>
    <t>中纪委培训中心</t>
    <rPh sb="0" eb="1">
      <t>zhong ji wei</t>
    </rPh>
    <rPh sb="3" eb="4">
      <t>pei xun zhong xin</t>
    </rPh>
    <phoneticPr fontId="6" type="noConversion"/>
  </si>
  <si>
    <t>中纪委培训中心</t>
    <rPh sb="0" eb="1">
      <t>zhong ji wei</t>
    </rPh>
    <rPh sb="3" eb="4">
      <t>pei xun zhong ixn</t>
    </rPh>
    <phoneticPr fontId="6" type="noConversion"/>
  </si>
  <si>
    <t>办公</t>
    <rPh sb="0" eb="1">
      <t>ban gon</t>
    </rPh>
    <phoneticPr fontId="6" type="noConversion"/>
  </si>
  <si>
    <t>50年</t>
    <rPh sb="2" eb="3">
      <t>nian</t>
    </rPh>
    <phoneticPr fontId="6" type="noConversion"/>
  </si>
  <si>
    <t>《房屋租赁合同》《估价委托书》</t>
    <rPh sb="1" eb="2">
      <t>fang wu</t>
    </rPh>
    <rPh sb="3" eb="4">
      <t>zu lin he tong</t>
    </rPh>
    <rPh sb="9" eb="10">
      <t>gu jia</t>
    </rPh>
    <rPh sb="11" eb="12">
      <t>wei tuo shu</t>
    </rPh>
    <phoneticPr fontId="6" type="noConversion"/>
  </si>
  <si>
    <r>
      <rPr>
        <sz val="12"/>
        <color theme="9" tint="-0.249977111117893"/>
        <rFont val="宋体"/>
        <family val="3"/>
        <charset val="134"/>
      </rPr>
      <t>《北京市城市规划管理局征用土地征询意见表》</t>
    </r>
    <r>
      <rPr>
        <sz val="12"/>
        <color theme="9" tint="-0.249977111117893"/>
        <rFont val="Arial"/>
        <family val="2"/>
      </rPr>
      <t>[（93）规地征字249号]</t>
    </r>
    <rPh sb="1" eb="2">
      <t>bei jing shi</t>
    </rPh>
    <rPh sb="4" eb="5">
      <t>cheng shi</t>
    </rPh>
    <rPh sb="6" eb="7">
      <t>gui hua</t>
    </rPh>
    <rPh sb="8" eb="9">
      <t>guan li</t>
    </rPh>
    <rPh sb="10" eb="11">
      <t>ju</t>
    </rPh>
    <rPh sb="11" eb="12">
      <t>zheng yong tu si</t>
    </rPh>
    <rPh sb="13" eb="14">
      <t>tu di</t>
    </rPh>
    <rPh sb="15" eb="16">
      <t>zheng xun</t>
    </rPh>
    <rPh sb="17" eb="18">
      <t>yi jian bai o</t>
    </rPh>
    <rPh sb="19" eb="20">
      <t>biao</t>
    </rPh>
    <rPh sb="26" eb="27">
      <t>gui hua</t>
    </rPh>
    <rPh sb="27" eb="28">
      <t>di</t>
    </rPh>
    <rPh sb="28" eb="29">
      <t>zheng shou</t>
    </rPh>
    <rPh sb="29" eb="30">
      <t>zi</t>
    </rPh>
    <rPh sb="33" eb="34">
      <t>hao</t>
    </rPh>
    <phoneticPr fontId="6" type="noConversion"/>
  </si>
  <si>
    <t>否</t>
  </si>
  <si>
    <t>办公项目</t>
  </si>
  <si>
    <t>现房</t>
  </si>
  <si>
    <t>通路</t>
  </si>
  <si>
    <t>通电</t>
  </si>
  <si>
    <t>通讯</t>
  </si>
  <si>
    <t>通上水</t>
  </si>
  <si>
    <t>通下水</t>
  </si>
  <si>
    <t>燃气</t>
  </si>
  <si>
    <t>平整</t>
  </si>
  <si>
    <t>Ⅶ-01</t>
  </si>
  <si>
    <t>是</t>
  </si>
  <si>
    <t>西侧办公楼一至四层（不含地下室）</t>
    <rPh sb="0" eb="1">
      <t>xi ce</t>
    </rPh>
    <rPh sb="2" eb="3">
      <t>ban gong lou</t>
    </rPh>
    <rPh sb="5" eb="6">
      <t>yi zhi si ceng</t>
    </rPh>
    <rPh sb="10" eb="11">
      <t>bu han</t>
    </rPh>
    <rPh sb="12" eb="13">
      <t>di xia shi</t>
    </rPh>
    <phoneticPr fontId="3" type="noConversion"/>
  </si>
  <si>
    <t>报告厅</t>
    <rPh sb="0" eb="1">
      <t>bao gao ting</t>
    </rPh>
    <phoneticPr fontId="3" type="noConversion"/>
  </si>
  <si>
    <t>北侧主楼（三层东侧12间房间除外）</t>
    <rPh sb="0" eb="1">
      <t>bei ce zhu lou</t>
    </rPh>
    <rPh sb="5" eb="6">
      <t>san ceng</t>
    </rPh>
    <rPh sb="7" eb="8">
      <t>dong ce</t>
    </rPh>
    <rPh sb="11" eb="12">
      <t>jian</t>
    </rPh>
    <rPh sb="12" eb="13">
      <t>fang jian</t>
    </rPh>
    <rPh sb="14" eb="15">
      <t>chu wai</t>
    </rPh>
    <phoneticPr fontId="3" type="noConversion"/>
  </si>
  <si>
    <t>西配楼</t>
    <rPh sb="0" eb="1">
      <t>xi</t>
    </rPh>
    <rPh sb="1" eb="2">
      <t>pei lou</t>
    </rPh>
    <phoneticPr fontId="3" type="noConversion"/>
  </si>
  <si>
    <t>厨房</t>
    <rPh sb="0" eb="1">
      <t>chu fang</t>
    </rPh>
    <phoneticPr fontId="3" type="noConversion"/>
  </si>
  <si>
    <t>东侧二层办公楼（原集体宿舍）</t>
    <rPh sb="0" eb="1">
      <t>dong ce</t>
    </rPh>
    <rPh sb="2" eb="3">
      <t>er ceng</t>
    </rPh>
    <rPh sb="4" eb="5">
      <t>ban gong lou</t>
    </rPh>
    <rPh sb="8" eb="9">
      <t>yuan</t>
    </rPh>
    <rPh sb="9" eb="10">
      <t>ji ti su she</t>
    </rPh>
    <phoneticPr fontId="3" type="noConversion"/>
  </si>
  <si>
    <t>地上</t>
  </si>
  <si>
    <t>食堂餐厅（清真西哦啊食堂除外）</t>
    <rPh sb="0" eb="1">
      <t>shi tang can ting</t>
    </rPh>
    <rPh sb="5" eb="6">
      <t>qing zhen</t>
    </rPh>
    <rPh sb="7" eb="8">
      <t>xi o a shi tang</t>
    </rPh>
    <rPh sb="12" eb="13">
      <t>chu wai</t>
    </rPh>
    <phoneticPr fontId="3" type="noConversion"/>
  </si>
  <si>
    <t>办公</t>
    <rPh sb="0" eb="1">
      <t>ban gong</t>
    </rPh>
    <phoneticPr fontId="7" type="noConversion"/>
  </si>
  <si>
    <t>成新度</t>
  </si>
  <si>
    <t>综合楼</t>
    <rPh sb="0" eb="1">
      <t>zong he lou</t>
    </rPh>
    <phoneticPr fontId="7" type="noConversion"/>
  </si>
  <si>
    <t>不临58条商业街</t>
  </si>
  <si>
    <t>与级别开发程度不一致</t>
  </si>
  <si>
    <t>按公示增长率计算</t>
  </si>
  <si>
    <t>容积率修正</t>
  </si>
  <si>
    <t>科教用地</t>
  </si>
  <si>
    <t>较差</t>
  </si>
  <si>
    <t>一般</t>
  </si>
  <si>
    <t>较好</t>
  </si>
  <si>
    <t>租金</t>
  </si>
  <si>
    <t>自定义容积率</t>
  </si>
  <si>
    <t>未包含在土地购买价格中</t>
  </si>
  <si>
    <t>部分缴纳</t>
  </si>
  <si>
    <t>已包含在土地取得成本中</t>
  </si>
  <si>
    <t>25</t>
    <phoneticPr fontId="3" type="noConversion"/>
  </si>
  <si>
    <t>波普中心</t>
    <rPh sb="0" eb="1">
      <t>bo pu zhong xin</t>
    </rPh>
    <phoneticPr fontId="3" type="noConversion"/>
  </si>
  <si>
    <t>挂牌</t>
    <rPh sb="0" eb="1">
      <t>gua pai</t>
    </rPh>
    <phoneticPr fontId="32" type="noConversion"/>
  </si>
  <si>
    <t>水晶之星</t>
    <rPh sb="0" eb="1">
      <t>shui jing</t>
    </rPh>
    <rPh sb="2" eb="3">
      <t>zhi xng</t>
    </rPh>
    <rPh sb="3" eb="4">
      <t>xing</t>
    </rPh>
    <phoneticPr fontId="3" type="noConversion"/>
  </si>
  <si>
    <t>办公</t>
    <rPh sb="0" eb="1">
      <t>ban gong</t>
    </rPh>
    <phoneticPr fontId="32" type="noConversion"/>
  </si>
  <si>
    <t>中建一局第二建筑公司</t>
    <rPh sb="0" eb="1">
      <t>zhong jian yi ju</t>
    </rPh>
    <rPh sb="4" eb="5">
      <t>di er</t>
    </rPh>
    <rPh sb="6" eb="7">
      <t>jian zhu</t>
    </rPh>
    <rPh sb="8" eb="9">
      <t>gong si</t>
    </rPh>
    <phoneticPr fontId="3" type="noConversion"/>
  </si>
  <si>
    <t>泰禾中央广场</t>
    <rPh sb="0" eb="1">
      <t>tai he</t>
    </rPh>
    <rPh sb="2" eb="3">
      <t>zhong yang</t>
    </rPh>
    <rPh sb="4" eb="5">
      <t>guang cahng</t>
    </rPh>
    <phoneticPr fontId="3" type="noConversion"/>
  </si>
  <si>
    <t>40-50（含）</t>
  </si>
  <si>
    <t>六通</t>
  </si>
  <si>
    <t>高速</t>
    <rPh sb="0" eb="1">
      <t>gao su</t>
    </rPh>
    <phoneticPr fontId="32" type="noConversion"/>
  </si>
  <si>
    <t>城市主干道</t>
    <rPh sb="0" eb="1">
      <t>cheng shi</t>
    </rPh>
    <rPh sb="2" eb="3">
      <t>zhu gan dao</t>
    </rPh>
    <phoneticPr fontId="32" type="noConversion"/>
  </si>
  <si>
    <t>城市次干道</t>
    <rPh sb="0" eb="1">
      <t>cheng shi</t>
    </rPh>
    <rPh sb="2" eb="3">
      <t>ci gan dao</t>
    </rPh>
    <phoneticPr fontId="32" type="noConversion"/>
  </si>
  <si>
    <t>城市支路</t>
    <rPh sb="0" eb="1">
      <t>cehng shi</t>
    </rPh>
    <rPh sb="2" eb="3">
      <t>zhi lu</t>
    </rPh>
    <phoneticPr fontId="32" type="noConversion"/>
  </si>
  <si>
    <t>甲级</t>
    <rPh sb="0" eb="1">
      <t>jia ji</t>
    </rPh>
    <phoneticPr fontId="32" type="noConversion"/>
  </si>
  <si>
    <t>专业物业</t>
    <rPh sb="0" eb="1">
      <t>zhuan y</t>
    </rPh>
    <rPh sb="2" eb="3">
      <t>wu ye</t>
    </rPh>
    <phoneticPr fontId="32" type="noConversion"/>
  </si>
  <si>
    <t>单位自管</t>
    <rPh sb="0" eb="1">
      <t>dan wei</t>
    </rPh>
    <rPh sb="2" eb="3">
      <t>zi guan</t>
    </rPh>
    <rPh sb="3" eb="4">
      <t>gaun</t>
    </rPh>
    <phoneticPr fontId="32" type="noConversion"/>
  </si>
  <si>
    <t>七通</t>
    <rPh sb="0" eb="1">
      <t>qi</t>
    </rPh>
    <rPh sb="1" eb="2">
      <t>tong</t>
    </rPh>
    <phoneticPr fontId="32" type="noConversion"/>
  </si>
  <si>
    <t>六通</t>
    <rPh sb="0" eb="1">
      <t>liu</t>
    </rPh>
    <rPh sb="1" eb="2">
      <t>tong</t>
    </rPh>
    <phoneticPr fontId="32" type="noConversion"/>
  </si>
  <si>
    <t>五通</t>
    <rPh sb="0" eb="1">
      <t>wu tong</t>
    </rPh>
    <phoneticPr fontId="32" type="noConversion"/>
  </si>
  <si>
    <t>四通</t>
    <rPh sb="0" eb="1">
      <t>si tong</t>
    </rPh>
    <phoneticPr fontId="32" type="noConversion"/>
  </si>
  <si>
    <t>三通</t>
    <rPh sb="0" eb="1">
      <t>san tong</t>
    </rPh>
    <phoneticPr fontId="32" type="noConversion"/>
  </si>
  <si>
    <t>精装修</t>
    <rPh sb="0" eb="1">
      <t>jing zhuang xiu</t>
    </rPh>
    <phoneticPr fontId="32" type="noConversion"/>
  </si>
  <si>
    <t>普通装修</t>
    <rPh sb="0" eb="1">
      <t>pu tong</t>
    </rPh>
    <rPh sb="2" eb="3">
      <t>zhuang xiu</t>
    </rPh>
    <phoneticPr fontId="32" type="noConversion"/>
  </si>
  <si>
    <t>毛坯</t>
    <rPh sb="0" eb="1">
      <t>mao pi</t>
    </rPh>
    <phoneticPr fontId="32" type="noConversion"/>
  </si>
  <si>
    <t>钢混</t>
    <rPh sb="0" eb="1">
      <t>gang hun</t>
    </rPh>
    <phoneticPr fontId="32" type="noConversion"/>
  </si>
  <si>
    <t>混合</t>
    <rPh sb="0" eb="1">
      <t>hun he</t>
    </rPh>
    <phoneticPr fontId="32" type="noConversion"/>
  </si>
  <si>
    <t>框架</t>
    <rPh sb="0" eb="1">
      <t>kuang jia</t>
    </rPh>
    <phoneticPr fontId="32" type="noConversion"/>
  </si>
  <si>
    <t>经营模式</t>
    <rPh sb="0" eb="1">
      <t>jing ying mo shi</t>
    </rPh>
    <phoneticPr fontId="32" type="noConversion"/>
  </si>
  <si>
    <t>整体</t>
    <rPh sb="0" eb="1">
      <t>zheng ti</t>
    </rPh>
    <phoneticPr fontId="32" type="noConversion"/>
  </si>
  <si>
    <t>散户</t>
    <rPh sb="0" eb="1">
      <t>san hu</t>
    </rPh>
    <phoneticPr fontId="32" type="noConversion"/>
  </si>
  <si>
    <t>散户</t>
    <rPh sb="0" eb="1">
      <t>sna hu</t>
    </rPh>
    <phoneticPr fontId="32" type="noConversion"/>
  </si>
  <si>
    <t>多层板楼</t>
    <rPh sb="0" eb="1">
      <t>duo ceng</t>
    </rPh>
    <rPh sb="2" eb="3">
      <t>ban lou</t>
    </rPh>
    <phoneticPr fontId="32" type="noConversion"/>
  </si>
  <si>
    <t>高层板楼</t>
    <rPh sb="0" eb="1">
      <t>gao ceng ban lou</t>
    </rPh>
    <phoneticPr fontId="32" type="noConversion"/>
  </si>
  <si>
    <t>比较法</t>
    <rPh sb="0" eb="1">
      <t>bi jiao fa</t>
    </rPh>
    <phoneticPr fontId="143" type="noConversion"/>
  </si>
  <si>
    <t>收益法</t>
    <rPh sb="0" eb="1">
      <t>shou yi fa</t>
    </rPh>
    <phoneticPr fontId="143" type="noConversion"/>
  </si>
  <si>
    <t>综合楼</t>
    <rPh sb="0" eb="1">
      <t>zong he lou</t>
    </rPh>
    <phoneticPr fontId="143" type="noConversion"/>
  </si>
  <si>
    <t>权重</t>
    <rPh sb="0" eb="1">
      <t>quan zhong</t>
    </rPh>
    <phoneticPr fontId="143" type="noConversion"/>
  </si>
  <si>
    <t>租金单价</t>
    <rPh sb="0" eb="1">
      <t>zu jin dan jia</t>
    </rPh>
    <phoneticPr fontId="143" type="noConversion"/>
  </si>
  <si>
    <t>建成年代</t>
    <rPh sb="0" eb="1">
      <t>jain cheng nain dai</t>
    </rPh>
    <phoneticPr fontId="143" type="noConversion"/>
  </si>
  <si>
    <t>建成年代</t>
    <rPh sb="0" eb="1">
      <t>jian cheng nian dai</t>
    </rPh>
    <phoneticPr fontId="32" type="noConversion"/>
  </si>
  <si>
    <t>16</t>
    <phoneticPr fontId="3" type="noConversion"/>
  </si>
  <si>
    <t>主楼等其他</t>
    <rPh sb="0" eb="1">
      <t>zhu lou</t>
    </rPh>
    <rPh sb="2" eb="3">
      <t>deng</t>
    </rPh>
    <rPh sb="3" eb="4">
      <t>qi ta</t>
    </rPh>
    <phoneticPr fontId="143" type="noConversion"/>
  </si>
  <si>
    <t>建成时间</t>
    <rPh sb="0" eb="1">
      <t>jian cheng</t>
    </rPh>
    <rPh sb="2" eb="3">
      <t>shi jian</t>
    </rPh>
    <phoneticPr fontId="143" type="noConversion"/>
  </si>
  <si>
    <t>原租赁合同租金</t>
    <rPh sb="0" eb="1">
      <t>yuan</t>
    </rPh>
    <rPh sb="1" eb="2">
      <t>zu lin he tong</t>
    </rPh>
    <rPh sb="5" eb="6">
      <t>zu jin</t>
    </rPh>
    <phoneticPr fontId="143" type="noConversion"/>
  </si>
  <si>
    <t>权属是否完整</t>
    <phoneticPr fontId="32" type="noConversion"/>
  </si>
  <si>
    <t>不完整</t>
    <phoneticPr fontId="32" type="noConversion"/>
  </si>
  <si>
    <t>完整</t>
  </si>
  <si>
    <t>完整</t>
    <phoneticPr fontId="32" type="noConversion"/>
  </si>
  <si>
    <t>不完整</t>
    <phoneticPr fontId="143" type="noConversion"/>
  </si>
  <si>
    <t>完整</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</si>
</sst>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5"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5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6" fillId="0" borderId="1" xfId="0" applyNumberFormat="1" applyFont="1" applyFill="1" applyBorder="1" applyAlignment="1">
      <alignment horizontal="center" vertical="center" wrapText="1" shrinkToFit="1"/>
    </xf>
    <xf numFmtId="0" fontId="116" fillId="0" borderId="1" xfId="0" applyFont="1" applyFill="1" applyBorder="1" applyAlignment="1">
      <alignment vertical="center" wrapText="1" shrinkToFit="1"/>
    </xf>
    <xf numFmtId="0" fontId="116"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3" fillId="0" borderId="0" xfId="0" applyFont="1" applyAlignment="1">
      <alignment wrapTex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1" xfId="0" applyFont="1" applyBorder="1" applyAlignment="1">
      <alignment horizontal="left" vertical="center" wrapText="1" shrinkToFit="1"/>
    </xf>
    <xf numFmtId="179" fontId="116" fillId="0" borderId="1" xfId="0" applyNumberFormat="1" applyFont="1" applyBorder="1" applyAlignment="1">
      <alignment horizontal="center" vertical="center" wrapText="1" shrinkToFit="1"/>
    </xf>
    <xf numFmtId="0" fontId="113" fillId="0" borderId="0" xfId="0" applyFont="1" applyFill="1" applyAlignment="1">
      <alignment wrapText="1"/>
    </xf>
    <xf numFmtId="9" fontId="116"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6" fillId="0" borderId="0" xfId="0" applyFont="1" applyFill="1" applyBorder="1" applyAlignment="1">
      <alignment horizontal="center" vertical="center"/>
    </xf>
    <xf numFmtId="9" fontId="260" fillId="17"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6" fillId="0" borderId="0" xfId="0" applyNumberFormat="1" applyFont="1" applyBorder="1" applyAlignment="1">
      <alignment horizontal="center" vertical="center"/>
    </xf>
    <xf numFmtId="0" fontId="113" fillId="0" borderId="1" xfId="0" applyNumberFormat="1" applyFont="1" applyBorder="1" applyAlignment="1">
      <alignment vertical="center" wrapText="1"/>
    </xf>
    <xf numFmtId="0" fontId="113"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3"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3" fillId="0" borderId="1" xfId="0" applyNumberFormat="1" applyFont="1" applyBorder="1" applyAlignment="1">
      <alignment horizontal="center" vertical="center" wrapText="1"/>
    </xf>
    <xf numFmtId="9" fontId="113" fillId="17" borderId="1" xfId="0" applyNumberFormat="1" applyFont="1" applyFill="1" applyBorder="1" applyAlignment="1">
      <alignment horizontal="center" vertical="center" wrapText="1"/>
    </xf>
    <xf numFmtId="10" fontId="119" fillId="0" borderId="1" xfId="0" applyNumberFormat="1" applyFont="1" applyBorder="1" applyAlignment="1">
      <alignment horizontal="center" vertical="center" wrapText="1"/>
    </xf>
    <xf numFmtId="0" fontId="113" fillId="0" borderId="1" xfId="0" applyFont="1" applyBorder="1" applyAlignment="1">
      <alignment wrapText="1"/>
    </xf>
    <xf numFmtId="0" fontId="0" fillId="0" borderId="0" xfId="0" applyFont="1" applyAlignment="1">
      <alignment vertical="center"/>
    </xf>
    <xf numFmtId="0" fontId="130"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6"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6" fillId="0" borderId="13" xfId="0" applyNumberFormat="1" applyFont="1" applyFill="1" applyBorder="1" applyAlignment="1">
      <alignment horizontal="center" vertical="center" wrapText="1" shrinkToFit="1"/>
    </xf>
    <xf numFmtId="0" fontId="116" fillId="0" borderId="13" xfId="0" applyFont="1" applyFill="1" applyBorder="1" applyAlignment="1">
      <alignment vertical="center" wrapText="1" shrinkToFi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180" fontId="116" fillId="0" borderId="54" xfId="0" applyNumberFormat="1" applyFont="1" applyFill="1" applyBorder="1" applyAlignment="1">
      <alignment horizontal="center" vertical="center" wrapText="1" shrinkToFit="1"/>
    </xf>
    <xf numFmtId="0" fontId="116" fillId="0" borderId="3" xfId="0" applyFont="1" applyFill="1" applyBorder="1" applyAlignment="1">
      <alignment horizontal="left" vertical="center" wrapText="1" shrinkToFit="1"/>
    </xf>
    <xf numFmtId="0" fontId="116" fillId="0" borderId="1" xfId="0" applyNumberFormat="1" applyFont="1" applyFill="1" applyBorder="1" applyAlignment="1">
      <alignment horizontal="center" vertical="center" wrapText="1" shrinkToFit="1"/>
    </xf>
    <xf numFmtId="10" fontId="116" fillId="0" borderId="1" xfId="0" applyNumberFormat="1" applyFont="1" applyFill="1" applyBorder="1" applyAlignment="1">
      <alignment horizontal="center" vertical="center" wrapText="1" shrinkToFit="1"/>
    </xf>
    <xf numFmtId="9" fontId="116" fillId="0" borderId="0" xfId="0" applyNumberFormat="1" applyFont="1" applyFill="1" applyBorder="1" applyAlignment="1">
      <alignment horizontal="center" vertical="center"/>
    </xf>
    <xf numFmtId="0" fontId="116" fillId="0" borderId="5" xfId="0" applyFont="1" applyFill="1" applyBorder="1" applyAlignment="1">
      <alignment horizontal="right" vertical="center" wrapText="1" shrinkToFit="1"/>
    </xf>
    <xf numFmtId="49" fontId="116" fillId="0" borderId="54" xfId="0" applyNumberFormat="1" applyFont="1" applyFill="1" applyBorder="1" applyAlignment="1">
      <alignment horizontal="center" vertical="center" wrapText="1" shrinkToFit="1"/>
    </xf>
    <xf numFmtId="10" fontId="117" fillId="0" borderId="0" xfId="0" applyNumberFormat="1" applyFont="1" applyFill="1" applyBorder="1" applyAlignment="1">
      <alignment horizontal="center" vertical="center"/>
    </xf>
    <xf numFmtId="0" fontId="262" fillId="0" borderId="0" xfId="0" applyFont="1" applyFill="1" applyAlignment="1">
      <alignment vertical="center"/>
    </xf>
    <xf numFmtId="183" fontId="116" fillId="0" borderId="0" xfId="0" applyNumberFormat="1" applyFont="1" applyFill="1" applyBorder="1" applyAlignment="1">
      <alignment horizontal="center" vertical="center"/>
    </xf>
    <xf numFmtId="9" fontId="116" fillId="0" borderId="1" xfId="0" applyNumberFormat="1" applyFont="1" applyFill="1" applyBorder="1" applyAlignment="1">
      <alignment horizontal="center" vertical="center" wrapText="1" shrinkToFit="1"/>
    </xf>
    <xf numFmtId="10" fontId="116"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6"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3" fillId="0" borderId="1" xfId="0" applyFont="1" applyBorder="1" applyAlignment="1">
      <alignment horizontal="center" vertical="center" wrapText="1"/>
    </xf>
    <xf numFmtId="0" fontId="143" fillId="0" borderId="1" xfId="0" applyFont="1" applyFill="1" applyBorder="1" applyAlignment="1">
      <alignment horizontal="center" vertical="center" wrapText="1"/>
    </xf>
    <xf numFmtId="9" fontId="143" fillId="0" borderId="1" xfId="0" applyNumberFormat="1" applyFont="1" applyFill="1" applyBorder="1" applyAlignment="1">
      <alignment horizontal="center" vertical="center" wrapText="1"/>
    </xf>
    <xf numFmtId="178" fontId="143"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47" fillId="7" borderId="54" xfId="0" applyFont="1" applyFill="1" applyBorder="1" applyAlignment="1" applyProtection="1">
      <alignment vertical="center" wrapText="1"/>
      <protection locked="0"/>
    </xf>
    <xf numFmtId="0" fontId="47" fillId="7" borderId="151"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178" fontId="143" fillId="0" borderId="1" xfId="0" applyNumberFormat="1" applyFont="1" applyFill="1" applyBorder="1" applyAlignment="1">
      <alignment horizontal="center" vertical="center" wrapText="1"/>
    </xf>
    <xf numFmtId="0" fontId="143" fillId="0" borderId="1" xfId="0" applyFont="1" applyFill="1" applyBorder="1" applyAlignment="1">
      <alignment horizontal="center" vertical="center" wrapText="1"/>
    </xf>
    <xf numFmtId="0" fontId="143" fillId="0" borderId="1" xfId="0" applyFont="1" applyBorder="1" applyAlignment="1">
      <alignment horizontal="center" vertical="center" wrapTex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1" xfId="0" applyFont="1" applyFill="1" applyBorder="1" applyAlignment="1">
      <alignment horizontal="center" vertical="center" wrapText="1" shrinkToFit="1"/>
    </xf>
    <xf numFmtId="10" fontId="116" fillId="0" borderId="1" xfId="0" applyNumberFormat="1" applyFont="1" applyFill="1" applyBorder="1" applyAlignment="1">
      <alignment horizontal="center" vertical="center" wrapText="1" shrinkToFit="1"/>
    </xf>
    <xf numFmtId="0" fontId="116" fillId="0" borderId="5" xfId="0" applyFont="1" applyFill="1" applyBorder="1" applyAlignment="1">
      <alignment horizontal="right" vertical="center" wrapText="1" shrinkToFit="1"/>
    </xf>
    <xf numFmtId="0" fontId="116" fillId="0" borderId="3" xfId="0" applyFont="1" applyFill="1" applyBorder="1" applyAlignment="1">
      <alignment horizontal="left" vertical="center" wrapText="1" shrinkToFit="1"/>
    </xf>
    <xf numFmtId="9" fontId="116" fillId="0" borderId="1" xfId="0" applyNumberFormat="1" applyFont="1" applyFill="1" applyBorder="1" applyAlignment="1">
      <alignment horizontal="center" vertical="center" wrapText="1" shrinkToFi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5" borderId="1" xfId="0" applyFill="1" applyBorder="1" applyAlignment="1">
      <alignment horizontal="center" vertical="center"/>
    </xf>
    <xf numFmtId="0" fontId="0" fillId="0" borderId="0" xfId="0" applyAlignment="1">
      <alignment horizontal="center" vertical="center"/>
    </xf>
    <xf numFmtId="0" fontId="0" fillId="19" borderId="1" xfId="0" applyFill="1" applyBorder="1" applyAlignment="1">
      <alignment horizontal="center"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19"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0" fontId="116" fillId="0" borderId="3" xfId="0" applyFont="1" applyFill="1" applyBorder="1" applyAlignment="1">
      <alignment horizontal="center" vertical="center" wrapText="1" shrinkToFit="1"/>
    </xf>
    <xf numFmtId="0" fontId="116" fillId="0" borderId="1" xfId="0" applyFont="1" applyFill="1" applyBorder="1" applyAlignment="1">
      <alignment horizontal="center" vertical="center" wrapText="1" shrinkToFi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46" xfId="0" applyFont="1" applyFill="1" applyBorder="1" applyAlignment="1">
      <alignment horizontal="center" vertical="center" wrapText="1" shrinkToFit="1"/>
    </xf>
    <xf numFmtId="0" fontId="116" fillId="0" borderId="36" xfId="0" applyFont="1" applyFill="1" applyBorder="1" applyAlignment="1">
      <alignment horizontal="center" vertical="center" wrapText="1" shrinkToFit="1"/>
    </xf>
    <xf numFmtId="0" fontId="116" fillId="0" borderId="22" xfId="0" applyFont="1" applyFill="1" applyBorder="1" applyAlignment="1">
      <alignment horizontal="center" vertical="center" wrapText="1" shrinkToFit="1"/>
    </xf>
    <xf numFmtId="0" fontId="116" fillId="0" borderId="58" xfId="0" applyFont="1" applyFill="1" applyBorder="1" applyAlignment="1">
      <alignment horizontal="center" vertical="center" wrapText="1" shrinkToFit="1"/>
    </xf>
    <xf numFmtId="0" fontId="116" fillId="0" borderId="0" xfId="0" applyFont="1" applyFill="1" applyBorder="1" applyAlignment="1">
      <alignment horizontal="center" vertical="center" wrapText="1" shrinkToFit="1"/>
    </xf>
    <xf numFmtId="0" fontId="116" fillId="0" borderId="35" xfId="0" applyFont="1" applyFill="1" applyBorder="1" applyAlignment="1">
      <alignment horizontal="center" vertical="center" wrapText="1" shrinkToFit="1"/>
    </xf>
    <xf numFmtId="0" fontId="116" fillId="0" borderId="4" xfId="0" applyFont="1" applyFill="1" applyBorder="1" applyAlignment="1">
      <alignment horizontal="center" vertical="center" wrapText="1" shrinkToFit="1"/>
    </xf>
    <xf numFmtId="0" fontId="116" fillId="0" borderId="60" xfId="0" applyFont="1" applyFill="1" applyBorder="1" applyAlignment="1">
      <alignment horizontal="center" vertical="center" wrapText="1" shrinkToFit="1"/>
    </xf>
    <xf numFmtId="0" fontId="116"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6" fillId="0" borderId="1" xfId="0" applyNumberFormat="1" applyFont="1" applyFill="1" applyBorder="1" applyAlignment="1">
      <alignment horizontal="center" vertical="center" wrapText="1" shrinkToFit="1"/>
    </xf>
    <xf numFmtId="180" fontId="116" fillId="0" borderId="5" xfId="0" applyNumberFormat="1" applyFont="1" applyFill="1" applyBorder="1" applyAlignment="1">
      <alignment horizontal="right" vertical="center" wrapText="1" shrinkToFit="1"/>
    </xf>
    <xf numFmtId="180" fontId="116" fillId="0" borderId="54" xfId="0" applyNumberFormat="1" applyFont="1" applyFill="1" applyBorder="1" applyAlignment="1">
      <alignment horizontal="right" vertical="center" wrapText="1" shrinkToFit="1"/>
    </xf>
    <xf numFmtId="0" fontId="116" fillId="0" borderId="54" xfId="0" applyFont="1" applyFill="1" applyBorder="1" applyAlignment="1">
      <alignment horizontal="left" vertical="center" wrapText="1" shrinkToFit="1"/>
    </xf>
    <xf numFmtId="0" fontId="116" fillId="0" borderId="3" xfId="0" applyFont="1" applyFill="1" applyBorder="1" applyAlignment="1">
      <alignment horizontal="left" vertical="center" wrapText="1" shrinkToFit="1"/>
    </xf>
    <xf numFmtId="0" fontId="116" fillId="0" borderId="5" xfId="0" applyFont="1" applyFill="1" applyBorder="1" applyAlignment="1">
      <alignment horizontal="right" vertical="center" wrapText="1" shrinkToFit="1"/>
    </xf>
    <xf numFmtId="0" fontId="116" fillId="0" borderId="54" xfId="0" applyFont="1" applyFill="1" applyBorder="1" applyAlignment="1">
      <alignment horizontal="right" vertical="center" wrapText="1" shrinkToFit="1"/>
    </xf>
    <xf numFmtId="185" fontId="116" fillId="0" borderId="54" xfId="0" applyNumberFormat="1" applyFont="1" applyFill="1" applyBorder="1" applyAlignment="1">
      <alignment horizontal="left" vertical="center" wrapText="1" shrinkToFit="1"/>
    </xf>
    <xf numFmtId="10" fontId="116" fillId="0" borderId="3" xfId="0" applyNumberFormat="1" applyFont="1" applyFill="1" applyBorder="1" applyAlignment="1">
      <alignment horizontal="left" vertical="center" wrapText="1" shrinkToFit="1"/>
    </xf>
    <xf numFmtId="9" fontId="116" fillId="0" borderId="13" xfId="0" applyNumberFormat="1" applyFont="1" applyFill="1" applyBorder="1" applyAlignment="1">
      <alignment horizontal="left" vertical="center" wrapText="1" shrinkToFit="1"/>
    </xf>
    <xf numFmtId="9" fontId="116" fillId="0" borderId="2" xfId="0" applyNumberFormat="1" applyFont="1" applyFill="1" applyBorder="1" applyAlignment="1">
      <alignment horizontal="left" vertical="center" wrapText="1" shrinkToFit="1"/>
    </xf>
    <xf numFmtId="9" fontId="116" fillId="0" borderId="1" xfId="0" applyNumberFormat="1" applyFont="1" applyFill="1" applyBorder="1" applyAlignment="1">
      <alignment horizontal="center" vertical="center" wrapText="1" shrinkToFit="1"/>
    </xf>
    <xf numFmtId="0" fontId="116" fillId="0" borderId="5" xfId="0" applyNumberFormat="1" applyFont="1" applyFill="1" applyBorder="1" applyAlignment="1">
      <alignment horizontal="right" vertical="center" wrapText="1" shrinkToFit="1"/>
    </xf>
    <xf numFmtId="0" fontId="116" fillId="0" borderId="54" xfId="0" applyNumberFormat="1" applyFont="1" applyFill="1" applyBorder="1" applyAlignment="1">
      <alignment horizontal="right" vertical="center" wrapText="1" shrinkToFit="1"/>
    </xf>
    <xf numFmtId="10" fontId="116" fillId="7" borderId="54" xfId="0" applyNumberFormat="1" applyFont="1" applyFill="1" applyBorder="1" applyAlignment="1">
      <alignment horizontal="left" vertical="center" wrapText="1" shrinkToFit="1"/>
    </xf>
    <xf numFmtId="10" fontId="116" fillId="7" borderId="3" xfId="0" applyNumberFormat="1" applyFont="1" applyFill="1" applyBorder="1" applyAlignment="1">
      <alignment horizontal="left" vertical="center" wrapText="1" shrinkToFit="1"/>
    </xf>
    <xf numFmtId="10" fontId="116" fillId="0" borderId="1" xfId="0" applyNumberFormat="1" applyFont="1" applyFill="1" applyBorder="1" applyAlignment="1">
      <alignment horizontal="center" vertical="center" wrapText="1" shrinkToFit="1"/>
    </xf>
    <xf numFmtId="10" fontId="116" fillId="0" borderId="54" xfId="0" applyNumberFormat="1" applyFont="1" applyFill="1" applyBorder="1" applyAlignment="1">
      <alignment horizontal="left" vertical="center" wrapText="1" shrinkToFit="1"/>
    </xf>
    <xf numFmtId="10" fontId="116" fillId="0" borderId="5" xfId="0" applyNumberFormat="1" applyFont="1" applyFill="1" applyBorder="1" applyAlignment="1">
      <alignment horizontal="center" vertical="center" wrapText="1" shrinkToFit="1"/>
    </xf>
    <xf numFmtId="10" fontId="116" fillId="0" borderId="3" xfId="0" applyNumberFormat="1" applyFont="1" applyFill="1" applyBorder="1" applyAlignment="1">
      <alignment horizontal="center" vertical="center" wrapText="1" shrinkToFit="1"/>
    </xf>
    <xf numFmtId="183" fontId="116" fillId="0" borderId="1" xfId="0" applyNumberFormat="1" applyFont="1" applyFill="1" applyBorder="1" applyAlignment="1">
      <alignment horizontal="center" vertical="center" wrapText="1" shrinkToFit="1"/>
    </xf>
    <xf numFmtId="179" fontId="116" fillId="0" borderId="46" xfId="0" applyNumberFormat="1" applyFont="1" applyFill="1" applyBorder="1" applyAlignment="1">
      <alignment horizontal="center" vertical="center" wrapText="1" shrinkToFit="1"/>
    </xf>
    <xf numFmtId="179" fontId="116" fillId="0" borderId="36" xfId="0" applyNumberFormat="1" applyFont="1" applyFill="1" applyBorder="1" applyAlignment="1">
      <alignment horizontal="center" vertical="center" wrapText="1" shrinkToFit="1"/>
    </xf>
    <xf numFmtId="179" fontId="116" fillId="0" borderId="22" xfId="0" applyNumberFormat="1" applyFont="1" applyFill="1" applyBorder="1" applyAlignment="1">
      <alignment horizontal="center" vertical="center" wrapText="1" shrinkToFit="1"/>
    </xf>
    <xf numFmtId="179" fontId="116" fillId="0" borderId="4" xfId="0" applyNumberFormat="1" applyFont="1" applyFill="1" applyBorder="1" applyAlignment="1">
      <alignment horizontal="center" vertical="center" wrapText="1" shrinkToFit="1"/>
    </xf>
    <xf numFmtId="179" fontId="116" fillId="0" borderId="60" xfId="0" applyNumberFormat="1" applyFont="1" applyFill="1" applyBorder="1" applyAlignment="1">
      <alignment horizontal="center" vertical="center" wrapText="1" shrinkToFit="1"/>
    </xf>
    <xf numFmtId="179" fontId="116" fillId="0" borderId="7" xfId="0" applyNumberFormat="1" applyFont="1" applyFill="1" applyBorder="1" applyAlignment="1">
      <alignment horizontal="center" vertical="center" wrapText="1" shrinkToFit="1"/>
    </xf>
    <xf numFmtId="178" fontId="143" fillId="0" borderId="1" xfId="0" applyNumberFormat="1" applyFont="1" applyFill="1" applyBorder="1" applyAlignment="1">
      <alignment horizontal="center" vertical="center" wrapText="1"/>
    </xf>
    <xf numFmtId="0" fontId="264" fillId="18" borderId="0" xfId="0" applyFont="1" applyFill="1" applyBorder="1" applyAlignment="1">
      <alignment horizontal="center" vertical="center" wrapText="1"/>
    </xf>
    <xf numFmtId="0" fontId="143" fillId="0" borderId="1" xfId="0" applyFont="1" applyFill="1" applyBorder="1" applyAlignment="1">
      <alignment horizontal="center" vertical="center" wrapText="1"/>
    </xf>
    <xf numFmtId="179" fontId="143" fillId="0" borderId="1" xfId="0" applyNumberFormat="1" applyFont="1" applyFill="1" applyBorder="1" applyAlignment="1">
      <alignment horizontal="center" vertical="center" wrapText="1"/>
    </xf>
    <xf numFmtId="0" fontId="143" fillId="0" borderId="1" xfId="0" applyFont="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51">
    <cellStyle name="百分比 2" xfId="14"/>
    <cellStyle name="常规" xfId="0" builtinId="0"/>
    <cellStyle name="常规 11 2" xfId="17"/>
    <cellStyle name="常规 16" xfId="10"/>
    <cellStyle name="常规 2" xfId="1"/>
    <cellStyle name="常规 2 2" xfId="8"/>
    <cellStyle name="常规 2 2 2 2 3" xfId="15"/>
    <cellStyle name="常规 3" xfId="2"/>
    <cellStyle name="常规 3 10" xfId="18"/>
    <cellStyle name="常规 3 11" xfId="19"/>
    <cellStyle name="常规 3 12" xfId="20"/>
    <cellStyle name="常规 3 2" xfId="3"/>
    <cellStyle name="常规 3 2 2" xfId="21"/>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s>
  <dxfs count="23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76200</xdr:colOff>
      <xdr:row>31</xdr:row>
      <xdr:rowOff>177800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3200" cy="6083300"/>
        </a:xfrm>
        <a:prstGeom prst="rect">
          <a:avLst/>
        </a:prstGeom>
      </xdr:spPr>
    </xdr:pic>
    <xdr:clientData/>
  </xdr:twoCellAnchor>
  <xdr:twoCellAnchor editAs="oneCell">
    <xdr:from>
      <xdr:col>0</xdr:col>
      <xdr:colOff>0</xdr:colOff>
      <xdr:row>33</xdr:row>
      <xdr:rowOff>0</xdr:rowOff>
    </xdr:from>
    <xdr:to>
      <xdr:col>4</xdr:col>
      <xdr:colOff>787400</xdr:colOff>
      <xdr:row>65</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286500"/>
          <a:ext cx="4089400" cy="6223000"/>
        </a:xfrm>
        <a:prstGeom prst="rect">
          <a:avLst/>
        </a:prstGeom>
      </xdr:spPr>
    </xdr:pic>
    <xdr:clientData/>
  </xdr:twoCellAnchor>
  <xdr:twoCellAnchor editAs="oneCell">
    <xdr:from>
      <xdr:col>6</xdr:col>
      <xdr:colOff>0</xdr:colOff>
      <xdr:row>34</xdr:row>
      <xdr:rowOff>0</xdr:rowOff>
    </xdr:from>
    <xdr:to>
      <xdr:col>11</xdr:col>
      <xdr:colOff>63500</xdr:colOff>
      <xdr:row>72</xdr:row>
      <xdr:rowOff>25400</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0" y="6477000"/>
          <a:ext cx="4191000" cy="7264400"/>
        </a:xfrm>
        <a:prstGeom prst="rect">
          <a:avLst/>
        </a:prstGeom>
      </xdr:spPr>
    </xdr:pic>
    <xdr:clientData/>
  </xdr:twoCellAnchor>
  <xdr:twoCellAnchor editAs="oneCell">
    <xdr:from>
      <xdr:col>12</xdr:col>
      <xdr:colOff>0</xdr:colOff>
      <xdr:row>34</xdr:row>
      <xdr:rowOff>0</xdr:rowOff>
    </xdr:from>
    <xdr:to>
      <xdr:col>16</xdr:col>
      <xdr:colOff>622300</xdr:colOff>
      <xdr:row>69</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906000" y="6477000"/>
          <a:ext cx="3924300" cy="6692900"/>
        </a:xfrm>
        <a:prstGeom prst="rect">
          <a:avLst/>
        </a:prstGeom>
      </xdr:spPr>
    </xdr:pic>
    <xdr:clientData/>
  </xdr:twoCellAnchor>
  <xdr:twoCellAnchor editAs="oneCell">
    <xdr:from>
      <xdr:col>0</xdr:col>
      <xdr:colOff>0</xdr:colOff>
      <xdr:row>74</xdr:row>
      <xdr:rowOff>0</xdr:rowOff>
    </xdr:from>
    <xdr:to>
      <xdr:col>5</xdr:col>
      <xdr:colOff>127000</xdr:colOff>
      <xdr:row>115</xdr:row>
      <xdr:rowOff>12700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097000"/>
          <a:ext cx="4254500" cy="7823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43</xdr:row>
      <xdr:rowOff>127000</xdr:rowOff>
    </xdr:from>
    <xdr:to>
      <xdr:col>9</xdr:col>
      <xdr:colOff>304800</xdr:colOff>
      <xdr:row>69</xdr:row>
      <xdr:rowOff>127000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 y="10490200"/>
          <a:ext cx="732790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0</xdr:rowOff>
    </xdr:from>
    <xdr:to>
      <xdr:col>9</xdr:col>
      <xdr:colOff>88900</xdr:colOff>
      <xdr:row>95</xdr:row>
      <xdr:rowOff>12700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16078200"/>
          <a:ext cx="6959600" cy="420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330200</xdr:colOff>
      <xdr:row>43</xdr:row>
      <xdr:rowOff>127000</xdr:rowOff>
    </xdr:from>
    <xdr:to>
      <xdr:col>9</xdr:col>
      <xdr:colOff>304800</xdr:colOff>
      <xdr:row>69</xdr:row>
      <xdr:rowOff>127000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 y="10490200"/>
          <a:ext cx="732790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0</xdr:rowOff>
    </xdr:from>
    <xdr:to>
      <xdr:col>9</xdr:col>
      <xdr:colOff>88900</xdr:colOff>
      <xdr:row>95</xdr:row>
      <xdr:rowOff>12700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16078200"/>
          <a:ext cx="6959600" cy="420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3">
          <cell r="E3">
            <v>0</v>
          </cell>
        </row>
        <row r="17">
          <cell r="C17" t="str">
            <v>项目类型</v>
          </cell>
        </row>
      </sheetData>
      <sheetData sheetId="14">
        <row r="2">
          <cell r="B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1">
          <cell r="B1" t="str">
            <v>一级</v>
          </cell>
        </row>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ow r="2">
          <cell r="B2" t="str">
            <v>一级</v>
          </cell>
        </row>
      </sheetData>
      <sheetData sheetId="36" refreshError="1"/>
      <sheetData sheetId="37">
        <row r="2">
          <cell r="B2" t="str">
            <v>综合</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ow r="3">
          <cell r="C3" t="str">
            <v>商业</v>
          </cell>
        </row>
      </sheetData>
      <sheetData sheetId="41">
        <row r="3">
          <cell r="C3" t="str">
            <v>商业</v>
          </cell>
        </row>
      </sheetData>
      <sheetData sheetId="42">
        <row r="4">
          <cell r="D4">
            <v>0</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北京市出让国有建设用地使用权及在建建筑物房地产市场价值预评估</v>
      </c>
    </row>
    <row r="3" spans="1:2" s="1593" customFormat="1">
      <c r="A3" s="1591" t="s">
        <v>1216</v>
      </c>
      <c r="B3" s="1592" t="str">
        <f>'预评函-封皮'!B40</f>
        <v>中纪委培训中心</v>
      </c>
    </row>
    <row r="4" spans="1:2" s="1593" customFormat="1">
      <c r="A4" s="1591" t="s">
        <v>1217</v>
      </c>
      <c r="B4" s="1592" t="str">
        <f ca="1">'预评函-封皮'!B46</f>
        <v>陈颖（注册号：1120060040)、叶凌（注册号：1119970111)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中纪委培训中心所有。根据《北京市城市规划管理局征用土地征询意见表》[（93）规地征字249号]，估价对象（分摊）出让国有建设用地使用权面积为21120.11平方米，建筑面积为11819.97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中纪委培训中心开发建设的办公项目，该项目尚在开发建设中。根据《北京市城市规划管理局征用土地征询意见表》[（93）规地征字249号]，估价对象（分摊）出让国有建设用地使用权面积为21120.11平方米，规划建筑面积为11819.97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2020年4月2日（评估专业人员实地查勘之日）</v>
      </c>
    </row>
    <row r="13" spans="1:2" s="1593" customFormat="1">
      <c r="A13" s="1591" t="s">
        <v>1222</v>
      </c>
      <c r="B13" s="1592" t="str">
        <f>'预评函-1'!A18</f>
        <v>本次估价的“房地产价值”是指在正常市场情况下，在价值时点2020年4月2日，估价对象规划用途为办公，土地取得方式为，假定未设立法定优先受偿款下的房地产市场价值。</v>
      </c>
    </row>
    <row r="14" spans="1:2" s="1593" customFormat="1">
      <c r="A14" s="1591" t="s">
        <v>1223</v>
      </c>
      <c r="B14" s="1592" t="str">
        <f>'预评函-1'!A19</f>
        <v>其中，“划拨国有建设用地使用权价值”是指估价对象用途为办公，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t="e">
        <f ca="1">'预评函-2'!D5</f>
        <v>#REF!</v>
      </c>
    </row>
    <row r="21" spans="1:2" s="1593" customFormat="1">
      <c r="A21" s="1591" t="s">
        <v>1230</v>
      </c>
      <c r="B21" s="1592" t="e">
        <f ca="1">'预评函-2'!D7</f>
        <v>#REF!</v>
      </c>
    </row>
    <row r="22" spans="1:2" s="1593" customFormat="1">
      <c r="A22" s="1591" t="s">
        <v>1231</v>
      </c>
      <c r="B22" s="1592" t="e">
        <f ca="1">'预评函-2'!D6</f>
        <v>#REF!</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t="e">
        <f ca="1">'预评函-2'!D13</f>
        <v>#REF!</v>
      </c>
    </row>
    <row r="31" spans="1:2" s="1593" customFormat="1">
      <c r="A31" s="1591" t="s">
        <v>1269</v>
      </c>
      <c r="B31" s="1592" t="e">
        <f ca="1">'预评函-2'!D15</f>
        <v>#REF!</v>
      </c>
    </row>
    <row r="32" spans="1:2" s="1593" customFormat="1">
      <c r="A32" s="1591" t="s">
        <v>1236</v>
      </c>
      <c r="B32" s="1592" t="e">
        <f ca="1">'预评函-2'!D14</f>
        <v>#REF!</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11819.969999999998</v>
      </c>
    </row>
    <row r="44" spans="1:2" s="1593" customFormat="1">
      <c r="A44" s="1591" t="s">
        <v>1268</v>
      </c>
      <c r="B44" s="1592" t="str">
        <f>'预评函-3'!C2</f>
        <v>(分摊)土地面积</v>
      </c>
    </row>
    <row r="45" spans="1:2" s="1593" customFormat="1">
      <c r="A45" s="1591" t="s">
        <v>1240</v>
      </c>
      <c r="B45" s="1592">
        <f>'预评函-3'!C4</f>
        <v>21120.11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陈颖</v>
      </c>
    </row>
    <row r="71" spans="1:2">
      <c r="A71" s="1591" t="s">
        <v>1256</v>
      </c>
      <c r="B71" s="1592">
        <f ca="1">'预评函-4'!B4</f>
        <v>1120060040</v>
      </c>
    </row>
    <row r="72" spans="1:2">
      <c r="A72" s="1591" t="s">
        <v>1257</v>
      </c>
      <c r="B72" s="1600" t="str">
        <f>'预评函-4'!A5</f>
        <v>叶凌</v>
      </c>
    </row>
    <row r="73" spans="1:2" s="1587" customFormat="1" ht="15" thickBot="1">
      <c r="A73" s="1594" t="s">
        <v>1258</v>
      </c>
      <c r="B73" s="1595">
        <f ca="1">'预评函-4'!B5</f>
        <v>1119970111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D13" sqref="D13"/>
    </sheetView>
  </sheetViews>
  <sheetFormatPr defaultColWidth="9" defaultRowHeight="13.5"/>
  <cols>
    <col min="1" max="1" width="13.5" style="2023" customWidth="1"/>
    <col min="2" max="2" width="23.125" style="1974" customWidth="1"/>
    <col min="3" max="3" width="13" style="2018" customWidth="1"/>
    <col min="4" max="4" width="5.8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9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96"/>
      <c r="B54" s="2021" t="s">
        <v>860</v>
      </c>
      <c r="C54" s="2018" t="s">
        <v>1276</v>
      </c>
    </row>
    <row r="55" spans="1:4">
      <c r="A55" s="3096"/>
      <c r="B55" s="2021" t="s">
        <v>861</v>
      </c>
      <c r="C55" s="2018" t="s">
        <v>1277</v>
      </c>
    </row>
    <row r="56" spans="1:4">
      <c r="A56" s="3096"/>
      <c r="B56" s="2021" t="s">
        <v>862</v>
      </c>
      <c r="C56" s="2018" t="s">
        <v>1281</v>
      </c>
    </row>
    <row r="57" spans="1:4">
      <c r="A57" s="309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topLeftCell="A14" zoomScaleSheetLayoutView="100" workbookViewId="0">
      <selection activeCell="L22" sqref="L22"/>
    </sheetView>
  </sheetViews>
  <sheetFormatPr defaultColWidth="10" defaultRowHeight="18" customHeight="1"/>
  <cols>
    <col min="1" max="1" width="14.875" style="2031" customWidth="1"/>
    <col min="2" max="2" width="10" style="2031" customWidth="1"/>
    <col min="3" max="3" width="13.625" style="2031" customWidth="1"/>
    <col min="4" max="6" width="10" style="2031" customWidth="1"/>
    <col min="7" max="7" width="10.8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10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106"/>
      <c r="D1" s="3106"/>
      <c r="E1" s="3106"/>
      <c r="F1" s="3106"/>
      <c r="G1" s="3106"/>
      <c r="H1" s="3106"/>
      <c r="I1" s="31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v>43923</v>
      </c>
      <c r="C3" s="2036" t="s">
        <v>1773</v>
      </c>
      <c r="D3" s="2035">
        <v>43923</v>
      </c>
      <c r="E3" s="2025"/>
      <c r="F3" s="2025"/>
      <c r="G3" s="2025"/>
      <c r="H3" s="2025"/>
      <c r="I3" s="2025"/>
      <c r="J3" s="2025"/>
      <c r="K3" s="2026"/>
      <c r="L3" s="2027"/>
      <c r="M3" s="2027"/>
      <c r="N3" s="2028"/>
      <c r="O3" s="2029"/>
      <c r="P3" s="2028"/>
      <c r="Q3" s="2028"/>
      <c r="R3" s="2028"/>
      <c r="S3" s="2030"/>
    </row>
    <row r="4" spans="1:19" ht="18" customHeight="1" thickBot="1">
      <c r="A4" s="2037" t="s">
        <v>1774</v>
      </c>
      <c r="B4" s="2038" t="s">
        <v>3176</v>
      </c>
      <c r="C4" s="1037">
        <f ca="1">SUMIF(注册房地产估价师,B4,估价师及机构信息!B3:B24)</f>
        <v>1120060040</v>
      </c>
      <c r="D4" s="2038" t="s">
        <v>3177</v>
      </c>
      <c r="E4" s="1038">
        <f ca="1">SUMIF(注册房地产估价师,D4,估价师及机构信息!B3:B24)</f>
        <v>1119970111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陈颖（注册号：1120060040)、叶凌（注册号：1119970111)</v>
      </c>
      <c r="L4" s="2027"/>
      <c r="M4" s="2027"/>
      <c r="N4" s="2028"/>
      <c r="O4" s="2029"/>
      <c r="P4" s="2028"/>
      <c r="Q4" s="2028"/>
      <c r="R4" s="2028"/>
      <c r="S4" s="2030"/>
    </row>
    <row r="5" spans="1:19" ht="18" customHeight="1" thickTop="1">
      <c r="A5" s="2043" t="s">
        <v>1775</v>
      </c>
      <c r="B5" s="3024" t="s">
        <v>3181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c r="C8" s="2054"/>
      <c r="D8" s="3108" t="s">
        <v>1779</v>
      </c>
      <c r="E8" s="2055"/>
      <c r="F8" s="2056"/>
      <c r="G8" s="2025"/>
      <c r="H8" s="2025"/>
      <c r="I8" s="2025"/>
      <c r="J8" s="2041"/>
      <c r="K8" s="2042"/>
      <c r="L8" s="2027"/>
      <c r="M8" s="2027"/>
      <c r="N8" s="2028"/>
      <c r="O8" s="2029"/>
      <c r="P8" s="2028"/>
      <c r="Q8" s="2028"/>
      <c r="R8" s="2028"/>
    </row>
    <row r="9" spans="1:19" ht="18" customHeight="1" thickBot="1">
      <c r="A9" s="2039" t="s">
        <v>1780</v>
      </c>
      <c r="B9" s="2057" t="s">
        <v>3178</v>
      </c>
      <c r="C9" s="2058"/>
      <c r="D9" s="3109"/>
      <c r="E9" s="2057"/>
      <c r="F9" s="2059"/>
      <c r="G9" s="2060"/>
      <c r="H9" s="2060"/>
      <c r="I9" s="2060"/>
      <c r="J9" s="2041"/>
      <c r="K9" s="2052"/>
      <c r="L9" s="2027"/>
      <c r="M9" s="2027"/>
      <c r="N9" s="2028"/>
      <c r="O9" s="2029"/>
      <c r="P9" s="2028"/>
      <c r="Q9" s="2028"/>
      <c r="R9" s="2028"/>
    </row>
    <row r="10" spans="1:19" ht="18" customHeight="1" thickTop="1">
      <c r="A10" s="2061" t="s">
        <v>1781</v>
      </c>
      <c r="B10" s="2062" t="s">
        <v>3179</v>
      </c>
      <c r="C10" s="2063"/>
      <c r="D10" s="2045"/>
      <c r="E10" s="2064" t="s">
        <v>1782</v>
      </c>
      <c r="F10" s="2065"/>
      <c r="G10" s="2066"/>
      <c r="H10" s="2067"/>
      <c r="I10" s="2045"/>
      <c r="J10" s="2041"/>
      <c r="K10" s="2052"/>
      <c r="L10" s="2027"/>
      <c r="M10" s="2027"/>
      <c r="N10" s="2028"/>
      <c r="O10" s="2029"/>
      <c r="P10" s="2028"/>
      <c r="Q10" s="2028"/>
      <c r="R10" s="2028"/>
    </row>
    <row r="11" spans="1:19" ht="18" customHeight="1">
      <c r="A11" s="2068" t="s">
        <v>1783</v>
      </c>
      <c r="B11" s="2069" t="s">
        <v>3180</v>
      </c>
      <c r="C11" s="3023" t="s">
        <v>3182</v>
      </c>
      <c r="D11" s="2070"/>
      <c r="E11" s="2041"/>
      <c r="F11" s="2041"/>
      <c r="G11" s="2041"/>
      <c r="H11" s="2041"/>
      <c r="I11" s="2041"/>
      <c r="J11" s="2041"/>
      <c r="K11" s="2052"/>
      <c r="L11" s="2027"/>
      <c r="M11" s="2027"/>
      <c r="N11" s="2028"/>
      <c r="O11" s="2029"/>
      <c r="P11" s="2028"/>
      <c r="Q11" s="2028"/>
      <c r="R11" s="2028"/>
    </row>
    <row r="12" spans="1:19" ht="18" customHeight="1">
      <c r="A12" s="2071" t="s">
        <v>1784</v>
      </c>
      <c r="B12" s="2069"/>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0</v>
      </c>
      <c r="E15" s="1049">
        <f>IF(B12="出让",IF(E13="","",ROUNDDOWN(MIN((E13-$D$3)/365,E14),2)),E14)</f>
        <v>0</v>
      </c>
      <c r="F15" s="1049">
        <f>IF(B12="出让",IF(F13="","",ROUNDDOWN(MIN((F13-$D$3)/365,F14),2)),F14)</f>
        <v>50</v>
      </c>
      <c r="G15" s="1049">
        <f>IF(B12="出让",IF(G13="","",ROUNDDOWN(MIN((G13-$D$3)/365,G14),2)),G14)</f>
        <v>0</v>
      </c>
      <c r="H15" s="1049">
        <f>IF(B12="出让",IF(H13="","",ROUNDDOWN(MIN((H13-$D$3)/365,H14),2)),H14)</f>
        <v>0</v>
      </c>
      <c r="I15" s="1049">
        <f>IF(B12="出让",IF(I13="","",ROUNDDOWN(MIN((I13-$D$3)/365,I14),2)),I14)</f>
        <v>0</v>
      </c>
      <c r="J15" s="2041"/>
      <c r="K15" s="2080"/>
      <c r="L15" s="2081"/>
      <c r="M15" s="2081"/>
      <c r="N15" s="2082"/>
      <c r="O15" s="2081"/>
      <c r="P15" s="2082"/>
      <c r="Q15" s="2028"/>
      <c r="R15" s="2028"/>
    </row>
    <row r="16" spans="1:19" ht="30.75" customHeight="1">
      <c r="A16" s="2064" t="s">
        <v>1795</v>
      </c>
      <c r="B16" s="3115" t="s">
        <v>3183</v>
      </c>
      <c r="C16" s="3116"/>
      <c r="D16" s="3117"/>
      <c r="E16" s="2083" t="s">
        <v>1796</v>
      </c>
      <c r="F16" s="3118" t="s">
        <v>3184</v>
      </c>
      <c r="G16" s="3119"/>
      <c r="H16" s="3119"/>
      <c r="I16" s="3120"/>
      <c r="J16" s="2028"/>
      <c r="K16" s="2080"/>
      <c r="L16" s="2081"/>
      <c r="M16" s="2081"/>
      <c r="N16" s="2082"/>
      <c r="O16" s="2081"/>
      <c r="P16" s="2082"/>
      <c r="Q16" s="2028"/>
      <c r="R16" s="2028"/>
    </row>
    <row r="17" spans="1:22" ht="18" customHeight="1">
      <c r="A17" s="2084" t="s">
        <v>1797</v>
      </c>
      <c r="B17" s="2034" t="s">
        <v>1798</v>
      </c>
      <c r="C17" s="1054">
        <f>'数据-汇总表'!E3</f>
        <v>11819.969999999998</v>
      </c>
      <c r="D17" s="2085" t="s">
        <v>1799</v>
      </c>
      <c r="E17" s="3121" t="s">
        <v>3185</v>
      </c>
      <c r="F17" s="3122"/>
      <c r="G17" s="3122"/>
      <c r="H17" s="3122"/>
      <c r="I17" s="3123"/>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21120.11</v>
      </c>
      <c r="D18" s="2088" t="s">
        <v>1799</v>
      </c>
      <c r="E18" s="3124" t="s">
        <v>3186</v>
      </c>
      <c r="F18" s="3125"/>
      <c r="G18" s="3125"/>
      <c r="H18" s="3125"/>
      <c r="I18" s="3126"/>
      <c r="J18" s="2028"/>
      <c r="K18" s="2086"/>
      <c r="L18" s="2081"/>
      <c r="M18" s="2081"/>
      <c r="N18" s="2082"/>
      <c r="O18" s="2081"/>
      <c r="P18" s="2082"/>
      <c r="Q18" s="2028"/>
      <c r="R18" s="2028"/>
      <c r="S18" s="2028"/>
      <c r="T18" s="2028"/>
      <c r="U18" s="2028"/>
      <c r="V18" s="2028"/>
    </row>
    <row r="19" spans="1:22" ht="37.5" customHeight="1" thickTop="1" thickBot="1">
      <c r="A19" s="373" t="s">
        <v>1802</v>
      </c>
      <c r="B19" s="352" t="s">
        <v>1803</v>
      </c>
      <c r="C19" s="2089" t="s">
        <v>3187</v>
      </c>
      <c r="D19" s="2090" t="s">
        <v>1804</v>
      </c>
      <c r="E19" s="2091" t="s">
        <v>70</v>
      </c>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1805</v>
      </c>
      <c r="B20" s="3111" t="s">
        <v>1806</v>
      </c>
      <c r="C20" s="3112"/>
      <c r="D20" s="3113" t="s">
        <v>1807</v>
      </c>
      <c r="E20" s="3114"/>
      <c r="F20" s="2095" t="s">
        <v>1808</v>
      </c>
      <c r="G20" s="2041"/>
      <c r="H20" s="2041"/>
      <c r="I20" s="2041"/>
      <c r="J20" s="2041"/>
      <c r="K20" s="3110"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1810</v>
      </c>
      <c r="C21" s="2097" t="s">
        <v>1811</v>
      </c>
      <c r="D21" s="2098" t="s">
        <v>1812</v>
      </c>
      <c r="E21" s="2099" t="s">
        <v>1811</v>
      </c>
      <c r="F21" s="2100"/>
      <c r="G21" s="2041"/>
      <c r="H21" s="2041"/>
      <c r="I21" s="2041"/>
      <c r="J21" s="2041"/>
      <c r="K21" s="31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98" t="s">
        <v>1821</v>
      </c>
      <c r="B27" s="2061" t="s">
        <v>1822</v>
      </c>
      <c r="C27" s="2117" t="s">
        <v>3188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98"/>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98"/>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99"/>
      <c r="B30" s="2034" t="s">
        <v>1825</v>
      </c>
      <c r="C30" s="3100"/>
      <c r="D30" s="3101"/>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02" t="s">
        <v>1826</v>
      </c>
      <c r="B31" s="2124" t="s">
        <v>3189</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103"/>
      <c r="B32" s="2124" t="s">
        <v>3189</v>
      </c>
      <c r="C32" s="2125" t="str">
        <f>IF(B32="现房","成新及维护状况是否正常",IF(B32="在建","工程状态是否正常",IF(B32="土地","是否闲置","-")))</f>
        <v>成新及维护状况是否正常</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103"/>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1" t="s">
        <v>3190</v>
      </c>
      <c r="C34" s="2131" t="s">
        <v>3191</v>
      </c>
      <c r="D34" s="2131" t="s">
        <v>3192</v>
      </c>
      <c r="E34" s="2131" t="s">
        <v>3193</v>
      </c>
      <c r="F34" s="2131" t="s">
        <v>3194</v>
      </c>
      <c r="G34" s="2131" t="s">
        <v>3195</v>
      </c>
      <c r="H34" s="2131" t="s">
        <v>3196</v>
      </c>
      <c r="I34" s="2041"/>
      <c r="J34" s="2041"/>
      <c r="K34" s="1795">
        <f>COUNTIF(B34:H34,"——")</f>
        <v>0</v>
      </c>
      <c r="L34" s="2072" t="s">
        <v>1828</v>
      </c>
      <c r="M34" s="2072" t="s">
        <v>1829</v>
      </c>
      <c r="N34" s="2072" t="s">
        <v>1830</v>
      </c>
      <c r="O34" s="2072" t="s">
        <v>1831</v>
      </c>
      <c r="P34" s="2072" t="s">
        <v>1832</v>
      </c>
      <c r="Q34" s="2072" t="s">
        <v>1833</v>
      </c>
      <c r="R34" s="2072" t="s">
        <v>1834</v>
      </c>
      <c r="S34" s="3097" t="s">
        <v>1835</v>
      </c>
      <c r="T34" s="2132" t="str">
        <f>NUMBERSTRING(7-K34,1)&amp;"通"</f>
        <v>七通</v>
      </c>
      <c r="U34" s="2028"/>
      <c r="V34" s="2028"/>
    </row>
    <row r="35" spans="1:22" ht="18" customHeight="1">
      <c r="A35" s="2133"/>
      <c r="B35" s="3104" t="s">
        <v>1836</v>
      </c>
      <c r="C35" s="3104"/>
      <c r="D35" s="3104"/>
      <c r="E35" s="3104"/>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7"/>
      <c r="T35" s="48" t="str">
        <f>IF(T34="一通",L35,IF(T34="二通",M35,IF(T34="三通",N35,IF(T34="四通",O35,IF(T34="五通",P35,IF(T34="六通",Q35,R35))))))</f>
        <v>通路、通电、通讯、通上水、通下水、燃气、平整</v>
      </c>
      <c r="U35" s="2028"/>
      <c r="V35" s="2028"/>
    </row>
    <row r="36" spans="1:22" ht="18" customHeight="1">
      <c r="A36" s="2135"/>
      <c r="B36" s="2134" t="s">
        <v>1837</v>
      </c>
      <c r="C36" s="2134" t="s">
        <v>1838</v>
      </c>
      <c r="D36" s="2134" t="s">
        <v>1839</v>
      </c>
      <c r="E36" s="2134" t="s">
        <v>1840</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1841</v>
      </c>
      <c r="B37" s="2138"/>
      <c r="C37" s="2138" t="s">
        <v>526</v>
      </c>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1842</v>
      </c>
      <c r="B38" s="2140"/>
      <c r="C38" s="2140" t="s">
        <v>3197</v>
      </c>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6" width="9.875" style="2157" customWidth="1"/>
    <col min="17" max="17" width="9.375" style="2157" customWidth="1"/>
    <col min="18" max="18" width="9.125" style="2157" customWidth="1"/>
    <col min="19" max="28" width="10.875" style="2157" customWidth="1"/>
    <col min="29" max="29" width="11" style="2157" bestFit="1" customWidth="1"/>
    <col min="30" max="30" width="10" style="2157" bestFit="1" customWidth="1"/>
    <col min="31" max="31" width="9.875" style="2157" customWidth="1"/>
    <col min="32" max="46" width="9.5" style="2157" customWidth="1"/>
    <col min="47" max="47" width="18.125" style="2157" customWidth="1"/>
    <col min="48" max="50" width="9.8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31.68*666.67</f>
        <v>21120.105599999999</v>
      </c>
      <c r="B3" s="14">
        <f>IF(C3="否",G5-AT5,G5)</f>
        <v>11819.969999999998</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11819.969999999998</v>
      </c>
      <c r="H5" s="16">
        <f t="shared" ref="H5:AT5" si="0">SUM(H13:H656)</f>
        <v>11819.969999999998</v>
      </c>
      <c r="I5" s="16">
        <f t="shared" si="0"/>
        <v>11819.969999999998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11819.969999999998</v>
      </c>
      <c r="BA5" s="18">
        <f t="shared" si="1"/>
        <v>11819.969999999998</v>
      </c>
      <c r="BB5" s="18">
        <f t="shared" si="1"/>
        <v>11819.969999999998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21120.11</v>
      </c>
      <c r="F6" s="16" t="s">
        <v>1</v>
      </c>
      <c r="G6" s="16" t="s">
        <v>2</v>
      </c>
      <c r="H6" s="20">
        <f>SUMIF(I$12:AB$12,"总值",I6:AB6)</f>
        <v>21120.11</v>
      </c>
      <c r="I6" s="16">
        <f t="shared" ref="I6:AB6" si="2">ROUND($A$3*I5/$B$3,2)</f>
        <v>21120.11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21120.11</v>
      </c>
      <c r="AZ6" s="16" t="s">
        <v>3</v>
      </c>
      <c r="BA6" s="16">
        <f>ROUND($AY$6*BA5/$AZ$5,2)</f>
        <v>21120.11</v>
      </c>
      <c r="BB6" s="16">
        <f>ROUND($AY$6*BB5/$AZ$5,2)</f>
        <v>21120.11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3205</v>
      </c>
      <c r="J9" s="981"/>
      <c r="K9" s="2189" t="s">
        <v>3205</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51">
      <c r="A13" s="1272"/>
      <c r="B13" s="1272" t="s">
        <v>3199</v>
      </c>
      <c r="C13" s="1272"/>
      <c r="D13" s="2211" t="s">
        <v>3198</v>
      </c>
      <c r="E13" s="16">
        <f>IF($C$3="是",ROUND($A$3*G13/$B$3,2),ROUND($A$3*(G13-AT13)/$B$3,2))</f>
        <v>4677.88</v>
      </c>
      <c r="F13" s="32"/>
      <c r="G13" s="33">
        <f>H13+AC13+AT13</f>
        <v>2618</v>
      </c>
      <c r="H13" s="20">
        <f>SUMIF(I$12:AB$12,"总值",I13:AB13)</f>
        <v>2618</v>
      </c>
      <c r="I13" s="2212">
        <v>2618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西侧办公楼一至四层（不含地下室）</v>
      </c>
      <c r="AX13" s="11">
        <f t="shared" si="6"/>
        <v>0</v>
      </c>
      <c r="AY13" s="1806">
        <f>ROUND($AY$6*AZ13/$AZ$5,2)</f>
        <v>4677.88</v>
      </c>
      <c r="AZ13" s="16">
        <f>BA13+BL13</f>
        <v>2618</v>
      </c>
      <c r="BA13" s="16">
        <f>SUM(BB13:BK13)</f>
        <v>2618</v>
      </c>
      <c r="BB13" s="16">
        <f>IF($D13="是",I13-J13,0)</f>
        <v>2618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t="s">
        <v>3200</v>
      </c>
      <c r="C14" s="2151"/>
      <c r="D14" s="2211" t="s">
        <v>3198</v>
      </c>
      <c r="E14" s="16">
        <f>IF($C$3="是",ROUND($A$3*G14/$B$3,2),ROUND($A$3*(G14-AT14)/$B$3,2))</f>
        <v>1161.43</v>
      </c>
      <c r="F14" s="32"/>
      <c r="G14" s="33">
        <f>H14+AC14+AT14</f>
        <v>650</v>
      </c>
      <c r="H14" s="20">
        <f>SUMIF(I$12:AB$12,"总值",I14:AB14)</f>
        <v>650</v>
      </c>
      <c r="I14" s="2212">
        <v>650</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报告厅</v>
      </c>
      <c r="AX14" s="11">
        <f t="shared" si="6"/>
        <v>0</v>
      </c>
      <c r="AY14" s="1806">
        <f>ROUND($AY$6*AZ14/$AZ$5,2)</f>
        <v>1161.43</v>
      </c>
      <c r="AZ14" s="16">
        <f>BA14+BL14</f>
        <v>650</v>
      </c>
      <c r="BA14" s="16">
        <f>SUM(BB14:BK14)</f>
        <v>650</v>
      </c>
      <c r="BB14" s="16">
        <f>IF($D14="是",I14-J14,0)</f>
        <v>650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51">
      <c r="A15" s="1272"/>
      <c r="B15" s="1272" t="s">
        <v>3201</v>
      </c>
      <c r="C15" s="2151"/>
      <c r="D15" s="2211" t="s">
        <v>3198</v>
      </c>
      <c r="E15" s="16">
        <f>IF($C$3="是",ROUND($A$3*G15/$B$3,2),ROUND($A$3*(G15-AT15)/$B$3,2))</f>
        <v>10383.44</v>
      </c>
      <c r="F15" s="32"/>
      <c r="G15" s="33">
        <f>H15+AC15+AT15</f>
        <v>5811.14</v>
      </c>
      <c r="H15" s="20">
        <f>SUMIF(I$12:AB$12,"总值",I15:AB15)</f>
        <v>5811.14</v>
      </c>
      <c r="I15" s="2212">
        <v>5811.14</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北侧主楼（三层东侧12间房间除外）</v>
      </c>
      <c r="AX15" s="11">
        <f t="shared" si="6"/>
        <v>0</v>
      </c>
      <c r="AY15" s="1806">
        <f>ROUND($AY$6*AZ15/$AZ$5,2)</f>
        <v>10383.44</v>
      </c>
      <c r="AZ15" s="16">
        <f>BA15+BL15</f>
        <v>5811.14</v>
      </c>
      <c r="BA15" s="16">
        <f>SUM(BB15:BK15)</f>
        <v>5811.14</v>
      </c>
      <c r="BB15" s="16">
        <f>IF($D15="是",I15-J15,0)</f>
        <v>5811.14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38.25">
      <c r="A16" s="1272"/>
      <c r="B16" s="1272" t="s">
        <v>3204</v>
      </c>
      <c r="C16" s="2151"/>
      <c r="D16" s="2211" t="s">
        <v>3198</v>
      </c>
      <c r="E16" s="16">
        <f>IF($C$3="是",ROUND($A$3*G16/$B$3,2),ROUND($A$3*(G16-AT16)/$B$3,2))</f>
        <v>1083.81</v>
      </c>
      <c r="F16" s="32"/>
      <c r="G16" s="33">
        <f>H16+AC16+AT16</f>
        <v>606.55999999999995</v>
      </c>
      <c r="H16" s="20">
        <f>SUMIF(I$12:AB$12,"总值",I16:AB16)</f>
        <v>606.55999999999995</v>
      </c>
      <c r="I16" s="2212">
        <v>606.55999999999995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t="str">
        <f t="shared" si="6"/>
        <v>东侧二层办公楼（原集体宿舍）</v>
      </c>
      <c r="AX16" s="11">
        <f t="shared" si="6"/>
        <v>0</v>
      </c>
      <c r="AY16" s="1806">
        <f>ROUND($AY$6*AZ16/$AZ$5,2)</f>
        <v>1083.81</v>
      </c>
      <c r="AZ16" s="16">
        <f>BA16+BL16</f>
        <v>606.55999999999995</v>
      </c>
      <c r="BA16" s="16">
        <f>SUM(BB16:BK16)</f>
        <v>606.55999999999995</v>
      </c>
      <c r="BB16" s="16">
        <f>IF($D16="是",I16-J16,0)</f>
        <v>606.55999999999995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t="s">
        <v>3202</v>
      </c>
      <c r="C17" s="2151"/>
      <c r="D17" s="2211" t="s">
        <v>3198</v>
      </c>
      <c r="E17" s="16">
        <f>IF($C$3="是",ROUND($A$3*G17/$B$3,2),ROUND($A$3*(G17-AT17)/$B$3,2))</f>
        <v>1384.89</v>
      </c>
      <c r="F17" s="32"/>
      <c r="G17" s="33">
        <f>H17+AC17+AT17</f>
        <v>775.06</v>
      </c>
      <c r="H17" s="20">
        <f>SUMIF(I$12:AB$12,"总值",I17:AB17)</f>
        <v>775.06</v>
      </c>
      <c r="I17" s="2212">
        <v>775.06</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t="str">
        <f t="shared" si="6"/>
        <v>西配楼</v>
      </c>
      <c r="AX17" s="11">
        <f t="shared" si="6"/>
        <v>0</v>
      </c>
      <c r="AY17" s="1806">
        <f>ROUND($AY$6*AZ17/$AZ$5,2)</f>
        <v>1384.89</v>
      </c>
      <c r="AZ17" s="16">
        <f>BA17+BL17</f>
        <v>775.06</v>
      </c>
      <c r="BA17" s="16">
        <f>SUM(BB17:BK17)</f>
        <v>775.06</v>
      </c>
      <c r="BB17" s="16">
        <f>IF($D17="是",I17-J17,0)</f>
        <v>775.06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1272" t="s">
        <v>3206</v>
      </c>
      <c r="C18" s="34"/>
      <c r="D18" s="2216" t="s">
        <v>3198</v>
      </c>
      <c r="E18" s="35">
        <f t="shared" ref="E18:E112" si="7">IF($C$3="是",ROUND($A$3*G18/$B$3,2),ROUND($A$3*(G18-AT18)/$B$3,2))</f>
        <v>1347.53</v>
      </c>
      <c r="F18" s="36"/>
      <c r="G18" s="37">
        <f t="shared" ref="G18:G109" si="8">H18+AC18+AT18</f>
        <v>754.15</v>
      </c>
      <c r="H18" s="38">
        <f t="shared" ref="H18:H109" si="9">SUMIF(I$12:AB$12,"总值",I18:AB18)</f>
        <v>754.15</v>
      </c>
      <c r="I18" s="39">
        <v>754.15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t="str">
        <f t="shared" ref="AW18:AW112" si="12">B18</f>
        <v>食堂餐厅（清真西哦啊食堂除外）</v>
      </c>
      <c r="AX18" s="1795">
        <f t="shared" ref="AX18:AX112" si="13">C18</f>
        <v>0</v>
      </c>
      <c r="AY18" s="42">
        <f t="shared" ref="AY18:AY109" si="14">ROUND($AY$6*AZ18/$AZ$5,2)</f>
        <v>1347.53</v>
      </c>
      <c r="AZ18" s="35">
        <f t="shared" ref="AZ18:AZ109" si="15">BA18+BL18</f>
        <v>754.15</v>
      </c>
      <c r="BA18" s="35">
        <f t="shared" ref="BA18:BA109" si="16">SUM(BB18:BK18)</f>
        <v>754.15</v>
      </c>
      <c r="BB18" s="35">
        <f t="shared" ref="BB18:BB109" si="17">IF($D18="是",I18-J18,0)</f>
        <v>754.15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2" t="s">
        <v>3203</v>
      </c>
      <c r="C19" s="34"/>
      <c r="D19" s="2216" t="s">
        <v>3198</v>
      </c>
      <c r="E19" s="35">
        <f t="shared" si="7"/>
        <v>1081.1300000000001</v>
      </c>
      <c r="F19" s="36"/>
      <c r="G19" s="37">
        <f t="shared" si="8"/>
        <v>605.05999999999995</v>
      </c>
      <c r="H19" s="38">
        <f t="shared" si="9"/>
        <v>605.05999999999995</v>
      </c>
      <c r="I19" s="39">
        <v>605.05999999999995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t="str">
        <f t="shared" si="12"/>
        <v>厨房</v>
      </c>
      <c r="AX19" s="1795">
        <f t="shared" si="13"/>
        <v>0</v>
      </c>
      <c r="AY19" s="42">
        <f t="shared" si="14"/>
        <v>1081.1300000000001</v>
      </c>
      <c r="AZ19" s="35">
        <f t="shared" si="15"/>
        <v>605.05999999999995</v>
      </c>
      <c r="BA19" s="35">
        <f t="shared" si="16"/>
        <v>605.05999999999995</v>
      </c>
      <c r="BB19" s="35">
        <f t="shared" si="17"/>
        <v>605.05999999999995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19" sqref="F19"/>
    </sheetView>
  </sheetViews>
  <sheetFormatPr defaultColWidth="9.125" defaultRowHeight="14.25"/>
  <cols>
    <col min="1" max="1" width="12.125" style="2224" customWidth="1"/>
    <col min="2" max="2" width="10.1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1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138" t="s">
        <v>1932</v>
      </c>
      <c r="B2" s="3138"/>
      <c r="C2" s="3138"/>
      <c r="D2" s="967" t="s">
        <v>1908</v>
      </c>
      <c r="E2" s="2225" t="s">
        <v>1909</v>
      </c>
      <c r="F2" s="1392"/>
      <c r="G2" s="2226"/>
      <c r="H2" s="2227"/>
      <c r="I2" s="2228" t="s">
        <v>1933</v>
      </c>
      <c r="J2" s="1392"/>
      <c r="K2" s="1392"/>
      <c r="L2" s="1392"/>
      <c r="M2" s="1392"/>
      <c r="N2" s="1427"/>
      <c r="O2" s="1392"/>
      <c r="P2" s="1392"/>
    </row>
    <row r="3" spans="1:16" ht="15.75" thickBot="1">
      <c r="A3" s="3139" t="s">
        <v>1906</v>
      </c>
      <c r="B3" s="3139"/>
      <c r="C3" s="3139"/>
      <c r="D3" s="46">
        <f>'数据-基础表'!AY6</f>
        <v>21120.11</v>
      </c>
      <c r="E3" s="46">
        <f>'数据-基础表'!AZ5</f>
        <v>11819.969999999998</v>
      </c>
      <c r="F3" s="1392"/>
      <c r="G3" s="1399"/>
      <c r="H3" s="1247" t="s">
        <v>1907</v>
      </c>
      <c r="I3" s="55">
        <f>ROUND('数据-基础表'!B3/'数据-基础表'!A3,2)</f>
        <v>0.56000000000000005</v>
      </c>
      <c r="J3" s="1392"/>
      <c r="K3" s="1392"/>
      <c r="L3" s="1392"/>
      <c r="M3" s="1392"/>
      <c r="N3" s="1427"/>
      <c r="O3" s="1392"/>
      <c r="P3" s="1392"/>
    </row>
    <row r="4" spans="1:16" ht="15">
      <c r="A4" s="3140"/>
      <c r="B4" s="3141"/>
      <c r="C4" s="3142"/>
      <c r="D4" s="2229" t="s">
        <v>1908</v>
      </c>
      <c r="E4" s="2230" t="s">
        <v>1909</v>
      </c>
      <c r="F4" s="1392"/>
      <c r="G4" s="2231" t="s">
        <v>1934</v>
      </c>
      <c r="H4" s="1247" t="s">
        <v>1914</v>
      </c>
      <c r="I4" s="55">
        <f>ROUND(SUMIF('数据-基础表'!I9:AS9,"地上",'数据-基础表'!I5:AS5)/'数据-基础表'!A3,2)</f>
        <v>0.56000000000000005</v>
      </c>
      <c r="J4" s="1392"/>
      <c r="K4" s="1392"/>
      <c r="L4" s="1392"/>
      <c r="M4" s="1392"/>
      <c r="N4" s="1427"/>
      <c r="O4" s="1392"/>
      <c r="P4" s="1392"/>
    </row>
    <row r="5" spans="1:16">
      <c r="A5" s="47" t="s">
        <v>1910</v>
      </c>
      <c r="B5" s="3143" t="s">
        <v>1911</v>
      </c>
      <c r="C5" s="3143"/>
      <c r="D5" s="48">
        <f>ROUND($D$3*E5/$E$3,2)</f>
        <v>0</v>
      </c>
      <c r="E5" s="49">
        <f>SUMIF('数据-基础表'!$11:$11,"住宅",'数据-基础表'!$5:$5)</f>
        <v>0</v>
      </c>
      <c r="F5" s="1392"/>
      <c r="G5" s="1399"/>
      <c r="H5" s="1247" t="s">
        <v>1907</v>
      </c>
      <c r="I5" s="55">
        <f>ROUND(E31/D31,2)</f>
        <v>0.56000000000000005</v>
      </c>
      <c r="J5" s="1392"/>
      <c r="K5" s="1392"/>
      <c r="L5" s="1392"/>
      <c r="M5" s="1392"/>
      <c r="N5" s="1392"/>
      <c r="O5" s="1392"/>
      <c r="P5" s="1392"/>
    </row>
    <row r="6" spans="1:16" ht="15" thickBot="1">
      <c r="A6" s="2232"/>
      <c r="B6" s="3143" t="s">
        <v>1912</v>
      </c>
      <c r="C6" s="3143"/>
      <c r="D6" s="48">
        <f>ROUND($D$3*E6/$E$3,2)</f>
        <v>21120.11</v>
      </c>
      <c r="E6" s="49">
        <f>E3-E5</f>
        <v>11819.969999999998</v>
      </c>
      <c r="F6" s="1392"/>
      <c r="G6" s="2233" t="s">
        <v>1913</v>
      </c>
      <c r="H6" s="1399" t="s">
        <v>1914</v>
      </c>
      <c r="I6" s="939">
        <f>ROUND(F31/D31,2)</f>
        <v>0.56000000000000005</v>
      </c>
      <c r="J6" s="1392"/>
      <c r="K6" s="1392"/>
      <c r="L6" s="1392"/>
      <c r="M6" s="1392"/>
      <c r="N6" s="1392"/>
      <c r="O6" s="1392"/>
      <c r="P6" s="1392"/>
    </row>
    <row r="7" spans="1:16" ht="15">
      <c r="A7" s="3135"/>
      <c r="B7" s="3136"/>
      <c r="C7" s="3137"/>
      <c r="D7" s="2229" t="s">
        <v>1908</v>
      </c>
      <c r="E7" s="2234" t="s">
        <v>1915</v>
      </c>
      <c r="F7" s="1392"/>
      <c r="G7" s="2226" t="s">
        <v>1916</v>
      </c>
      <c r="H7" s="64"/>
      <c r="I7" s="420">
        <v>2.5</v>
      </c>
      <c r="J7" s="1392"/>
      <c r="K7" s="1392"/>
      <c r="L7" s="1392"/>
      <c r="M7" s="1392"/>
      <c r="N7" s="1392"/>
      <c r="O7" s="1392"/>
      <c r="P7" s="1392"/>
    </row>
    <row r="8" spans="1:16">
      <c r="A8" s="47" t="s">
        <v>1917</v>
      </c>
      <c r="B8" s="50" t="s">
        <v>1918</v>
      </c>
      <c r="C8" s="48" t="s">
        <v>1919</v>
      </c>
      <c r="D8" s="48">
        <f t="shared" ref="D8:D15" si="0">ROUND($D$3*E8/$E$3,2)</f>
        <v>21120.11</v>
      </c>
      <c r="E8" s="51">
        <f>SUMIF('数据-基础表'!BB10:BK10,"地上",'数据-基础表'!BB5:BK5)</f>
        <v>11819.969999999998</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21120.11</v>
      </c>
      <c r="E16" s="53">
        <f>SUM(E8:E15)</f>
        <v>11819.969999999998</v>
      </c>
      <c r="F16" s="1392"/>
      <c r="G16" s="2235"/>
      <c r="H16" s="2238" t="s">
        <v>1936</v>
      </c>
      <c r="I16" s="2239"/>
      <c r="J16" s="1392"/>
      <c r="K16" s="3132" t="s">
        <v>1936</v>
      </c>
      <c r="L16" s="3133"/>
      <c r="M16" s="3133"/>
      <c r="N16" s="3133"/>
      <c r="O16" s="3133"/>
      <c r="P16" s="3134"/>
    </row>
    <row r="17" spans="1:19" ht="15">
      <c r="A17" s="2240" t="s">
        <v>1937</v>
      </c>
      <c r="B17" s="2241" t="s">
        <v>1938</v>
      </c>
      <c r="C17" s="2242" t="s">
        <v>1939</v>
      </c>
      <c r="D17" s="2243" t="s">
        <v>1927</v>
      </c>
      <c r="E17" s="2244" t="s">
        <v>1928</v>
      </c>
      <c r="F17" s="2245"/>
      <c r="G17" s="2246"/>
      <c r="H17" s="2247" t="s">
        <v>1940</v>
      </c>
      <c r="I17" s="2248" t="s">
        <v>1925</v>
      </c>
      <c r="J17" s="1392"/>
      <c r="K17" s="3129" t="s">
        <v>1941</v>
      </c>
      <c r="L17" s="3130"/>
      <c r="M17" s="3131"/>
      <c r="N17" s="3129" t="s">
        <v>1942</v>
      </c>
      <c r="O17" s="3130"/>
      <c r="P17" s="3131"/>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258" t="s">
        <v>3207</v>
      </c>
      <c r="D19" s="48">
        <f>ROUND($D$3*E19/$E$3,2)</f>
        <v>15057.34</v>
      </c>
      <c r="E19" s="56">
        <f t="shared" ref="E19:E26" si="1">SUM(F19:G19)</f>
        <v>8426.909999999998</v>
      </c>
      <c r="F19" s="57">
        <f>'数据-基础表'!I5-'数据-汇总表'!F20</f>
        <v>8426.909999999998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15057.34</v>
      </c>
      <c r="S19" s="1248">
        <f t="shared" si="5"/>
        <v>8426.909999999998</v>
      </c>
    </row>
    <row r="20" spans="1:19">
      <c r="A20" s="2261"/>
      <c r="B20" s="50" t="s">
        <v>1954</v>
      </c>
      <c r="C20" s="2258" t="s">
        <v>3209</v>
      </c>
      <c r="D20" s="48">
        <f t="shared" ref="D20:D26" si="6">ROUND($D$3*E20/$E$3,2)</f>
        <v>6062.77</v>
      </c>
      <c r="E20" s="56">
        <f t="shared" si="1"/>
        <v>3393.06</v>
      </c>
      <c r="F20" s="57">
        <f>'数据-基础表'!I13+'数据-基础表'!I17</f>
        <v>3393.06</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6062.77</v>
      </c>
      <c r="S20" s="1248">
        <f t="shared" si="5"/>
        <v>3393.06</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21120.11</v>
      </c>
      <c r="E27" s="1394">
        <f>IF(SUM(E19:E26)='数据-基础表'!BA5,SUM(E19:E26),IF(F27="地上面积有误","面积有误","地下面积有误"))</f>
        <v>11819.969999999998</v>
      </c>
      <c r="F27" s="1393">
        <f>IF(SUM(F19:F26)=E8,SUM(F19:F26),"地上面积有误")</f>
        <v>11819.969999999998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21120.11</v>
      </c>
      <c r="S27" s="1247">
        <f>IF(SUM(S19:S26)=$E$3,SUM(S19:S26),SUM(S19:S26)&amp;"误差"&amp;ROUND(SUM(S19:S26)-E3,2))</f>
        <v>11819.969999999998</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21120.11</v>
      </c>
      <c r="E31" s="729">
        <f>E27+E30</f>
        <v>11819.969999999998</v>
      </c>
      <c r="F31" s="730">
        <f>F27+F30</f>
        <v>11819.969999999998</v>
      </c>
      <c r="G31" s="731">
        <f>G27+G30</f>
        <v>0</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110" zoomScaleNormal="110" zoomScaleSheetLayoutView="90" workbookViewId="0">
      <pane xSplit="3" ySplit="5" topLeftCell="AH6" activePane="bottomRight" state="frozen"/>
      <selection activeCell="C50" sqref="C50"/>
      <selection pane="topRight" activeCell="C50" sqref="C50"/>
      <selection pane="bottomLeft" activeCell="C50" sqref="C50"/>
      <selection pane="bottomRight" activeCell="AN16" sqref="AN16"/>
    </sheetView>
  </sheetViews>
  <sheetFormatPr defaultColWidth="13.875" defaultRowHeight="12.75"/>
  <cols>
    <col min="1" max="1" width="20.875" style="2343" customWidth="1"/>
    <col min="2" max="2" width="12" style="2273" customWidth="1"/>
    <col min="3" max="3" width="10.8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875" style="2273" customWidth="1"/>
    <col min="31" max="31" width="8" style="2273" customWidth="1"/>
    <col min="32" max="34" width="7.125" style="2273" customWidth="1"/>
    <col min="35" max="39" width="8" style="2273" customWidth="1"/>
    <col min="40" max="40" width="13.875" style="2272"/>
    <col min="41" max="41" width="11.625" style="2272" customWidth="1"/>
    <col min="42" max="42" width="9.875" style="2272" customWidth="1"/>
    <col min="43" max="67" width="13.875" style="2272"/>
    <col min="68" max="16384" width="13.8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43923</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3208</v>
      </c>
      <c r="O5" s="2294" t="s">
        <v>1982</v>
      </c>
      <c r="P5" s="2297" t="s">
        <v>1983</v>
      </c>
      <c r="Q5" s="69" t="s">
        <v>1984</v>
      </c>
      <c r="R5" s="2298" t="s">
        <v>1985</v>
      </c>
      <c r="S5" s="2299" t="s">
        <v>1986</v>
      </c>
      <c r="T5" s="2300" t="s">
        <v>1987</v>
      </c>
      <c r="U5" s="1267" t="s">
        <v>1988</v>
      </c>
      <c r="V5" s="1268" t="s">
        <v>1989</v>
      </c>
      <c r="W5" s="1268" t="s">
        <v>1990</v>
      </c>
      <c r="X5" s="71"/>
      <c r="Y5" s="70" t="s">
        <v>1991</v>
      </c>
      <c r="Z5" s="2301" t="s">
        <v>1988</v>
      </c>
      <c r="AA5" s="1268" t="s">
        <v>1989</v>
      </c>
      <c r="AB5" s="1268" t="s">
        <v>1990</v>
      </c>
      <c r="AC5" s="71"/>
      <c r="AD5" s="71" t="s">
        <v>1991</v>
      </c>
      <c r="AE5" s="1267" t="s">
        <v>1992</v>
      </c>
      <c r="AF5" s="1268" t="s">
        <v>1993</v>
      </c>
      <c r="AG5" s="70" t="s">
        <v>1994</v>
      </c>
      <c r="AH5" s="1267" t="s">
        <v>1995</v>
      </c>
      <c r="AI5" s="2301" t="s">
        <v>1996</v>
      </c>
      <c r="AJ5" s="2301" t="s">
        <v>1997</v>
      </c>
      <c r="AK5" s="1268" t="s">
        <v>1998</v>
      </c>
      <c r="AL5" s="1268" t="s">
        <v>1999</v>
      </c>
      <c r="AM5" s="70" t="s">
        <v>2000</v>
      </c>
      <c r="AN5" s="2302" t="s">
        <v>2001</v>
      </c>
      <c r="AO5" s="2072" t="s">
        <v>2002</v>
      </c>
      <c r="AP5" s="1249"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0</v>
      </c>
      <c r="F6" s="72">
        <f>SUMIF(项目基本情况!D$12:I$12,C6,项目基本情况!D$15:I$15)</f>
        <v>50</v>
      </c>
      <c r="G6" s="73">
        <f>IF(ISERROR(ROUND(POWER(1+H6,D6-F6)*(POWER(1+H6,F6)-1)/(POWER(1+H6,D6)-1),3)),0,ROUND(POWER(1+H6,D6-F6)*(POWER(1+H6,F6)-1)/(POWER(1+H6,D6)-1),3))</f>
        <v>1</v>
      </c>
      <c r="H6" s="802">
        <v>0.04</v>
      </c>
      <c r="I6" s="802">
        <v>4.4999999999999998E-2</v>
      </c>
      <c r="J6" s="74">
        <v>5.5E-2</v>
      </c>
      <c r="K6" s="1251">
        <f>SUMIF('数据-汇总表'!C$19:C$33,A6,'数据-汇总表'!E$19:E$33)</f>
        <v>8426.909999999998</v>
      </c>
      <c r="L6" s="803">
        <v>3200</v>
      </c>
      <c r="M6" s="75">
        <f t="shared" ref="M6:M14" si="0">ROUND(K6*L6/10000,0)</f>
        <v>2697</v>
      </c>
      <c r="N6" s="801">
        <v>0.6</v>
      </c>
      <c r="O6" s="75" t="str">
        <f>IF($N$5="成新度","——",ROUND(M6*N6,0))</f>
        <v>——</v>
      </c>
      <c r="P6" s="76" t="str">
        <f>IF($N$5="成新度","——",M6-O6)</f>
        <v>——</v>
      </c>
      <c r="Q6" s="804">
        <v>0.2</v>
      </c>
      <c r="R6" s="77">
        <f ca="1">SUMIF('数据-汇总表'!C$19:C$33,A6,'数据-汇总表'!R$19:R$27)</f>
        <v>15057.34</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v>365</v>
      </c>
      <c r="AJ6" s="86"/>
      <c r="AK6" s="87">
        <v>0.02</v>
      </c>
      <c r="AL6" s="88">
        <v>2E-3</v>
      </c>
      <c r="AM6" s="89">
        <v>0.02</v>
      </c>
      <c r="AN6" s="2307" t="s">
        <v>3166</v>
      </c>
      <c r="AO6" s="55" t="e">
        <f ca="1">SUMIF(INDIRECT("'"&amp;AN6&amp;"'"&amp;"!A:A"),"总价",INDIRECT("'"&amp;AN6&amp;"'"&amp;"!B:B"))</f>
        <v>#DIV/0!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综合楼</v>
      </c>
      <c r="B7" s="2305" t="str">
        <f t="shared" ref="B7:B13" si="1">IF(A7=0,"","经营性")</f>
        <v>经营性</v>
      </c>
      <c r="C7" s="2306" t="s">
        <v>27</v>
      </c>
      <c r="D7" s="1051">
        <f>SUMIF(项目基本情况!D$12:I$12,C7,项目基本情况!D$14:I$14)</f>
        <v>50</v>
      </c>
      <c r="E7" s="1048">
        <f>IF(B7="","",SUMIF(项目基本情况!D$12:I$12,C7,项目基本情况!D$13:I$13))</f>
        <v>0</v>
      </c>
      <c r="F7" s="72">
        <f>SUMIF(项目基本情况!D$12:I$12,C7,项目基本情况!D$15:I$15)</f>
        <v>50</v>
      </c>
      <c r="G7" s="73">
        <f t="shared" ref="G7:G11" si="2">IF(ISERROR(ROUND(POWER(1+H7,D7-F7)*(POWER(1+H7,F7)-1)/(POWER(1+H7,D7)-1),3)),0,ROUND(POWER(1+H7,D7-F7)*(POWER(1+H7,F7)-1)/(POWER(1+H7,D7)-1),3))</f>
        <v>1</v>
      </c>
      <c r="H7" s="802">
        <v>0.04</v>
      </c>
      <c r="I7" s="802">
        <v>4.4999999999999998E-2</v>
      </c>
      <c r="J7" s="74">
        <v>5.5E-2</v>
      </c>
      <c r="K7" s="1251">
        <f>SUMIF('数据-汇总表'!C$19:C$33,A7,'数据-汇总表'!E$19:E$33)</f>
        <v>3393.06</v>
      </c>
      <c r="L7" s="803">
        <v>3200</v>
      </c>
      <c r="M7" s="75">
        <f t="shared" si="0"/>
        <v>1086</v>
      </c>
      <c r="N7" s="801">
        <v>0.7</v>
      </c>
      <c r="O7" s="75" t="str">
        <f t="shared" ref="O7:O14" si="3">IF($N$5="成新度","——",ROUND(M7*N7,0))</f>
        <v>——</v>
      </c>
      <c r="P7" s="76" t="str">
        <f t="shared" ref="P7:P14" si="4">IF($N$5="成新度","——",M7-O7)</f>
        <v>——</v>
      </c>
      <c r="Q7" s="804">
        <v>0.2</v>
      </c>
      <c r="R7" s="77">
        <f ca="1">SUMIF('数据-汇总表'!C$19:C$33,A7,'数据-汇总表'!R$19:R$27)</f>
        <v>6062.77</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0.02</v>
      </c>
      <c r="AL7" s="88">
        <v>2E-3</v>
      </c>
      <c r="AM7" s="89">
        <v>0.02</v>
      </c>
      <c r="AN7" s="2307" t="s">
        <v>3166</v>
      </c>
      <c r="AO7" s="55" t="e">
        <f t="shared" ref="AO7:AO13" ca="1" si="8">SUMIF(INDIRECT("'"&amp;AN7&amp;"'"&amp;"!A:A"),"总价",INDIRECT("'"&amp;AN7&amp;"'"&amp;"!B:B"))</f>
        <v>#DIV/0!</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2006</v>
      </c>
      <c r="B14" s="2305" t="s">
        <v>2007</v>
      </c>
      <c r="C14" s="2310"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2008</v>
      </c>
      <c r="B15" s="2305" t="s">
        <v>2007</v>
      </c>
      <c r="C15" s="2310"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2010</v>
      </c>
      <c r="B16" s="97"/>
      <c r="C16" s="1005"/>
      <c r="D16" s="2312"/>
      <c r="E16" s="97"/>
      <c r="F16" s="97"/>
      <c r="G16" s="98">
        <f>ROUND(SUMPRODUCT(G6:G13,K6:K13)/SUMPRODUCT((G6:G13&gt;0)*(K6:K13)),3)</f>
        <v>1</v>
      </c>
      <c r="H16" s="99">
        <f>ROUND(SUMPRODUCT(H6:H13,K6:K13)/SUMPRODUCT((H6:H13&gt;0)*(K6:K13)),3)</f>
        <v>0.04</v>
      </c>
      <c r="I16" s="100"/>
      <c r="J16" s="100"/>
      <c r="K16" s="101">
        <f>SUM(K6:K15)</f>
        <v>11819.969999999998</v>
      </c>
      <c r="L16" s="102">
        <f>ROUND(M16*10000/SUM(K6:K14),0)</f>
        <v>3201</v>
      </c>
      <c r="M16" s="102">
        <f>SUM(M6:M14)</f>
        <v>3783</v>
      </c>
      <c r="N16" s="103">
        <f>ROUND(SUMPRODUCT(M6:M14,N6:N14)/M16,3)</f>
        <v>0.629</v>
      </c>
      <c r="O16" s="102">
        <f>SUM(O6:O14)</f>
        <v>0</v>
      </c>
      <c r="P16" s="102">
        <f>SUM(P6:P14)</f>
        <v>0</v>
      </c>
      <c r="Q16" s="104">
        <f>ROUND(SUMPRODUCT(Q6:Q13,K6:K13)/SUMPRODUCT((Q6:Q13&gt;0)*(K6:K13)),2)</f>
        <v>0.2</v>
      </c>
      <c r="R16" s="1255">
        <f ca="1">SUM(R6:R13)</f>
        <v>21120.11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2012</v>
      </c>
      <c r="B19" s="112">
        <v>0</v>
      </c>
      <c r="C19" s="2275" t="s">
        <v>2013</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2014</v>
      </c>
      <c r="B20" s="113">
        <v>1</v>
      </c>
      <c r="C20" s="2275" t="s">
        <v>2015</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2016</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2017</v>
      </c>
      <c r="B22" s="114">
        <f>B19+B20</f>
        <v>1</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2018</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2019</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2020</v>
      </c>
      <c r="B26" s="2318" t="s">
        <v>2021</v>
      </c>
      <c r="C26" s="2319" t="s">
        <v>2022</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2023</v>
      </c>
      <c r="B27" s="116"/>
      <c r="C27" s="1764" t="s">
        <v>2024</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2025</v>
      </c>
      <c r="B28" s="119">
        <v>160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2026</v>
      </c>
      <c r="B29" s="121">
        <v>200</v>
      </c>
      <c r="C29" s="1764" t="s">
        <v>2027</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2028</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2029</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2030</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2031</v>
      </c>
      <c r="B33" s="726">
        <v>0.03</v>
      </c>
      <c r="C33" s="1763" t="s">
        <v>2032</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2033</v>
      </c>
      <c r="B34" s="122">
        <v>0</v>
      </c>
      <c r="C34" s="1763" t="s">
        <v>2034</v>
      </c>
      <c r="D34" s="2276" t="s">
        <v>2035</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2036</v>
      </c>
      <c r="B35" s="119">
        <v>200</v>
      </c>
      <c r="C35" s="1763" t="s">
        <v>2037</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2038</v>
      </c>
      <c r="B36" s="123">
        <v>1.4999999999999999E-2</v>
      </c>
      <c r="C36" s="1763" t="s">
        <v>2039</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2040</v>
      </c>
      <c r="B37" s="124">
        <v>0.02</v>
      </c>
      <c r="C37" s="1763" t="s">
        <v>2041</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2042</v>
      </c>
      <c r="B38" s="122">
        <v>0.02</v>
      </c>
      <c r="C38" s="1763" t="s">
        <v>2041</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2043</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2044</v>
      </c>
      <c r="B40" s="1300">
        <f ca="1">存贷款利率!G1</f>
        <v>4.3499999999999997E-2</v>
      </c>
      <c r="C40" s="1763" t="s">
        <v>2045</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2046</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2047</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2048</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2049</v>
      </c>
      <c r="B44" s="128">
        <v>0.05</v>
      </c>
      <c r="C44" s="1763" t="s">
        <v>2050</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2051</v>
      </c>
      <c r="B45" s="126">
        <v>0.03</v>
      </c>
      <c r="C45" s="1764" t="s">
        <v>2052</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2053</v>
      </c>
      <c r="B46" s="126">
        <v>0.02</v>
      </c>
      <c r="C46" s="1764" t="s">
        <v>2054</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2055</v>
      </c>
      <c r="B47" s="129"/>
      <c r="C47" s="1764" t="s">
        <v>2056</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2057</v>
      </c>
      <c r="B48" s="130">
        <v>0.03</v>
      </c>
      <c r="C48" s="1771" t="s">
        <v>2058</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2059</v>
      </c>
      <c r="B49" s="126">
        <v>5.0000000000000001E-4</v>
      </c>
      <c r="C49" s="1771" t="s">
        <v>2060</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2061</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2062</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2063</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2064</v>
      </c>
      <c r="B53" s="2334" t="s">
        <v>56</v>
      </c>
      <c r="C53" s="1427" t="s">
        <v>2065</v>
      </c>
      <c r="D53" s="2335" t="s">
        <v>2066</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2067</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2068</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2069</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2070</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2071</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2072</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2073</v>
      </c>
      <c r="B60" s="84">
        <v>1.5</v>
      </c>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2074</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2075</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2076</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875" style="2394" customWidth="1"/>
    <col min="10" max="10" width="2.625" style="2393" customWidth="1"/>
    <col min="11" max="11" width="11.875" style="2393" customWidth="1"/>
    <col min="12" max="12" width="16.875" style="2394" customWidth="1"/>
    <col min="13" max="13" width="2.625" style="2393" customWidth="1"/>
    <col min="14" max="14" width="11.875" style="2393" customWidth="1"/>
    <col min="15" max="15" width="16.875" style="2394" customWidth="1"/>
    <col min="16" max="16" width="2.625" style="2393" customWidth="1"/>
    <col min="17" max="17" width="11.875" style="2393" customWidth="1"/>
    <col min="18" max="18" width="16.875" style="2395" customWidth="1"/>
    <col min="19" max="29" width="9" style="2365"/>
    <col min="30" max="16384" width="9" style="2366"/>
  </cols>
  <sheetData>
    <row r="1" spans="1:29" s="2359" customFormat="1" ht="19.5" thickBot="1">
      <c r="A1" s="3144" t="s">
        <v>2077</v>
      </c>
      <c r="B1" s="3145"/>
      <c r="C1" s="3145"/>
      <c r="D1" s="3145"/>
      <c r="E1" s="3145"/>
      <c r="F1" s="3145"/>
      <c r="G1" s="314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8"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5"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5" t="s">
        <v>2089</v>
      </c>
      <c r="C5" s="2371" t="s">
        <v>2090</v>
      </c>
      <c r="D5" s="2368"/>
      <c r="E5" s="2372"/>
      <c r="F5" s="1795" t="s">
        <v>2091</v>
      </c>
      <c r="G5" s="2373" t="s">
        <v>2092</v>
      </c>
      <c r="H5" s="2365"/>
      <c r="I5" s="2365"/>
      <c r="J5" s="2365"/>
      <c r="K5" s="2365"/>
      <c r="L5" s="2365"/>
      <c r="M5" s="2365"/>
      <c r="N5" s="2365"/>
      <c r="O5" s="2365"/>
      <c r="P5" s="2365"/>
      <c r="Q5" s="2365"/>
      <c r="R5" s="2365"/>
    </row>
    <row r="6" spans="1:29" ht="54">
      <c r="A6" s="431"/>
      <c r="B6" s="1795" t="s">
        <v>2093</v>
      </c>
      <c r="C6" s="2373" t="s">
        <v>2088</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5" t="s">
        <v>2094</v>
      </c>
      <c r="C8" s="2373" t="s">
        <v>2095</v>
      </c>
      <c r="D8" s="2374"/>
      <c r="E8" s="2374"/>
      <c r="F8" s="1133"/>
      <c r="G8" s="1133"/>
      <c r="H8" s="2365"/>
      <c r="I8" s="2365"/>
      <c r="J8" s="2365"/>
      <c r="K8" s="2365"/>
      <c r="L8" s="2365"/>
      <c r="M8" s="2365"/>
      <c r="N8" s="2365"/>
      <c r="O8" s="2365"/>
      <c r="P8" s="2365"/>
      <c r="Q8" s="2365"/>
      <c r="R8" s="2365"/>
    </row>
    <row r="9" spans="1:29" ht="27">
      <c r="A9" s="431"/>
      <c r="B9" s="1795" t="s">
        <v>2098</v>
      </c>
      <c r="C9" s="2371" t="s">
        <v>2099</v>
      </c>
      <c r="D9" s="2368"/>
      <c r="E9" s="2374"/>
      <c r="F9" s="1133"/>
      <c r="G9" s="1133"/>
      <c r="H9" s="2365"/>
      <c r="I9" s="2365"/>
      <c r="J9" s="2365"/>
      <c r="K9" s="2365"/>
      <c r="L9" s="2365"/>
      <c r="M9" s="2365"/>
      <c r="N9" s="2365"/>
      <c r="O9" s="2365"/>
      <c r="P9" s="2365"/>
      <c r="Q9" s="2365"/>
      <c r="R9" s="2365"/>
    </row>
    <row r="10" spans="1:29" s="117" customFormat="1" ht="15.75" thickBot="1">
      <c r="A10" s="2378"/>
      <c r="B10" s="2379" t="s">
        <v>2100</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7" t="s">
        <v>2081</v>
      </c>
      <c r="C15" s="2400" t="str">
        <f>C3</f>
        <v>估价对象周边居住用地比例、居住小区规模和社区发展完善程度，综合评价居住社区成熟度一般</v>
      </c>
      <c r="D15" s="2368"/>
      <c r="E15" s="2401" t="s">
        <v>2105</v>
      </c>
      <c r="F15" s="1267"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9"/>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9"/>
      <c r="D19" s="2368"/>
      <c r="E19" s="2404"/>
      <c r="F19" s="1795"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5" t="s">
        <v>2110</v>
      </c>
      <c r="G20" s="136" t="str">
        <f>G6</f>
        <v>估价对象所在区域基础设施水平</v>
      </c>
    </row>
    <row r="21" spans="1:18" ht="28.5">
      <c r="A21" s="645"/>
      <c r="B21" s="1795" t="s">
        <v>2091</v>
      </c>
      <c r="C21" s="136" t="str">
        <f>C7</f>
        <v>估价对象所在区域公共配套设施齐备情况</v>
      </c>
      <c r="D21" s="2368"/>
      <c r="E21" s="2404"/>
      <c r="F21" s="2405" t="s">
        <v>2111</v>
      </c>
      <c r="G21" s="2406"/>
    </row>
    <row r="22" spans="1:18" ht="13.5" customHeight="1">
      <c r="A22" s="645"/>
      <c r="B22" s="1795" t="s">
        <v>2094</v>
      </c>
      <c r="C22" s="136" t="str">
        <f>C8</f>
        <v>估价对象所在区域基础设施水平</v>
      </c>
      <c r="D22" s="2368"/>
      <c r="E22" s="2404"/>
      <c r="F22" s="2405" t="s">
        <v>2100</v>
      </c>
      <c r="G22" s="1569"/>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G10" sqref="G10"/>
    </sheetView>
  </sheetViews>
  <sheetFormatPr defaultColWidth="9" defaultRowHeight="13.5"/>
  <cols>
    <col min="1" max="1" width="23.375" style="1738" customWidth="1"/>
    <col min="2" max="9" width="15.875" style="1738" customWidth="1"/>
    <col min="10" max="16384" width="9" style="1738"/>
  </cols>
  <sheetData>
    <row r="1" spans="1:10" ht="16.5">
      <c r="A1" s="1743" t="s">
        <v>1360</v>
      </c>
      <c r="B1" s="1743">
        <f>SUM(B14:B23)</f>
        <v>11819.969999999998</v>
      </c>
      <c r="C1" s="1742"/>
      <c r="D1" s="1742"/>
      <c r="E1" s="1742"/>
      <c r="F1" s="1742"/>
      <c r="G1" s="1740"/>
    </row>
    <row r="2" spans="1:10" ht="16.5">
      <c r="A2" s="1743" t="s">
        <v>1348</v>
      </c>
      <c r="B2" s="1743">
        <f>SUM(C14:C23)</f>
        <v>21120.11</v>
      </c>
      <c r="C2" s="1742"/>
      <c r="D2" s="1742"/>
      <c r="E2" s="1742"/>
      <c r="F2" s="1742"/>
      <c r="G2" s="1740"/>
    </row>
    <row r="3" spans="1:10" ht="16.5">
      <c r="A3" s="1743" t="s">
        <v>1357</v>
      </c>
      <c r="B3" s="1744">
        <f>项目基本情况!D3</f>
        <v>43923</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15962</v>
      </c>
      <c r="C5" s="1743">
        <f ca="1">ROUND(B5*10000/$B$1,0)</f>
        <v>13504</v>
      </c>
      <c r="D5" s="1743">
        <f ca="1">ROUND(B5*10000/$B$2,0)</f>
        <v>7558</v>
      </c>
      <c r="E5" s="1742"/>
      <c r="F5" s="1740"/>
      <c r="G5" s="1740"/>
    </row>
    <row r="6" spans="1:10" ht="16.5">
      <c r="A6" s="1743" t="s">
        <v>1351</v>
      </c>
      <c r="B6" s="1743">
        <f ca="1">SUM(G14:G23)</f>
        <v>15962</v>
      </c>
      <c r="C6" s="1743">
        <f ca="1">ROUND(B6*10000/$B$1,0)</f>
        <v>13504</v>
      </c>
      <c r="D6" s="1743">
        <f ca="1">ROUND(B6*10000/$B$2,0)</f>
        <v>7558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f ca="1">B5</f>
        <v>15962</v>
      </c>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11819.969999999998</v>
      </c>
      <c r="C14" s="1741">
        <f>结果表!C118</f>
        <v>21120.11</v>
      </c>
      <c r="D14" s="1741">
        <f ca="1">'成本法-其他办公（1995年）'!B2+'成本法-综合楼（2004年）'!B2</f>
        <v>15962</v>
      </c>
      <c r="E14" s="1741">
        <f ca="1">ROUND(D14*10000/B14,0)</f>
        <v>13504</v>
      </c>
      <c r="F14" s="1741">
        <f ca="1">ROUND(D14*10000/C14,0)</f>
        <v>7558</v>
      </c>
      <c r="G14" s="1741">
        <f ca="1">D14</f>
        <v>15962</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A30" sqref="A30:D3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2114</v>
      </c>
      <c r="B1" s="2416"/>
      <c r="C1" s="2417"/>
      <c r="D1" s="2416"/>
      <c r="E1" s="2416"/>
      <c r="F1" s="2418" t="s">
        <v>2115</v>
      </c>
      <c r="G1" s="2069" t="s">
        <v>2116</v>
      </c>
      <c r="H1" s="2419" t="str">
        <f>IF(G1="现房","——","估价对象范围")</f>
        <v>估价对象范围</v>
      </c>
      <c r="I1" s="2420"/>
    </row>
    <row r="2" spans="1:12" ht="21.75" customHeight="1" thickBot="1">
      <c r="A2" s="3179" t="str">
        <f>项目基本情况!S2</f>
        <v>北京市出让国有建设用地使用权及在建建筑物房地产</v>
      </c>
      <c r="B2" s="3180"/>
      <c r="C2" s="3180"/>
      <c r="D2" s="3180"/>
      <c r="E2" s="3180"/>
      <c r="F2" s="3180"/>
      <c r="G2" s="3180"/>
      <c r="H2" s="3180"/>
      <c r="I2" s="3181"/>
    </row>
    <row r="3" spans="1:12" ht="12.75">
      <c r="A3" s="3183" t="s">
        <v>2117</v>
      </c>
      <c r="B3" s="3184"/>
      <c r="C3" s="3184"/>
      <c r="D3" s="3184"/>
      <c r="E3" s="3184"/>
      <c r="F3" s="3184"/>
      <c r="G3" s="3184"/>
      <c r="H3" s="3184"/>
      <c r="I3" s="3184"/>
    </row>
    <row r="4" spans="1:12" ht="14.25">
      <c r="A4" s="2423" t="s">
        <v>2118</v>
      </c>
      <c r="B4" s="2424" t="s">
        <v>2119</v>
      </c>
      <c r="C4" s="2425"/>
      <c r="D4" s="2425"/>
      <c r="E4" s="3176" t="s">
        <v>2120</v>
      </c>
      <c r="F4" s="3177"/>
      <c r="G4" s="3177"/>
      <c r="H4" s="3177"/>
      <c r="I4" s="3185"/>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9" t="s">
        <v>2121</v>
      </c>
      <c r="B5" s="3097">
        <v>25</v>
      </c>
      <c r="C5" s="3162"/>
      <c r="D5" s="3182"/>
      <c r="E5" s="140" t="s">
        <v>2122</v>
      </c>
      <c r="F5" s="2427"/>
      <c r="G5" s="2427"/>
      <c r="H5" s="2427"/>
      <c r="I5" s="1831"/>
    </row>
    <row r="6" spans="1:12" ht="12.75">
      <c r="A6" s="3159"/>
      <c r="B6" s="3097"/>
      <c r="C6" s="3163"/>
      <c r="D6" s="3182"/>
      <c r="E6" s="140" t="s">
        <v>2123</v>
      </c>
      <c r="F6" s="2427"/>
      <c r="G6" s="2427"/>
      <c r="H6" s="2427"/>
      <c r="I6" s="1831"/>
    </row>
    <row r="7" spans="1:12" ht="12.75">
      <c r="A7" s="3159"/>
      <c r="B7" s="3097"/>
      <c r="C7" s="3164"/>
      <c r="D7" s="3182"/>
      <c r="E7" s="140" t="s">
        <v>2124</v>
      </c>
      <c r="F7" s="2427"/>
      <c r="G7" s="2427"/>
      <c r="H7" s="2427"/>
      <c r="I7" s="1831"/>
    </row>
    <row r="8" spans="1:12" ht="12.75">
      <c r="A8" s="3159" t="s">
        <v>2125</v>
      </c>
      <c r="B8" s="3097">
        <v>15</v>
      </c>
      <c r="C8" s="3162"/>
      <c r="D8" s="3182"/>
      <c r="E8" s="140" t="s">
        <v>2126</v>
      </c>
      <c r="F8" s="2427"/>
      <c r="G8" s="2427"/>
      <c r="H8" s="2427"/>
      <c r="I8" s="1831"/>
    </row>
    <row r="9" spans="1:12" ht="12.75">
      <c r="A9" s="3159"/>
      <c r="B9" s="3097"/>
      <c r="C9" s="3164"/>
      <c r="D9" s="3182"/>
      <c r="E9" s="140" t="s">
        <v>2127</v>
      </c>
      <c r="F9" s="2427"/>
      <c r="G9" s="2427"/>
      <c r="H9" s="2427"/>
      <c r="I9" s="1831"/>
    </row>
    <row r="10" spans="1:12" ht="12.75">
      <c r="A10" s="3159" t="s">
        <v>2128</v>
      </c>
      <c r="B10" s="3097">
        <v>15</v>
      </c>
      <c r="C10" s="3162"/>
      <c r="D10" s="3182"/>
      <c r="E10" s="140" t="s">
        <v>2129</v>
      </c>
      <c r="F10" s="2427"/>
      <c r="G10" s="2427"/>
      <c r="H10" s="2427"/>
      <c r="I10" s="1831"/>
    </row>
    <row r="11" spans="1:12" ht="12.75">
      <c r="A11" s="3159"/>
      <c r="B11" s="3097"/>
      <c r="C11" s="3164"/>
      <c r="D11" s="3182"/>
      <c r="E11" s="140" t="s">
        <v>2130</v>
      </c>
      <c r="F11" s="2427"/>
      <c r="G11" s="2427"/>
      <c r="H11" s="2427"/>
      <c r="I11" s="1831"/>
    </row>
    <row r="12" spans="1:12" ht="12.75">
      <c r="A12" s="3159" t="s">
        <v>2131</v>
      </c>
      <c r="B12" s="3097">
        <v>15</v>
      </c>
      <c r="C12" s="3162"/>
      <c r="D12" s="3182"/>
      <c r="E12" s="140" t="s">
        <v>2132</v>
      </c>
      <c r="F12" s="2427"/>
      <c r="G12" s="2427"/>
      <c r="H12" s="2427"/>
      <c r="I12" s="1831"/>
    </row>
    <row r="13" spans="1:12" ht="12.75">
      <c r="A13" s="3159"/>
      <c r="B13" s="3097"/>
      <c r="C13" s="3164"/>
      <c r="D13" s="3182"/>
      <c r="E13" s="140" t="s">
        <v>2133</v>
      </c>
      <c r="F13" s="2427"/>
      <c r="G13" s="2427"/>
      <c r="H13" s="2427"/>
      <c r="I13" s="1831"/>
    </row>
    <row r="14" spans="1:12" ht="12.75">
      <c r="A14" s="3159" t="s">
        <v>2134</v>
      </c>
      <c r="B14" s="3097">
        <v>30</v>
      </c>
      <c r="C14" s="3162"/>
      <c r="D14" s="3182"/>
      <c r="E14" s="140" t="s">
        <v>2135</v>
      </c>
      <c r="F14" s="2427"/>
      <c r="G14" s="2427"/>
      <c r="H14" s="2427"/>
      <c r="I14" s="1831"/>
    </row>
    <row r="15" spans="1:12" ht="12.75">
      <c r="A15" s="3159"/>
      <c r="B15" s="3097"/>
      <c r="C15" s="3163"/>
      <c r="D15" s="3182"/>
      <c r="E15" s="140" t="s">
        <v>2136</v>
      </c>
      <c r="F15" s="2427"/>
      <c r="G15" s="2427"/>
      <c r="H15" s="2427"/>
      <c r="I15" s="1831"/>
    </row>
    <row r="16" spans="1:12" ht="12.75">
      <c r="A16" s="3159"/>
      <c r="B16" s="3097"/>
      <c r="C16" s="3164"/>
      <c r="D16" s="3182"/>
      <c r="E16" s="140" t="s">
        <v>2137</v>
      </c>
      <c r="F16" s="2427"/>
      <c r="G16" s="2427"/>
      <c r="H16" s="2427"/>
      <c r="I16" s="1831"/>
    </row>
    <row r="17" spans="1:35" ht="15">
      <c r="A17" s="2428" t="s">
        <v>2138</v>
      </c>
      <c r="B17" s="64"/>
      <c r="C17" s="141">
        <f>SUM(C5:C16)</f>
        <v>0</v>
      </c>
      <c r="D17" s="141">
        <f>SUM(D5:D16)</f>
        <v>0</v>
      </c>
      <c r="E17" s="138"/>
      <c r="F17" s="138"/>
      <c r="G17" s="138"/>
      <c r="H17" s="138"/>
      <c r="I17" s="138"/>
      <c r="K17" s="2426"/>
      <c r="L17" s="2429" t="s">
        <v>2139</v>
      </c>
      <c r="M17" s="2429" t="s">
        <v>2140</v>
      </c>
    </row>
    <row r="18" spans="1:35" ht="15.75" thickBot="1">
      <c r="A18" s="2430" t="s">
        <v>2141</v>
      </c>
      <c r="B18" s="2431"/>
      <c r="C18" s="142" t="e">
        <f>ROUND(C17/SUM(C17:D17),2)</f>
        <v>#DIV/0!</v>
      </c>
      <c r="D18" s="142" t="e">
        <f>1-C18</f>
        <v>#DIV/0!</v>
      </c>
      <c r="E18" s="138"/>
      <c r="F18" s="138"/>
      <c r="G18" s="138"/>
      <c r="H18" s="138"/>
      <c r="I18" s="138"/>
      <c r="K18" s="2426" t="s">
        <v>2142</v>
      </c>
      <c r="L18" s="2426">
        <f>IF(C1="",'数据-汇总表'!E3,SUMIF(项目类型,C1,'数据-汇总表'!E17:E26)+SUMIF(项目类型,C1,'数据-汇总表'!I17:I26))</f>
        <v>11819.969999999998</v>
      </c>
      <c r="M18" s="2426">
        <f>IF(C1="",'数据-汇总表'!E3,SUMIF(项目类型,C1,'数据-汇总表'!E17:E26))</f>
        <v>11819.969999999998</v>
      </c>
    </row>
    <row r="19" spans="1:35" ht="15">
      <c r="A19" s="2432" t="s">
        <v>2143</v>
      </c>
      <c r="B19" s="2433" t="s">
        <v>2144</v>
      </c>
      <c r="C19" s="143" t="e">
        <f ca="1">SUMIF(INDIRECT("'"&amp;C4&amp;"'"&amp;"!A:A"),结果表!B19,INDIRECT("'"&amp;C4&amp;"'"&amp;"!B:B"))</f>
        <v>#REF!</v>
      </c>
      <c r="D19" s="144" t="e">
        <f ca="1">SUMIF(INDIRECT("'"&amp;D4&amp;"'"&amp;"!A:A"),结果表!B19,INDIRECT("'"&amp;D4&amp;"'"&amp;"!B:B"))</f>
        <v>#REF!</v>
      </c>
      <c r="E19" s="2432" t="s">
        <v>2145</v>
      </c>
      <c r="F19" s="2433" t="s">
        <v>2144</v>
      </c>
      <c r="G19" s="145" t="e">
        <f ca="1">ROUND(C19*$C$18+D19*$D$18,0)</f>
        <v>#REF!</v>
      </c>
      <c r="H19" s="2434" t="s">
        <v>2146</v>
      </c>
      <c r="I19" s="138"/>
      <c r="K19" s="2426" t="s">
        <v>2147</v>
      </c>
      <c r="L19" s="2426">
        <f>IF(C1="",'数据-汇总表'!D3,SUMIF(项目类型,C1,'数据-汇总表'!D17:D26)+SUMIF(项目类型,C1,'数据-汇总表'!H17:H27))</f>
        <v>21120.11</v>
      </c>
      <c r="M19" s="2426">
        <f>IF(C1="",'数据-汇总表'!D3,SUMIF(项目类型,C1,'数据-汇总表'!D17:D26))</f>
        <v>21120.11</v>
      </c>
    </row>
    <row r="20" spans="1:35" ht="15">
      <c r="A20" s="2435"/>
      <c r="B20" s="1247" t="s">
        <v>2148</v>
      </c>
      <c r="C20" s="146" t="e">
        <f ca="1">SUMIF(INDIRECT("'"&amp;C4&amp;"'"&amp;"!A:A"),结果表!B20,INDIRECT("'"&amp;C4&amp;"'"&amp;"!B:B"))</f>
        <v>#REF!</v>
      </c>
      <c r="D20" s="147" t="e">
        <f ca="1">SUMIF(INDIRECT("'"&amp;D4&amp;"'"&amp;"!A:A"),结果表!B20,INDIRECT("'"&amp;D4&amp;"'"&amp;"!B:B"))</f>
        <v>#REF!</v>
      </c>
      <c r="E20" s="2435"/>
      <c r="F20" s="1247" t="s">
        <v>2148</v>
      </c>
      <c r="G20" s="148" t="e">
        <f ca="1">ROUND(C20*$C$18+D20*$D$18,0)</f>
        <v>#REF!</v>
      </c>
      <c r="H20" s="980" t="s">
        <v>2149</v>
      </c>
      <c r="I20" s="138"/>
    </row>
    <row r="21" spans="1:35" ht="15" customHeight="1" thickBot="1">
      <c r="A21" s="1000"/>
      <c r="B21" s="2436" t="s">
        <v>2150</v>
      </c>
      <c r="C21" s="789" t="e">
        <f ca="1">ROUND(C19*10000/L19,0)</f>
        <v>#REF!</v>
      </c>
      <c r="D21" s="790" t="e">
        <f ca="1">ROUND(D19*10000/L19,0)</f>
        <v>#REF!</v>
      </c>
      <c r="E21" s="1000"/>
      <c r="F21" s="2436" t="s">
        <v>2150</v>
      </c>
      <c r="G21" s="149" t="e">
        <f ca="1">ROUND(G19*10000/L19,0)</f>
        <v>#REF!</v>
      </c>
      <c r="H21" s="2437" t="s">
        <v>2149</v>
      </c>
      <c r="I21" s="138"/>
    </row>
    <row r="22" spans="1:35" ht="15" thickBot="1">
      <c r="A22" s="2279" t="s">
        <v>2151</v>
      </c>
      <c r="B22" s="2438"/>
      <c r="C22" s="2439"/>
      <c r="D22" s="791"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153" t="s">
        <v>2152</v>
      </c>
      <c r="B24" s="2433" t="s">
        <v>2144</v>
      </c>
      <c r="C24" s="145">
        <f>IF(B30=0,0,D30)</f>
        <v>0</v>
      </c>
      <c r="D24" s="2440"/>
      <c r="E24" s="138"/>
      <c r="F24" s="138"/>
      <c r="G24" s="138"/>
      <c r="H24" s="138"/>
      <c r="I24" s="138"/>
    </row>
    <row r="25" spans="1:35" ht="14.25">
      <c r="A25" s="3154"/>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t="e">
        <f ca="1">IF(D32="总价",G19-C24,G20-C25)</f>
        <v>#REF!</v>
      </c>
      <c r="D32" s="2447" t="s">
        <v>2159</v>
      </c>
      <c r="E32" s="138"/>
      <c r="F32" s="138"/>
      <c r="G32" s="138"/>
      <c r="H32" s="138"/>
      <c r="I32" s="138"/>
    </row>
    <row r="33" spans="1:15" ht="15">
      <c r="A33" s="957"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2163</v>
      </c>
      <c r="F34" s="1736"/>
      <c r="G34" s="138"/>
      <c r="H34" s="138"/>
      <c r="I34" s="138"/>
    </row>
    <row r="35" spans="1:15" ht="15.75" thickBot="1">
      <c r="A35" s="2456"/>
      <c r="B35" s="2457"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71" t="s">
        <v>2166</v>
      </c>
      <c r="B36" s="2459" t="s">
        <v>2167</v>
      </c>
      <c r="C36" s="154"/>
      <c r="D36" s="2460"/>
      <c r="E36" s="2461"/>
      <c r="F36" s="2462"/>
      <c r="G36" s="138"/>
      <c r="H36" s="138"/>
      <c r="I36" s="138"/>
    </row>
    <row r="37" spans="1:15" ht="15.75" thickBot="1">
      <c r="A37" s="3172"/>
      <c r="B37" s="2265" t="s">
        <v>2168</v>
      </c>
      <c r="C37" s="156"/>
      <c r="D37" s="1392"/>
      <c r="E37" s="1392"/>
      <c r="F37" s="2462"/>
      <c r="G37" s="138"/>
      <c r="H37" s="138"/>
      <c r="I37" s="138"/>
    </row>
    <row r="38" spans="1:15" ht="15.75" thickBot="1">
      <c r="A38" s="3173"/>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50" t="s">
        <v>2180</v>
      </c>
      <c r="B45" s="3151"/>
      <c r="C45" s="3152"/>
      <c r="D45" s="164" t="e">
        <f ca="1">ROUND(H101*F45,0)</f>
        <v>#REF!</v>
      </c>
      <c r="E45" s="165" t="s">
        <v>2181</v>
      </c>
      <c r="F45" s="166">
        <v>1</v>
      </c>
      <c r="G45" s="167" t="s">
        <v>2182</v>
      </c>
      <c r="H45" s="138"/>
      <c r="I45" s="138"/>
      <c r="J45" s="3210" t="s">
        <v>2183</v>
      </c>
      <c r="K45" s="3210"/>
      <c r="L45" s="3210"/>
      <c r="M45" s="3210"/>
      <c r="N45" s="3210"/>
      <c r="O45" s="3210"/>
    </row>
    <row r="46" spans="1:15" ht="14.25" customHeight="1">
      <c r="A46" s="3147" t="s">
        <v>2184</v>
      </c>
      <c r="B46" s="3148"/>
      <c r="C46" s="3148"/>
      <c r="D46" s="3148"/>
      <c r="E46" s="3148"/>
      <c r="F46" s="3148"/>
      <c r="G46" s="3149"/>
      <c r="H46" s="2478"/>
      <c r="I46" s="168"/>
      <c r="J46" s="1809">
        <v>1</v>
      </c>
      <c r="K46" s="3210" t="s">
        <v>2185</v>
      </c>
      <c r="L46" s="3210"/>
      <c r="M46" s="3230"/>
      <c r="N46" s="3230"/>
      <c r="O46" s="3230"/>
    </row>
    <row r="47" spans="1:15" ht="12" customHeight="1">
      <c r="A47" s="169" t="s">
        <v>2186</v>
      </c>
      <c r="B47" s="170"/>
      <c r="C47" s="171"/>
      <c r="D47" s="172" t="s">
        <v>2187</v>
      </c>
      <c r="E47" s="24" t="s">
        <v>2188</v>
      </c>
      <c r="F47" s="173" t="s">
        <v>2189</v>
      </c>
      <c r="G47" s="174" t="s">
        <v>2190</v>
      </c>
      <c r="H47" s="2478"/>
      <c r="I47" s="168"/>
      <c r="J47" s="1809">
        <v>2</v>
      </c>
      <c r="K47" s="3210" t="s">
        <v>2191</v>
      </c>
      <c r="L47" s="3210"/>
      <c r="M47" s="3231">
        <f>'数据-取费表'!B2</f>
        <v>43923</v>
      </c>
      <c r="N47" s="3231"/>
      <c r="O47" s="3231"/>
    </row>
    <row r="48" spans="1:15" ht="25.5">
      <c r="A48" s="3178" t="s">
        <v>2192</v>
      </c>
      <c r="B48" s="3161"/>
      <c r="C48" s="3161"/>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210" t="s">
        <v>2195</v>
      </c>
      <c r="L48" s="3210"/>
      <c r="M48" s="3232" t="e">
        <f ca="1">H101</f>
        <v>#REF!</v>
      </c>
      <c r="N48" s="3232"/>
      <c r="O48" s="3232"/>
    </row>
    <row r="49" spans="1:35" ht="25.5" customHeight="1">
      <c r="A49" s="176" t="s">
        <v>2196</v>
      </c>
      <c r="B49" s="3146" t="s">
        <v>2197</v>
      </c>
      <c r="C49" s="3146"/>
      <c r="D49" s="177">
        <v>0</v>
      </c>
      <c r="E49" s="23" t="s">
        <v>2198</v>
      </c>
      <c r="F49" s="28" t="s">
        <v>34</v>
      </c>
      <c r="G49" s="3216"/>
      <c r="H49" s="138"/>
      <c r="I49" s="2481"/>
      <c r="J49" s="1809">
        <v>4</v>
      </c>
      <c r="K49" s="3210" t="str">
        <f>IF(项目基本情况!E8="房地产抵押价值","房地产抵押价值","抵押担保权已注销时的房地产抵押价值")</f>
        <v>抵押担保权已注销时的房地产抵押价值</v>
      </c>
      <c r="L49" s="3210"/>
      <c r="M49" s="3232" t="str">
        <f>IF(项目基本情况!E8="房地产抵押价值",H107,H109)</f>
        <v>——</v>
      </c>
      <c r="N49" s="3232"/>
      <c r="O49" s="3232"/>
    </row>
    <row r="50" spans="1:35" ht="25.5" customHeight="1">
      <c r="A50" s="178"/>
      <c r="B50" s="3146" t="s">
        <v>2199</v>
      </c>
      <c r="C50" s="3146"/>
      <c r="D50" s="179"/>
      <c r="E50" s="31"/>
      <c r="F50" s="180"/>
      <c r="G50" s="3217"/>
      <c r="H50" s="138"/>
      <c r="I50" s="2481"/>
      <c r="J50" s="3210" t="s">
        <v>2200</v>
      </c>
      <c r="K50" s="3210"/>
      <c r="L50" s="3210"/>
      <c r="M50" s="3210"/>
      <c r="N50" s="3210"/>
      <c r="O50" s="3210"/>
    </row>
    <row r="51" spans="1:35" ht="12" customHeight="1">
      <c r="A51" s="181"/>
      <c r="B51" s="3146" t="s">
        <v>2201</v>
      </c>
      <c r="C51" s="3146"/>
      <c r="D51" s="182"/>
      <c r="E51" s="30"/>
      <c r="F51" s="180"/>
      <c r="G51" s="3218"/>
      <c r="H51" s="138"/>
      <c r="I51" s="2481"/>
      <c r="J51" s="2482" t="s">
        <v>2202</v>
      </c>
      <c r="K51" s="3210" t="s">
        <v>2203</v>
      </c>
      <c r="L51" s="3210"/>
      <c r="M51" s="2482" t="s">
        <v>2204</v>
      </c>
      <c r="N51" s="2482" t="s">
        <v>2205</v>
      </c>
      <c r="O51" s="2482" t="s">
        <v>2206</v>
      </c>
    </row>
    <row r="52" spans="1:35" ht="24" customHeight="1">
      <c r="A52" s="183" t="s">
        <v>2207</v>
      </c>
      <c r="B52" s="3146" t="s">
        <v>2208</v>
      </c>
      <c r="C52" s="3146"/>
      <c r="D52" s="182" t="e">
        <f ca="1">ROUND(D45*'数据-取费表'!B41/(1+'数据-取费表'!C42),0)</f>
        <v>#REF!</v>
      </c>
      <c r="E52" s="11" t="s">
        <v>2209</v>
      </c>
      <c r="F52" s="184">
        <f>'数据-取费表'!B41</f>
        <v>5.5000000000000007E-2</v>
      </c>
      <c r="G52" s="2483"/>
      <c r="H52" s="138"/>
      <c r="I52" s="2481"/>
      <c r="J52" s="1809">
        <v>1</v>
      </c>
      <c r="K52" s="3211" t="s">
        <v>2210</v>
      </c>
      <c r="L52" s="3211"/>
      <c r="M52" s="1751">
        <f>D48</f>
        <v>0</v>
      </c>
      <c r="N52" s="1809" t="str">
        <f>E48</f>
        <v>销售额×税（费）率</v>
      </c>
      <c r="O52" s="1752" t="str">
        <f>F48</f>
        <v>免征</v>
      </c>
    </row>
    <row r="53" spans="1:35" ht="12" customHeight="1">
      <c r="A53" s="183" t="s">
        <v>2211</v>
      </c>
      <c r="B53" s="3169" t="s">
        <v>2212</v>
      </c>
      <c r="C53" s="3170"/>
      <c r="D53" s="182" t="e">
        <f ca="1">ROUND(D45*'数据-取费表'!B41/(1+'数据-取费表'!C42),0)</f>
        <v>#REF!</v>
      </c>
      <c r="E53" s="11" t="s">
        <v>2209</v>
      </c>
      <c r="F53" s="184">
        <f>'数据-取费表'!B41</f>
        <v>5.5000000000000007E-2</v>
      </c>
      <c r="G53" s="2483"/>
      <c r="H53" s="138"/>
      <c r="I53" s="2481"/>
      <c r="J53" s="1809">
        <v>2</v>
      </c>
      <c r="K53" s="3211" t="s">
        <v>2213</v>
      </c>
      <c r="L53" s="3211"/>
      <c r="M53" s="1751" t="e">
        <f t="shared" ref="M53:O54" ca="1" si="0">D55</f>
        <v>#REF!</v>
      </c>
      <c r="N53" s="1809" t="str">
        <f t="shared" si="0"/>
        <v>销售额×税（费）率</v>
      </c>
      <c r="O53" s="1752">
        <f t="shared" si="0"/>
        <v>5.0000000000000001E-4</v>
      </c>
    </row>
    <row r="54" spans="1:35" ht="12" customHeight="1">
      <c r="A54" s="183" t="s">
        <v>2214</v>
      </c>
      <c r="B54" s="3169" t="s">
        <v>2215</v>
      </c>
      <c r="C54" s="3170"/>
      <c r="D54" s="182" t="e">
        <f ca="1">C68</f>
        <v>#REF!</v>
      </c>
      <c r="E54" s="30" t="s">
        <v>2216</v>
      </c>
      <c r="F54" s="184">
        <f>'数据-取费表'!B41</f>
        <v>5.5000000000000007E-2</v>
      </c>
      <c r="G54" s="2483"/>
      <c r="H54" s="2484"/>
      <c r="I54" s="2481"/>
      <c r="J54" s="1809">
        <v>3</v>
      </c>
      <c r="K54" s="3211" t="s">
        <v>2217</v>
      </c>
      <c r="L54" s="3211"/>
      <c r="M54" s="1751" t="e">
        <f t="shared" ca="1" si="0"/>
        <v>#REF!</v>
      </c>
      <c r="N54" s="1809" t="str">
        <f t="shared" si="0"/>
        <v>增值额×税（费）率</v>
      </c>
      <c r="O54" s="1753" t="str">
        <f t="shared" si="0"/>
        <v>——</v>
      </c>
    </row>
    <row r="55" spans="1:35" ht="24" customHeight="1">
      <c r="A55" s="3160" t="s">
        <v>2218</v>
      </c>
      <c r="B55" s="3161"/>
      <c r="C55" s="3161"/>
      <c r="D55" s="185" t="e">
        <f ca="1">IF(H55="个人住宅",0,ROUND(D45*I55,0))</f>
        <v>#REF!</v>
      </c>
      <c r="E55" s="11" t="s">
        <v>2219</v>
      </c>
      <c r="F55" s="184">
        <f>IF(H55="正常",I55,"免征")</f>
        <v>5.0000000000000001E-4</v>
      </c>
      <c r="G55" s="2483"/>
      <c r="H55" s="2480" t="s">
        <v>2220</v>
      </c>
      <c r="I55" s="186">
        <f>'数据-取费表'!B49</f>
        <v>5.0000000000000001E-4</v>
      </c>
      <c r="J55" s="1809" t="str">
        <f>IF(H59="非个人房产","",4)</f>
        <v/>
      </c>
      <c r="K55" s="3211" t="str">
        <f>IF(H59="非个人房产","——","个人所得税")</f>
        <v>——</v>
      </c>
      <c r="L55" s="3211"/>
      <c r="M55" s="1754" t="str">
        <f>D59</f>
        <v>——</v>
      </c>
      <c r="N55" s="1807" t="str">
        <f>E59</f>
        <v>——</v>
      </c>
      <c r="O55" s="1755" t="str">
        <f>F59</f>
        <v>——</v>
      </c>
    </row>
    <row r="56" spans="1:35" ht="24.75">
      <c r="A56" s="3160" t="s">
        <v>2221</v>
      </c>
      <c r="B56" s="3161"/>
      <c r="C56" s="3161"/>
      <c r="D56" s="185" t="e">
        <f ca="1">IF(H56="个人住宅",D57,D58)</f>
        <v>#REF!</v>
      </c>
      <c r="E56" s="11" t="s">
        <v>2222</v>
      </c>
      <c r="F56" s="184" t="str">
        <f>IF(H56="正常",F58,"免征")</f>
        <v>——</v>
      </c>
      <c r="G56" s="2485" t="s">
        <v>2223</v>
      </c>
      <c r="H56" s="2486" t="s">
        <v>2220</v>
      </c>
      <c r="I56" s="2487"/>
      <c r="J56" s="1809" t="str">
        <f>IF(项目基本情况!K6="上海银行",IF(J55="",4,J55+1),"")</f>
        <v/>
      </c>
      <c r="K56" s="3234" t="str">
        <f>IF(项目基本情况!K6="上海银行","其他处置费用","")</f>
        <v/>
      </c>
      <c r="L56" s="3235"/>
      <c r="M56" s="1751" t="str">
        <f>IF(项目基本情况!K6="上海银行",M69,"")</f>
        <v/>
      </c>
      <c r="N56" s="3237" t="str">
        <f>IF(项目基本情况!K6="上海银行","包含处置中涉及的律师、诉讼、拍卖、评估等费用","")</f>
        <v/>
      </c>
      <c r="O56" s="3238"/>
    </row>
    <row r="57" spans="1:35" ht="12.75">
      <c r="A57" s="183" t="s">
        <v>2196</v>
      </c>
      <c r="B57" s="3176" t="s">
        <v>2224</v>
      </c>
      <c r="C57" s="3185"/>
      <c r="D57" s="187">
        <v>0</v>
      </c>
      <c r="E57" s="23" t="s">
        <v>2198</v>
      </c>
      <c r="F57" s="155"/>
      <c r="G57" s="2483"/>
      <c r="H57" s="2487"/>
      <c r="I57" s="2487"/>
      <c r="J57" s="3211">
        <f>IF(AND(J55="",J56=""),4,IF(项目基本情况!K6="上海银行",结果表!J56+1,结果表!J55+1))</f>
        <v>4</v>
      </c>
      <c r="K57" s="3211" t="s">
        <v>2225</v>
      </c>
      <c r="L57" s="2488" t="s">
        <v>2226</v>
      </c>
      <c r="M57" s="1756"/>
      <c r="N57" s="1757">
        <f ca="1">SUMIF(M52:M56,"&lt;9e307")</f>
        <v>0</v>
      </c>
      <c r="O57" s="2489"/>
      <c r="P57" s="1750" t="e">
        <f ca="1">N57/M49</f>
        <v>#VALUE!</v>
      </c>
    </row>
    <row r="58" spans="1:35" ht="24.75">
      <c r="A58" s="183" t="s">
        <v>2207</v>
      </c>
      <c r="B58" s="3176" t="s">
        <v>2227</v>
      </c>
      <c r="C58" s="3177"/>
      <c r="D58" s="185" t="e">
        <f ca="1">IF(H58="转让取得",C81,C97)</f>
        <v>#REF!</v>
      </c>
      <c r="E58" s="11" t="s">
        <v>2222</v>
      </c>
      <c r="F58" s="24" t="s">
        <v>34</v>
      </c>
      <c r="G58" s="2483"/>
      <c r="H58" s="2486" t="s">
        <v>2228</v>
      </c>
      <c r="I58" s="2487"/>
      <c r="J58" s="3211"/>
      <c r="K58" s="3211"/>
      <c r="L58" s="2488" t="s">
        <v>2229</v>
      </c>
      <c r="M58" s="1758"/>
      <c r="N58" s="2490" t="str">
        <f ca="1">NUMBERSTRING(INT(N57*10000),2)&amp;"元整"</f>
        <v>零元整</v>
      </c>
      <c r="O58" s="2491"/>
    </row>
    <row r="59" spans="1:35" ht="24.75" thickBot="1">
      <c r="A59" s="3214" t="s">
        <v>2230</v>
      </c>
      <c r="B59" s="3215"/>
      <c r="C59" s="3215"/>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212">
        <f>J57+1</f>
        <v>5</v>
      </c>
      <c r="K59" s="3211" t="s">
        <v>2232</v>
      </c>
      <c r="L59" s="1809" t="s">
        <v>2226</v>
      </c>
      <c r="M59" s="1759"/>
      <c r="N59" s="1760" t="e">
        <f ca="1">M49-N57</f>
        <v>#VALUE!</v>
      </c>
      <c r="O59" s="2493"/>
    </row>
    <row r="60" spans="1:35" ht="12" customHeight="1">
      <c r="A60" s="2494"/>
      <c r="B60" s="2416"/>
      <c r="C60" s="2416"/>
      <c r="D60" s="2416"/>
      <c r="E60" s="2164"/>
      <c r="F60" s="2487"/>
      <c r="G60" s="2487"/>
      <c r="H60" s="2495"/>
      <c r="I60" s="138"/>
      <c r="J60" s="3213"/>
      <c r="K60" s="3211"/>
      <c r="L60" s="2488" t="s">
        <v>2229</v>
      </c>
      <c r="M60" s="1758"/>
      <c r="N60" s="2490" t="e">
        <f ca="1">NUMBERSTRING(INT(N59*10000),2)&amp;"元整"</f>
        <v>#VALUE!</v>
      </c>
      <c r="O60" s="2491"/>
    </row>
    <row r="61" spans="1:35" ht="13.5" thickBot="1">
      <c r="A61" s="3158" t="s">
        <v>2233</v>
      </c>
      <c r="B61" s="3158"/>
      <c r="C61" s="3158"/>
      <c r="D61" s="3158"/>
      <c r="E61" s="3158"/>
      <c r="F61" s="2487"/>
      <c r="G61" s="2487"/>
      <c r="H61" s="2495"/>
      <c r="I61" s="138"/>
      <c r="J61" s="1809">
        <f>J59+1</f>
        <v>6</v>
      </c>
      <c r="K61" s="3211" t="s">
        <v>2234</v>
      </c>
      <c r="L61" s="3211"/>
      <c r="M61" s="1761"/>
      <c r="N61" s="1762" t="e">
        <f ca="1">ROUND(N59*10000/'数据-汇总表'!E3,0)</f>
        <v>#VALUE!</v>
      </c>
      <c r="O61" s="2496"/>
    </row>
    <row r="62" spans="1:35" ht="12.75">
      <c r="A62" s="3174" t="s">
        <v>2235</v>
      </c>
      <c r="B62" s="3175"/>
      <c r="C62" s="1801"/>
      <c r="D62" s="1801" t="s">
        <v>2236</v>
      </c>
      <c r="E62" s="192" t="s">
        <v>2237</v>
      </c>
      <c r="F62" s="2487"/>
      <c r="G62" s="2487"/>
      <c r="H62" s="2495"/>
      <c r="I62" s="138"/>
    </row>
    <row r="63" spans="1:35" ht="12.75">
      <c r="A63" s="203" t="s">
        <v>775</v>
      </c>
      <c r="B63" s="193" t="s">
        <v>2238</v>
      </c>
      <c r="C63" s="194" t="e">
        <f ca="1">ROUND((C64+C65)/(1+'数据-取费表'!C42),0)</f>
        <v>#REF!</v>
      </c>
      <c r="D63" s="195"/>
      <c r="E63" s="196"/>
      <c r="F63" s="2487"/>
      <c r="G63" s="2487"/>
      <c r="H63" s="2495"/>
      <c r="I63" s="138"/>
      <c r="J63" s="3236" t="s">
        <v>2239</v>
      </c>
      <c r="K63" s="2497" t="s">
        <v>2240</v>
      </c>
      <c r="L63" s="1749"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t="e">
        <f ca="1">D45</f>
        <v>#REF!</v>
      </c>
      <c r="D64" s="200" t="s">
        <v>32</v>
      </c>
      <c r="E64" s="201"/>
      <c r="F64" s="2487"/>
      <c r="G64" s="2487"/>
      <c r="H64" s="2495"/>
      <c r="I64" s="138"/>
      <c r="J64" s="3236"/>
      <c r="K64" s="2497"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236"/>
      <c r="K65" s="2497" t="s">
        <v>2245</v>
      </c>
      <c r="L65" s="1749"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3" t="s">
        <v>1366</v>
      </c>
      <c r="F66" s="2487"/>
      <c r="G66" s="2487"/>
      <c r="H66" s="2495"/>
      <c r="I66" s="138"/>
      <c r="J66" s="3236"/>
      <c r="K66" s="2497" t="s">
        <v>2247</v>
      </c>
      <c r="L66" s="1749" t="e">
        <f>M49*0.5%</f>
        <v>#VALUE!</v>
      </c>
      <c r="M66" s="24" t="e">
        <f>IF(L66&gt;0.5,0.5,ROUND(L66,0))</f>
        <v>#VALUE!</v>
      </c>
      <c r="N66" s="138" t="s">
        <v>2248</v>
      </c>
      <c r="Z66" s="2421"/>
      <c r="AI66" s="2422"/>
    </row>
    <row r="67" spans="1:35" ht="14.25" customHeight="1">
      <c r="A67" s="203" t="s">
        <v>773</v>
      </c>
      <c r="B67" s="204" t="s">
        <v>2249</v>
      </c>
      <c r="C67" s="207" t="e">
        <f ca="1">C63-C66</f>
        <v>#REF!</v>
      </c>
      <c r="D67" s="200" t="s">
        <v>32</v>
      </c>
      <c r="E67" s="201"/>
      <c r="F67" s="2487"/>
      <c r="G67" s="2487"/>
      <c r="H67" s="2495"/>
      <c r="I67" s="138"/>
      <c r="J67" s="3236"/>
      <c r="K67" s="2497"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t="e">
        <f ca="1">IF(C67&lt;=0,0,ROUND(C67*D68,0))</f>
        <v>#REF!</v>
      </c>
      <c r="D68" s="211">
        <f>'数据-取费表'!B41</f>
        <v>5.5000000000000007E-2</v>
      </c>
      <c r="E68" s="212"/>
      <c r="F68" s="2487"/>
      <c r="G68" s="2487"/>
      <c r="H68" s="2495"/>
      <c r="I68" s="138"/>
      <c r="J68" s="3236"/>
      <c r="K68" s="2497" t="s">
        <v>2252</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236"/>
      <c r="K69" s="2497" t="s">
        <v>2253</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95" t="s">
        <v>2254</v>
      </c>
      <c r="B70" s="3196"/>
      <c r="C70" s="3196"/>
      <c r="D70" s="3196"/>
      <c r="E70" s="3196"/>
      <c r="F70" s="3196"/>
      <c r="G70" s="3196"/>
      <c r="H70" s="31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74" t="s">
        <v>2235</v>
      </c>
      <c r="B71" s="3175"/>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t="e">
        <f ca="1">ROUND(D45/(1+'数据-取费表'!C42),0)</f>
        <v>#REF!</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t="e">
        <f ca="1">C74+C78</f>
        <v>#REF!</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69" t="s">
        <v>2263</v>
      </c>
      <c r="F76" s="3146"/>
      <c r="G76" s="3146"/>
      <c r="H76" s="31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t="e">
        <f ca="1">ROUND(D45*D78/(1+'数据-取费表'!C42),0)</f>
        <v>#REF!</v>
      </c>
      <c r="D78" s="226">
        <f>'数据-取费表'!B43</f>
        <v>5.000000000000001E-3</v>
      </c>
      <c r="E78" s="3155" t="s">
        <v>2268</v>
      </c>
      <c r="F78" s="3156"/>
      <c r="G78" s="3156"/>
      <c r="H78" s="316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t="e">
        <f ca="1">C72-C73</f>
        <v>#REF!</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95" t="s">
        <v>2272</v>
      </c>
      <c r="B83" s="3196"/>
      <c r="C83" s="3196"/>
      <c r="D83" s="3196"/>
      <c r="E83" s="3196"/>
      <c r="F83" s="3196"/>
      <c r="G83" s="3196"/>
      <c r="H83" s="31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74" t="s">
        <v>2235</v>
      </c>
      <c r="B84" s="3175"/>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t="e">
        <f ca="1">ROUND(D45/(1+'数据-取费表'!C42),0)</f>
        <v>#REF!</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t="e">
        <f ca="1">IF(H88="仅含出让金",C87+C90+C91+C92+C93+C94,C87+C91+C92+C93+C94)</f>
        <v>#REF!</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IF(H91="——",'成本法-其他办公（1995年）'!C33,I91)</f>
        <v>0</v>
      </c>
      <c r="D91" s="226"/>
      <c r="E91" s="3155" t="s">
        <v>2281</v>
      </c>
      <c r="F91" s="3156"/>
      <c r="G91" s="3156"/>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55" t="s">
        <v>2285</v>
      </c>
      <c r="F92" s="3156"/>
      <c r="G92" s="3156"/>
      <c r="H92" s="316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t="e">
        <f ca="1">ROUND(D45*D93/(1+'数据-取费表'!C42),0)</f>
        <v>#REF!</v>
      </c>
      <c r="D93" s="226">
        <f>'数据-取费表'!B43</f>
        <v>5.000000000000001E-3</v>
      </c>
      <c r="E93" s="3155" t="s">
        <v>2268</v>
      </c>
      <c r="F93" s="3156"/>
      <c r="G93" s="3156"/>
      <c r="H93" s="316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66" t="s">
        <v>2289</v>
      </c>
      <c r="F94" s="3167"/>
      <c r="G94" s="3167"/>
      <c r="H94" s="31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t="e">
        <f ca="1">ROUND(C85-C86,0)</f>
        <v>#REF!</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40" t="s">
        <v>2291</v>
      </c>
      <c r="B100" s="3141"/>
      <c r="C100" s="3141"/>
      <c r="D100" s="3157"/>
      <c r="E100" s="3141" t="s">
        <v>2292</v>
      </c>
      <c r="F100" s="3141"/>
      <c r="G100" s="3141"/>
      <c r="H100" s="3157"/>
      <c r="I100" s="138"/>
    </row>
    <row r="101" spans="1:35" ht="18.75" customHeight="1">
      <c r="A101" s="3219" t="s">
        <v>2293</v>
      </c>
      <c r="B101" s="3220"/>
      <c r="C101" s="736">
        <f>C4</f>
        <v>0</v>
      </c>
      <c r="D101" s="737">
        <f>D4</f>
        <v>0</v>
      </c>
      <c r="E101" s="3233" t="s">
        <v>2294</v>
      </c>
      <c r="F101" s="3187"/>
      <c r="G101" s="2518" t="s">
        <v>2295</v>
      </c>
      <c r="H101" s="1045" t="e">
        <f ca="1">H118</f>
        <v>#REF!</v>
      </c>
      <c r="I101" s="138"/>
    </row>
    <row r="102" spans="1:35" ht="18.75" customHeight="1">
      <c r="A102" s="3189" t="s">
        <v>2296</v>
      </c>
      <c r="B102" s="2518" t="s">
        <v>2295</v>
      </c>
      <c r="C102" s="736" t="e">
        <f ca="1">C19</f>
        <v>#REF!</v>
      </c>
      <c r="D102" s="737" t="e">
        <f ca="1">D19</f>
        <v>#REF!</v>
      </c>
      <c r="E102" s="3233"/>
      <c r="F102" s="3187"/>
      <c r="G102" s="2518" t="s">
        <v>2297</v>
      </c>
      <c r="H102" s="371" t="e">
        <f ca="1">I118</f>
        <v>#REF!</v>
      </c>
      <c r="I102" s="138"/>
    </row>
    <row r="103" spans="1:35" ht="42.75" customHeight="1">
      <c r="A103" s="3189"/>
      <c r="B103" s="2518" t="s">
        <v>2297</v>
      </c>
      <c r="C103" s="738" t="e">
        <f ca="1">C20</f>
        <v>#REF!</v>
      </c>
      <c r="D103" s="739" t="e">
        <f ca="1">D20</f>
        <v>#REF!</v>
      </c>
      <c r="E103" s="3228" t="s">
        <v>2298</v>
      </c>
      <c r="F103" s="3229"/>
      <c r="G103" s="2519" t="s">
        <v>2299</v>
      </c>
      <c r="H103" s="1045">
        <f>IF(D36="正常操作",H104+H105+H106,H105+H106)</f>
        <v>0</v>
      </c>
      <c r="I103" s="138"/>
    </row>
    <row r="104" spans="1:35" ht="18.75" customHeight="1">
      <c r="A104" s="3189" t="s">
        <v>2300</v>
      </c>
      <c r="B104" s="2520" t="s">
        <v>2295</v>
      </c>
      <c r="C104" s="740" t="e">
        <f ca="1">H118</f>
        <v>#REF!</v>
      </c>
      <c r="D104" s="741"/>
      <c r="E104" s="2265" t="s">
        <v>2301</v>
      </c>
      <c r="F104" s="2256"/>
      <c r="G104" s="2519" t="s">
        <v>2299</v>
      </c>
      <c r="H104" s="1046">
        <f>IF(D36="同一抵押权人同一抵押物续贷",C36&amp;"（未扣减，详见特别提示）",C36)</f>
        <v>0</v>
      </c>
      <c r="I104" s="138"/>
    </row>
    <row r="105" spans="1:35" ht="18.75" customHeight="1" thickBot="1">
      <c r="A105" s="3190"/>
      <c r="B105" s="2521" t="s">
        <v>2297</v>
      </c>
      <c r="C105" s="742" t="e">
        <f ca="1">I118</f>
        <v>#REF!</v>
      </c>
      <c r="D105" s="743"/>
      <c r="E105" s="2265" t="s">
        <v>2302</v>
      </c>
      <c r="F105" s="2256"/>
      <c r="G105" s="2519" t="s">
        <v>2299</v>
      </c>
      <c r="H105" s="1046">
        <f>C37</f>
        <v>0</v>
      </c>
      <c r="I105" s="138"/>
    </row>
    <row r="106" spans="1:35" ht="18.75" customHeight="1">
      <c r="A106" s="2416" t="s">
        <v>2303</v>
      </c>
      <c r="B106" s="2416"/>
      <c r="C106" s="2416"/>
      <c r="D106" s="2416"/>
      <c r="E106" s="2522" t="s">
        <v>2304</v>
      </c>
      <c r="F106" s="2256"/>
      <c r="G106" s="2519" t="s">
        <v>2299</v>
      </c>
      <c r="H106" s="1046">
        <f>C38</f>
        <v>0</v>
      </c>
      <c r="I106" s="138"/>
    </row>
    <row r="107" spans="1:35" ht="18.75" customHeight="1">
      <c r="A107" s="138"/>
      <c r="B107" s="138"/>
      <c r="C107" s="138"/>
      <c r="D107" s="138"/>
      <c r="E107" s="3186" t="str">
        <f>IF(项目基本情况!E8="已注销","——","3.房地产抵押价值")</f>
        <v>3.房地产抵押价值</v>
      </c>
      <c r="F107" s="3187"/>
      <c r="G107" s="2518" t="s">
        <v>2295</v>
      </c>
      <c r="H107" s="1045" t="e">
        <f ca="1">IF(E107="——","——",H101-H103)</f>
        <v>#REF!</v>
      </c>
      <c r="I107" s="138"/>
    </row>
    <row r="108" spans="1:35" ht="18.75" customHeight="1">
      <c r="A108" s="138"/>
      <c r="B108" s="138"/>
      <c r="C108" s="138"/>
      <c r="D108" s="138"/>
      <c r="E108" s="3186"/>
      <c r="F108" s="3187"/>
      <c r="G108" s="2518" t="s">
        <v>2297</v>
      </c>
      <c r="H108" s="371" t="e">
        <f ca="1">ROUND(H107*10000/'数据-汇总表'!E3,0)</f>
        <v>#REF!</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87"/>
      <c r="G109" s="2518" t="s">
        <v>2295</v>
      </c>
      <c r="H109" s="348" t="str">
        <f>IF(E109="——","——",H101-H105-H106)</f>
        <v>——</v>
      </c>
      <c r="I109" s="138"/>
    </row>
    <row r="110" spans="1:35" ht="18.75" customHeight="1">
      <c r="A110" s="138"/>
      <c r="B110" s="138"/>
      <c r="C110" s="138"/>
      <c r="D110" s="138"/>
      <c r="E110" s="3186"/>
      <c r="F110" s="3187"/>
      <c r="G110" s="2518" t="s">
        <v>2297</v>
      </c>
      <c r="H110" s="371" t="str">
        <f>IF(H109="——","——",ROUND(H109*10000/'数据-汇总表'!E3,0))</f>
        <v>——</v>
      </c>
      <c r="I110" s="138"/>
    </row>
    <row r="111" spans="1:35" ht="18.75" customHeight="1">
      <c r="A111" s="138"/>
      <c r="B111" s="138"/>
      <c r="C111" s="138"/>
      <c r="D111" s="138"/>
      <c r="E111" s="3221" t="str">
        <f>IF(项目基本情况!E9="抵押净值",IF(OR(项目基本情况!E8="已注销",项目基本情况!E8="房地产抵押价值"),"4.抵押净值","5.抵押净值"),"——")</f>
        <v>——</v>
      </c>
      <c r="F111" s="3222"/>
      <c r="G111" s="2518" t="s">
        <v>2295</v>
      </c>
      <c r="H111" s="1045" t="str">
        <f>IF(E111="——","——",N59)</f>
        <v>——</v>
      </c>
      <c r="I111" s="138"/>
    </row>
    <row r="112" spans="1:35" ht="18.75" customHeight="1" thickBot="1">
      <c r="A112" s="138"/>
      <c r="B112" s="138"/>
      <c r="C112" s="138"/>
      <c r="D112" s="138"/>
      <c r="E112" s="3223"/>
      <c r="F112" s="3224"/>
      <c r="G112" s="2523" t="s">
        <v>2297</v>
      </c>
      <c r="H112" s="790" t="str">
        <f>IF(E111="——","——",N61)</f>
        <v>——</v>
      </c>
      <c r="I112" s="138"/>
    </row>
    <row r="113" spans="1:11" ht="18.75" customHeight="1">
      <c r="A113" s="138"/>
      <c r="B113" s="138"/>
      <c r="C113" s="138"/>
      <c r="D113" s="138"/>
      <c r="E113" s="3191" t="s">
        <v>2303</v>
      </c>
      <c r="F113" s="3191"/>
      <c r="G113" s="3191"/>
      <c r="H113" s="3191"/>
      <c r="I113" s="138"/>
    </row>
    <row r="114" spans="1:11" ht="3.75" customHeight="1">
      <c r="A114" s="2416"/>
      <c r="B114" s="2416"/>
      <c r="C114" s="2416"/>
      <c r="D114" s="2416"/>
      <c r="E114" s="2494"/>
      <c r="F114" s="2494"/>
      <c r="G114" s="2494"/>
      <c r="H114" s="2494"/>
      <c r="I114" s="2416"/>
    </row>
    <row r="115" spans="1:11" ht="18.75" customHeight="1">
      <c r="A115" s="3204" t="s">
        <v>2305</v>
      </c>
      <c r="B115" s="3205"/>
      <c r="C115" s="3205"/>
      <c r="D115" s="3205"/>
      <c r="E115" s="3205"/>
      <c r="F115" s="3205"/>
      <c r="G115" s="3205"/>
      <c r="H115" s="3205"/>
      <c r="I115" s="3206"/>
    </row>
    <row r="116" spans="1:11" ht="27" customHeight="1">
      <c r="A116" s="3097" t="s">
        <v>2306</v>
      </c>
      <c r="B116" s="3192" t="s">
        <v>2307</v>
      </c>
      <c r="C116" s="3192" t="s">
        <v>2308</v>
      </c>
      <c r="D116" s="3208" t="s">
        <v>2309</v>
      </c>
      <c r="E116" s="3209"/>
      <c r="F116" s="3200" t="s">
        <v>2310</v>
      </c>
      <c r="G116" s="3200"/>
      <c r="H116" s="3097" t="s">
        <v>2311</v>
      </c>
      <c r="I116" s="3097"/>
    </row>
    <row r="117" spans="1:11" ht="18.75" customHeight="1">
      <c r="A117" s="3097"/>
      <c r="B117" s="3193"/>
      <c r="C117" s="3193"/>
      <c r="D117" s="1795" t="s">
        <v>2312</v>
      </c>
      <c r="E117" s="1795" t="s">
        <v>2313</v>
      </c>
      <c r="F117" s="1795" t="s">
        <v>2312</v>
      </c>
      <c r="G117" s="1795" t="s">
        <v>2314</v>
      </c>
      <c r="H117" s="1795" t="s">
        <v>2312</v>
      </c>
      <c r="I117" s="1795" t="s">
        <v>2314</v>
      </c>
    </row>
    <row r="118" spans="1:11" ht="24.75" customHeight="1">
      <c r="A118" s="2524" t="str">
        <f>项目基本情况!S2</f>
        <v>北京市出让国有建设用地使用权及在建建筑物房地产</v>
      </c>
      <c r="B118" s="1795">
        <f>M18</f>
        <v>11819.969999999998</v>
      </c>
      <c r="C118" s="1795">
        <f>M19</f>
        <v>21120.11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097" t="s">
        <v>2315</v>
      </c>
      <c r="B119" s="3097"/>
      <c r="C119" s="3097"/>
      <c r="D119" s="3197" t="e">
        <f ca="1">NUMBERSTRING(INT(D118*10000),2)&amp;"元整"</f>
        <v>#REF!</v>
      </c>
      <c r="E119" s="3199"/>
      <c r="F119" s="3197" t="e">
        <f ca="1">NUMBERSTRING(INT(F118*10000),2)&amp;"元整"</f>
        <v>#REF!</v>
      </c>
      <c r="G119" s="3199"/>
      <c r="H119" s="3197" t="e">
        <f ca="1">NUMBERSTRING(INT(H118*10000),2)&amp;"元整"</f>
        <v>#REF!</v>
      </c>
      <c r="I119" s="3199"/>
    </row>
    <row r="120" spans="1:11" ht="18.75" customHeight="1">
      <c r="A120" s="3225" t="str">
        <f>IF(项目基本情况!B9="房地产市场价值","",MID(E103,3,LEN(E103)-2))</f>
        <v/>
      </c>
      <c r="B120" s="3226"/>
      <c r="C120" s="3227"/>
      <c r="D120" s="3225">
        <f>H103</f>
        <v>0</v>
      </c>
      <c r="E120" s="3226"/>
      <c r="F120" s="3226"/>
      <c r="G120" s="3226"/>
      <c r="H120" s="3226"/>
      <c r="I120" s="3227"/>
      <c r="K120" s="2421" t="str">
        <f>IF(D120=0,"故，本次评估不存在"&amp;A120,"故，本次评估"&amp;A120&amp;"为人民币"&amp;D120&amp;"万元整。")</f>
        <v>故，本次评估不存在</v>
      </c>
    </row>
    <row r="121" spans="1:11" ht="18.75" customHeight="1">
      <c r="A121" s="3201" t="s">
        <v>2315</v>
      </c>
      <c r="B121" s="3202"/>
      <c r="C121" s="3203"/>
      <c r="D121" s="3197" t="str">
        <f>IF(D120=0,"零元整",NUMBERSTRING(INT(D120*10000),2)&amp;"元整")</f>
        <v>零元整</v>
      </c>
      <c r="E121" s="3198"/>
      <c r="F121" s="3198"/>
      <c r="G121" s="3198"/>
      <c r="H121" s="3198"/>
      <c r="I121" s="3199"/>
    </row>
    <row r="122" spans="1:11" ht="18.75" customHeight="1">
      <c r="A122" s="3188" t="str">
        <f>IF(项目基本情况!B9="房地产市场价值","",MID(E107,3,LEN(E107)-2))</f>
        <v/>
      </c>
      <c r="B122" s="3188"/>
      <c r="C122" s="3188"/>
      <c r="D122" s="3225" t="e">
        <f ca="1">H107</f>
        <v>#REF!</v>
      </c>
      <c r="E122" s="3226"/>
      <c r="F122" s="3226"/>
      <c r="G122" s="3226"/>
      <c r="H122" s="3226"/>
      <c r="I122" s="3227"/>
    </row>
    <row r="123" spans="1:11" ht="18.75" customHeight="1">
      <c r="A123" s="3097" t="s">
        <v>2315</v>
      </c>
      <c r="B123" s="3097"/>
      <c r="C123" s="3097"/>
      <c r="D123" s="3197" t="e">
        <f ca="1">NUMBERSTRING(INT(D122*10000),2)&amp;"元整"</f>
        <v>#REF!</v>
      </c>
      <c r="E123" s="3198"/>
      <c r="F123" s="3198"/>
      <c r="G123" s="3198"/>
      <c r="H123" s="3198"/>
      <c r="I123" s="3199"/>
    </row>
    <row r="124" spans="1:11" ht="18.75" customHeight="1">
      <c r="A124" s="3188" t="str">
        <f>IF(项目基本情况!B9="房地产市场价值","",MID(E109,3,LEN(E109)-2))</f>
        <v/>
      </c>
      <c r="B124" s="3188"/>
      <c r="C124" s="3188"/>
      <c r="D124" s="3225" t="str">
        <f>H109</f>
        <v>——</v>
      </c>
      <c r="E124" s="3226"/>
      <c r="F124" s="3226"/>
      <c r="G124" s="3226"/>
      <c r="H124" s="3226"/>
      <c r="I124" s="3227"/>
    </row>
    <row r="125" spans="1:11" ht="18.75" customHeight="1">
      <c r="A125" s="3097" t="s">
        <v>2315</v>
      </c>
      <c r="B125" s="3097"/>
      <c r="C125" s="3097"/>
      <c r="D125" s="3197" t="e">
        <f>NUMBERSTRING(INT(D124*10000),2)&amp;"元整"</f>
        <v>#VALUE!</v>
      </c>
      <c r="E125" s="3198"/>
      <c r="F125" s="3198"/>
      <c r="G125" s="3198"/>
      <c r="H125" s="3198"/>
      <c r="I125" s="3199"/>
    </row>
    <row r="126" spans="1:11" ht="18.75" customHeight="1">
      <c r="A126" s="3188" t="str">
        <f>IF(项目基本情况!B9="房地产市场价值","",MID(E111,3,LEN(E111)-2))</f>
        <v/>
      </c>
      <c r="B126" s="3188"/>
      <c r="C126" s="3188"/>
      <c r="D126" s="3225" t="str">
        <f>H111</f>
        <v>——</v>
      </c>
      <c r="E126" s="3226"/>
      <c r="F126" s="3226"/>
      <c r="G126" s="3226"/>
      <c r="H126" s="3226"/>
      <c r="I126" s="3227"/>
    </row>
    <row r="127" spans="1:11" ht="18.75" customHeight="1">
      <c r="A127" s="3097" t="s">
        <v>2315</v>
      </c>
      <c r="B127" s="3097"/>
      <c r="C127" s="3097"/>
      <c r="D127" s="3197" t="e">
        <f>NUMBERSTRING(INT(D126*10000),2)&amp;"元整"</f>
        <v>#VALUE!</v>
      </c>
      <c r="E127" s="3198"/>
      <c r="F127" s="3198"/>
      <c r="G127" s="3198"/>
      <c r="H127" s="3198"/>
      <c r="I127" s="3199"/>
    </row>
    <row r="128" spans="1:11" ht="21.75" customHeight="1">
      <c r="A128" s="3207" t="s">
        <v>2316</v>
      </c>
      <c r="B128" s="3207"/>
      <c r="C128" s="3207"/>
      <c r="D128" s="3207"/>
      <c r="E128" s="3207"/>
      <c r="F128" s="3207"/>
      <c r="G128" s="3207"/>
      <c r="H128" s="3207"/>
      <c r="I128" s="320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abSelected="1" zoomScale="120" zoomScaleNormal="120" workbookViewId="0">
      <selection activeCell="C8" sqref="C8"/>
    </sheetView>
  </sheetViews>
  <sheetFormatPr defaultColWidth="11" defaultRowHeight="13.5"/>
  <cols>
    <col min="5" max="5" width="16.75" customWidth="1"/>
  </cols>
  <sheetData>
    <row r="1" spans="1:5">
      <c r="B1" t="s">
        <v>3266</v>
      </c>
      <c r="C1">
        <v>1.67</v>
      </c>
    </row>
    <row r="5" spans="1:5">
      <c r="A5" s="3047" t="s">
        <v>3265</v>
      </c>
      <c r="B5" s="3046"/>
      <c r="C5" s="3046" t="s">
        <v>3256</v>
      </c>
      <c r="D5" s="3046" t="s">
        <v>3257</v>
      </c>
      <c r="E5" s="3046" t="s">
        <v>3260</v>
      </c>
    </row>
    <row r="6" spans="1:5">
      <c r="A6" s="3047">
        <v>1995</v>
      </c>
      <c r="B6" s="3048" t="s">
        <v>3264</v>
      </c>
      <c r="C6" s="3048">
        <f>'比较法-其他办公'!C50</f>
        <v>1.8</v>
      </c>
      <c r="D6" s="3048">
        <f ca="1">'收益法 (倒推)-其他办公'!D37:F37</f>
        <v>2.42</v>
      </c>
      <c r="E6" s="3048">
        <f ca="1">ROUND(C6*C8+D6*D8,2)</f>
        <v>2.11</v>
      </c>
    </row>
    <row r="7" spans="1:5">
      <c r="A7" s="3047">
        <v>2004</v>
      </c>
      <c r="B7" s="3048" t="s">
        <v>3258</v>
      </c>
      <c r="C7" s="3048">
        <f>'比较法-综合楼'!C50</f>
        <v>1.9</v>
      </c>
      <c r="D7" s="3048">
        <f ca="1">'收益法 (倒推)-综合楼'!D37:F37</f>
        <v>2.5</v>
      </c>
      <c r="E7" s="3048">
        <f ca="1">ROUND(C7*C8+D7*D8,2)</f>
        <v>2.2000000000000002</v>
      </c>
    </row>
    <row r="8" spans="1:5">
      <c r="A8" s="3047"/>
      <c r="B8" s="3046" t="s">
        <v>3259</v>
      </c>
      <c r="C8" s="3046">
        <v>0.5</v>
      </c>
      <c r="D8" s="3046">
        <f>1-C8</f>
        <v>0.5</v>
      </c>
      <c r="E8" s="3046"/>
    </row>
    <row r="9" spans="1:5">
      <c r="A9" s="3047"/>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53" t="str">
        <f>项目基本情况!B1</f>
        <v>北京市出让国有建设用地使用权及在建建筑物房地产市场价值预评估</v>
      </c>
      <c r="C37" s="3053"/>
      <c r="D37" s="3053"/>
      <c r="E37" s="3053"/>
      <c r="F37" s="3053"/>
      <c r="G37" s="3053"/>
      <c r="H37" s="3053"/>
      <c r="I37" s="3053"/>
    </row>
    <row r="38" spans="1:9">
      <c r="A38" s="1016"/>
      <c r="B38" s="1016"/>
    </row>
    <row r="39" spans="1:9">
      <c r="A39" s="1014" t="s">
        <v>818</v>
      </c>
      <c r="B39" s="1014" t="s">
        <v>820</v>
      </c>
    </row>
    <row r="40" spans="1:9">
      <c r="A40" s="1014"/>
      <c r="B40" s="1941" t="str">
        <f>项目基本情况!B5</f>
        <v>中纪委培训中心</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陈颖（注册号：1120060040)、叶凌（注册号：1119970111)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47" workbookViewId="0">
      <selection activeCell="A75" sqref="A75"/>
    </sheetView>
  </sheetViews>
  <sheetFormatPr defaultColWidth="11"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topLeftCell="A20" zoomScaleNormal="100" workbookViewId="0">
      <selection activeCell="K44" sqref="K44"/>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669" t="s">
        <v>2684</v>
      </c>
      <c r="C1" s="1620" t="s">
        <v>2528</v>
      </c>
      <c r="D1" s="1621" t="s">
        <v>3207</v>
      </c>
      <c r="E1" s="1630"/>
      <c r="F1" s="2584" t="s">
        <v>3218</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v>
      </c>
      <c r="C2" s="2586" t="s">
        <v>70</v>
      </c>
      <c r="D2" s="1365" t="e">
        <f ca="1">SUMIF(INDIRECT("'"&amp;F2&amp;"'"&amp;"!A:A"),"承租人权益价值",INDIRECT("'"&amp;F2&amp;"'"&amp;"!c:c"))</f>
        <v>#DIV/0!</v>
      </c>
      <c r="E2" s="2587" t="s">
        <v>2326</v>
      </c>
      <c r="F2" s="2588" t="s">
        <v>3166</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1.8</v>
      </c>
      <c r="C3" s="400" t="s">
        <v>2642</v>
      </c>
      <c r="D3" s="399">
        <f>IF(D1="",'数据-汇总表'!E3,SUMIF('数据-汇总表'!$C19:$C33,D1,'数据-汇总表'!$E19:$E33))</f>
        <v>8426.909999999998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57" t="s">
        <v>2644</v>
      </c>
      <c r="D4" s="3258"/>
      <c r="E4" s="3259" t="s">
        <v>2645</v>
      </c>
      <c r="F4" s="3260"/>
      <c r="G4" s="3257" t="s">
        <v>2646</v>
      </c>
      <c r="H4" s="3258"/>
      <c r="I4" s="3257" t="s">
        <v>2647</v>
      </c>
      <c r="J4" s="3258"/>
      <c r="K4" s="610" t="s">
        <v>2648</v>
      </c>
      <c r="L4" s="1130"/>
      <c r="M4" s="1131"/>
      <c r="N4" s="1131"/>
      <c r="O4" s="1131"/>
      <c r="P4" s="3261" t="s">
        <v>2649</v>
      </c>
      <c r="Q4" s="3262"/>
      <c r="R4" s="3267" t="s">
        <v>2645</v>
      </c>
      <c r="S4" s="3268"/>
      <c r="T4" s="3267" t="s">
        <v>2646</v>
      </c>
      <c r="U4" s="3268"/>
      <c r="V4" s="3273" t="s">
        <v>2647</v>
      </c>
      <c r="W4" s="3273"/>
      <c r="X4" s="2670"/>
      <c r="Y4" s="3267" t="s">
        <v>2649</v>
      </c>
      <c r="Z4" s="3268"/>
      <c r="AA4" s="3285" t="s">
        <v>2645</v>
      </c>
      <c r="AB4" s="3285" t="s">
        <v>2646</v>
      </c>
      <c r="AC4" s="3254" t="s">
        <v>2647</v>
      </c>
    </row>
    <row r="5" spans="1:29" ht="59.1" customHeight="1" thickBot="1">
      <c r="A5" s="404"/>
      <c r="B5" s="405"/>
      <c r="C5" s="3277" t="s">
        <v>3228</v>
      </c>
      <c r="D5" s="3278"/>
      <c r="E5" s="3288" t="s">
        <v>3224</v>
      </c>
      <c r="F5" s="3289"/>
      <c r="G5" s="3277" t="s">
        <v>3226</v>
      </c>
      <c r="H5" s="3278"/>
      <c r="I5" s="3277" t="s">
        <v>3229</v>
      </c>
      <c r="J5" s="3278"/>
      <c r="K5" s="610"/>
      <c r="L5" s="1130"/>
      <c r="M5" s="1131"/>
      <c r="N5" s="1131"/>
      <c r="O5" s="1131"/>
      <c r="P5" s="3263"/>
      <c r="Q5" s="3264"/>
      <c r="R5" s="3269"/>
      <c r="S5" s="3270"/>
      <c r="T5" s="3269"/>
      <c r="U5" s="3270"/>
      <c r="V5" s="3274"/>
      <c r="W5" s="3274"/>
      <c r="X5" s="1813"/>
      <c r="Y5" s="3269"/>
      <c r="Z5" s="3270"/>
      <c r="AA5" s="3286"/>
      <c r="AB5" s="3286"/>
      <c r="AC5" s="3255"/>
    </row>
    <row r="6" spans="1:29" ht="15.75" hidden="1" thickBot="1">
      <c r="A6" s="406"/>
      <c r="B6" s="407"/>
      <c r="C6" s="3275" t="s">
        <v>2544</v>
      </c>
      <c r="D6" s="3276"/>
      <c r="E6" s="3283" t="s">
        <v>2544</v>
      </c>
      <c r="F6" s="3284"/>
      <c r="G6" s="3275" t="s">
        <v>2544</v>
      </c>
      <c r="H6" s="3276"/>
      <c r="I6" s="3275" t="s">
        <v>2544</v>
      </c>
      <c r="J6" s="3276"/>
      <c r="K6" s="610" t="s">
        <v>2545</v>
      </c>
      <c r="L6" s="1130"/>
      <c r="M6" s="1131"/>
      <c r="N6" s="1131"/>
      <c r="O6" s="1131"/>
      <c r="P6" s="3265"/>
      <c r="Q6" s="3266"/>
      <c r="R6" s="3269"/>
      <c r="S6" s="3270"/>
      <c r="T6" s="3271"/>
      <c r="U6" s="3272"/>
      <c r="V6" s="3274"/>
      <c r="W6" s="3274"/>
      <c r="X6" s="1813"/>
      <c r="Y6" s="3271"/>
      <c r="Z6" s="3272"/>
      <c r="AA6" s="3287"/>
      <c r="AB6" s="3287"/>
      <c r="AC6" s="3256"/>
    </row>
    <row r="7" spans="1:29" s="117" customFormat="1" ht="15.75" thickBot="1">
      <c r="A7" s="408" t="s">
        <v>2546</v>
      </c>
      <c r="B7" s="409"/>
      <c r="C7" s="410">
        <f>'数据-取费表'!B2</f>
        <v>43923</v>
      </c>
      <c r="D7" s="411">
        <v>100</v>
      </c>
      <c r="E7" s="412">
        <f>C7</f>
        <v>43923</v>
      </c>
      <c r="F7" s="413">
        <f>SUMIF(59:59,YEAR(E7)&amp;"-"&amp;MONTH(E7),60:60)</f>
        <v>100</v>
      </c>
      <c r="G7" s="412">
        <f>C7</f>
        <v>43923</v>
      </c>
      <c r="H7" s="411">
        <f>SUMIF(59:59,YEAR(G7)&amp;"-"&amp;MONTH(G7),60:60)</f>
        <v>100</v>
      </c>
      <c r="I7" s="412">
        <f>G7</f>
        <v>43923</v>
      </c>
      <c r="J7" s="411">
        <f>SUMIF(59:59,YEAR(I7)&amp;"-"&amp;MONTH(I7),60:60)</f>
        <v>100</v>
      </c>
      <c r="K7" s="611"/>
      <c r="L7" s="1132"/>
      <c r="M7" s="1133"/>
      <c r="N7" s="1133"/>
      <c r="O7" s="1133"/>
      <c r="P7" s="3279" t="s">
        <v>2547</v>
      </c>
      <c r="Q7" s="3282"/>
      <c r="R7" s="770" t="s">
        <v>17</v>
      </c>
      <c r="S7" s="771">
        <f t="shared" ref="S7:S15" si="0">F7</f>
        <v>100</v>
      </c>
      <c r="T7" s="770" t="s">
        <v>17</v>
      </c>
      <c r="U7" s="771">
        <f t="shared" ref="U7:U15" si="1">H7</f>
        <v>100</v>
      </c>
      <c r="V7" s="770" t="s">
        <v>17</v>
      </c>
      <c r="W7" s="771">
        <f t="shared" ref="W7:W15" si="2">J7</f>
        <v>100</v>
      </c>
      <c r="X7" s="772"/>
      <c r="Y7" s="3281" t="s">
        <v>2547</v>
      </c>
      <c r="Z7" s="3280"/>
      <c r="AA7" s="773">
        <f>D7/F7</f>
        <v>1</v>
      </c>
      <c r="AB7" s="773">
        <f>D7/H7</f>
        <v>1</v>
      </c>
      <c r="AC7" s="2671">
        <f>D7/J7</f>
        <v>1</v>
      </c>
    </row>
    <row r="8" spans="1:29" s="117" customFormat="1" ht="15.75" thickBot="1">
      <c r="A8" s="408" t="s">
        <v>2548</v>
      </c>
      <c r="B8" s="409"/>
      <c r="C8" s="414" t="s">
        <v>2650</v>
      </c>
      <c r="D8" s="411">
        <v>100</v>
      </c>
      <c r="E8" s="414" t="s">
        <v>3225</v>
      </c>
      <c r="F8" s="413">
        <f>SUMIF(62:62,E8,63:63)-SUMIF(62:62,C8,63:63)+100</f>
        <v>101</v>
      </c>
      <c r="G8" s="414" t="s">
        <v>3225</v>
      </c>
      <c r="H8" s="411">
        <f>SUMIF(62:62,G8,63:63)-SUMIF(62:62,C8,63:63)+100</f>
        <v>101</v>
      </c>
      <c r="I8" s="414" t="s">
        <v>3225</v>
      </c>
      <c r="J8" s="411">
        <f>SUMIF(62:62,I8,63:63)-SUMIF(62:62,C8,63:63)+100</f>
        <v>101</v>
      </c>
      <c r="K8" s="611"/>
      <c r="L8" s="1132"/>
      <c r="M8" s="1133"/>
      <c r="N8" s="1133"/>
      <c r="O8" s="1133"/>
      <c r="P8" s="3279" t="s">
        <v>2550</v>
      </c>
      <c r="Q8" s="3280"/>
      <c r="R8" s="770" t="s">
        <v>17</v>
      </c>
      <c r="S8" s="771">
        <f t="shared" si="0"/>
        <v>101</v>
      </c>
      <c r="T8" s="770" t="s">
        <v>17</v>
      </c>
      <c r="U8" s="771">
        <f t="shared" si="1"/>
        <v>101</v>
      </c>
      <c r="V8" s="770" t="s">
        <v>17</v>
      </c>
      <c r="W8" s="771">
        <f t="shared" si="2"/>
        <v>101</v>
      </c>
      <c r="X8" s="772"/>
      <c r="Y8" s="3281" t="s">
        <v>2550</v>
      </c>
      <c r="Z8" s="3280"/>
      <c r="AA8" s="773">
        <f t="shared" ref="AA8:AA47" si="3">D8/F8</f>
        <v>0.99009900990099009</v>
      </c>
      <c r="AB8" s="773">
        <f t="shared" ref="AB8:AB47" si="4">D8/H8</f>
        <v>0.99009900990099009</v>
      </c>
      <c r="AC8" s="2671">
        <f t="shared" ref="AC8:AC47" si="5">D8/J8</f>
        <v>0.99009900990099009</v>
      </c>
    </row>
    <row r="9" spans="1:29" s="117" customFormat="1">
      <c r="A9" s="415" t="s">
        <v>2551</v>
      </c>
      <c r="B9" s="71" t="s">
        <v>2552</v>
      </c>
      <c r="C9" s="416" t="s">
        <v>3227</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39" t="s">
        <v>2553</v>
      </c>
      <c r="Q9" s="1795" t="str">
        <f t="shared" ref="Q9:Q15" si="6">B9</f>
        <v>用途</v>
      </c>
      <c r="R9" s="770" t="s">
        <v>17</v>
      </c>
      <c r="S9" s="771">
        <f t="shared" si="0"/>
        <v>100</v>
      </c>
      <c r="T9" s="770" t="s">
        <v>17</v>
      </c>
      <c r="U9" s="771">
        <f t="shared" si="1"/>
        <v>100</v>
      </c>
      <c r="V9" s="770" t="s">
        <v>17</v>
      </c>
      <c r="W9" s="771">
        <f t="shared" si="2"/>
        <v>100</v>
      </c>
      <c r="X9" s="772"/>
      <c r="Y9" s="3097" t="s">
        <v>2554</v>
      </c>
      <c r="Z9" s="55" t="str">
        <f t="shared" ref="Z9:Z15" si="7">Q9</f>
        <v>用途</v>
      </c>
      <c r="AA9" s="773">
        <f t="shared" si="3"/>
        <v>1</v>
      </c>
      <c r="AB9" s="773">
        <f t="shared" si="4"/>
        <v>1</v>
      </c>
      <c r="AC9" s="2671">
        <f t="shared" si="5"/>
        <v>1</v>
      </c>
    </row>
    <row r="10" spans="1:29" s="427" customFormat="1" ht="27">
      <c r="A10" s="421"/>
      <c r="B10" s="422" t="s">
        <v>2555</v>
      </c>
      <c r="C10" s="423" t="s">
        <v>3230</v>
      </c>
      <c r="D10" s="136">
        <v>100</v>
      </c>
      <c r="E10" s="423" t="s">
        <v>3230</v>
      </c>
      <c r="F10" s="136">
        <f>SUMIF(66:66,E10,67:67)-SUMIF(66:66,C10,67:67)+100</f>
        <v>100</v>
      </c>
      <c r="G10" s="424" t="s">
        <v>3230</v>
      </c>
      <c r="H10" s="136">
        <f>SUMIF(66:66,G10,67:67)-SUMIF(66:66,C10,67:67)+100</f>
        <v>100</v>
      </c>
      <c r="I10" s="423" t="s">
        <v>3230</v>
      </c>
      <c r="J10" s="136">
        <f>SUMIF(66:66,I10,67:67)-SUMIF(66:66,C10,67:67)+100</f>
        <v>100</v>
      </c>
      <c r="K10" s="612">
        <v>2</v>
      </c>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2671">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8"/>
      <c r="M11" s="1131"/>
      <c r="N11" s="1131"/>
      <c r="O11" s="1131"/>
      <c r="P11" s="3239"/>
      <c r="Q11" s="1795" t="str">
        <f t="shared" si="6"/>
        <v>容积率</v>
      </c>
      <c r="R11" s="770" t="s">
        <v>17</v>
      </c>
      <c r="S11" s="771">
        <f t="shared" si="0"/>
        <v>100</v>
      </c>
      <c r="T11" s="770" t="s">
        <v>17</v>
      </c>
      <c r="U11" s="771">
        <f t="shared" si="1"/>
        <v>100</v>
      </c>
      <c r="V11" s="770" t="s">
        <v>17</v>
      </c>
      <c r="W11" s="771">
        <f t="shared" si="2"/>
        <v>100</v>
      </c>
      <c r="X11" s="772"/>
      <c r="Y11" s="3097"/>
      <c r="Z11" s="55" t="str">
        <f t="shared" si="7"/>
        <v>容积率</v>
      </c>
      <c r="AA11" s="773">
        <f t="shared" si="3"/>
        <v>1</v>
      </c>
      <c r="AB11" s="773">
        <f t="shared" si="4"/>
        <v>1</v>
      </c>
      <c r="AC11" s="2671">
        <f t="shared" si="5"/>
        <v>1</v>
      </c>
    </row>
    <row r="12" spans="1:29" s="117" customFormat="1" ht="15">
      <c r="A12" s="431"/>
      <c r="B12" s="3049" t="s">
        <v>3267</v>
      </c>
      <c r="C12" s="3050" t="s">
        <v>3268</v>
      </c>
      <c r="D12" s="433">
        <v>100</v>
      </c>
      <c r="E12" s="3050" t="s">
        <v>3270</v>
      </c>
      <c r="F12" s="136">
        <f>SUMIF(71:71,E12,72:72)-SUMIF(71:71,C12,72:72)+100</f>
        <v>100</v>
      </c>
      <c r="G12" s="3050" t="s">
        <v>3270</v>
      </c>
      <c r="H12" s="136">
        <f>SUMIF(71:71,G12,72:72)-SUMIF(71:71,C12,72:72)+100</f>
        <v>100</v>
      </c>
      <c r="I12" s="3050" t="s">
        <v>3270</v>
      </c>
      <c r="J12" s="136">
        <f>SUMIF(71:71,I12,72:72)-SUMIF(71:71,C12,72:72)+100</f>
        <v>100</v>
      </c>
      <c r="K12" s="613"/>
      <c r="L12" s="1132"/>
      <c r="M12" s="1133"/>
      <c r="N12" s="1133"/>
      <c r="O12" s="1133"/>
      <c r="P12" s="3239"/>
      <c r="Q12" s="1795" t="str">
        <f t="shared" si="6"/>
        <v>权属是否完整</v>
      </c>
      <c r="R12" s="770" t="s">
        <v>17</v>
      </c>
      <c r="S12" s="771">
        <f t="shared" si="0"/>
        <v>100</v>
      </c>
      <c r="T12" s="770" t="s">
        <v>17</v>
      </c>
      <c r="U12" s="771">
        <f t="shared" si="1"/>
        <v>100</v>
      </c>
      <c r="V12" s="770" t="s">
        <v>17</v>
      </c>
      <c r="W12" s="771">
        <f t="shared" si="2"/>
        <v>100</v>
      </c>
      <c r="X12" s="772"/>
      <c r="Y12" s="3097"/>
      <c r="Z12" s="55" t="str">
        <f t="shared" si="7"/>
        <v>权属是否完整</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39"/>
      <c r="Q13" s="1795">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39"/>
      <c r="Q14" s="1795">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45" t="s">
        <v>2558</v>
      </c>
      <c r="Q15" s="1810" t="str">
        <f t="shared" si="6"/>
        <v>办公集聚程度</v>
      </c>
      <c r="R15" s="774" t="s">
        <v>17</v>
      </c>
      <c r="S15" s="775">
        <f t="shared" si="0"/>
        <v>100</v>
      </c>
      <c r="T15" s="774" t="s">
        <v>17</v>
      </c>
      <c r="U15" s="775">
        <f t="shared" si="1"/>
        <v>100</v>
      </c>
      <c r="V15" s="774" t="s">
        <v>17</v>
      </c>
      <c r="W15" s="775">
        <f t="shared" si="2"/>
        <v>100</v>
      </c>
      <c r="X15" s="1813"/>
      <c r="Y15" s="3247" t="s">
        <v>2558</v>
      </c>
      <c r="Z15" s="1814" t="str">
        <f t="shared" si="7"/>
        <v>办公集聚程度</v>
      </c>
      <c r="AA15" s="1811">
        <f t="shared" si="3"/>
        <v>1</v>
      </c>
      <c r="AB15" s="1811">
        <f t="shared" si="4"/>
        <v>1</v>
      </c>
      <c r="AC15" s="2674">
        <f t="shared" si="5"/>
        <v>1</v>
      </c>
    </row>
    <row r="16" spans="1:29" ht="15">
      <c r="A16" s="428"/>
      <c r="B16" s="630"/>
      <c r="C16" s="2611" t="s">
        <v>3215</v>
      </c>
      <c r="D16" s="448"/>
      <c r="E16" s="447" t="s">
        <v>3215</v>
      </c>
      <c r="F16" s="448"/>
      <c r="G16" s="2611" t="s">
        <v>3215</v>
      </c>
      <c r="H16" s="450"/>
      <c r="I16" s="447" t="s">
        <v>3215</v>
      </c>
      <c r="J16" s="448"/>
      <c r="K16" s="615"/>
      <c r="L16" s="1140"/>
      <c r="M16" s="1131"/>
      <c r="N16" s="1131"/>
      <c r="O16" s="1131"/>
      <c r="P16" s="3246"/>
      <c r="Q16" s="1810"/>
      <c r="R16" s="774"/>
      <c r="S16" s="775"/>
      <c r="T16" s="774"/>
      <c r="U16" s="775"/>
      <c r="V16" s="774"/>
      <c r="W16" s="775"/>
      <c r="X16" s="1813"/>
      <c r="Y16" s="3248"/>
      <c r="Z16" s="1814"/>
      <c r="AA16" s="1811">
        <v>1</v>
      </c>
      <c r="AB16" s="1811">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46"/>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2674">
        <f t="shared" si="5"/>
        <v>1</v>
      </c>
    </row>
    <row r="18" spans="1:29" ht="15">
      <c r="A18" s="428"/>
      <c r="B18" s="632"/>
      <c r="C18" s="2676" t="s">
        <v>3216</v>
      </c>
      <c r="D18" s="450"/>
      <c r="E18" s="2609" t="s">
        <v>3216</v>
      </c>
      <c r="F18" s="450"/>
      <c r="G18" s="2610" t="s">
        <v>3216</v>
      </c>
      <c r="H18" s="448"/>
      <c r="I18" s="2610" t="s">
        <v>3216</v>
      </c>
      <c r="J18" s="448"/>
      <c r="K18" s="615"/>
      <c r="L18" s="1140"/>
      <c r="M18" s="1131"/>
      <c r="N18" s="1131"/>
      <c r="O18" s="1131"/>
      <c r="P18" s="3246"/>
      <c r="Q18" s="1810"/>
      <c r="R18" s="774"/>
      <c r="S18" s="775"/>
      <c r="T18" s="774"/>
      <c r="U18" s="775"/>
      <c r="V18" s="774"/>
      <c r="W18" s="775"/>
      <c r="X18" s="1813"/>
      <c r="Y18" s="3248"/>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2674">
        <f t="shared" si="5"/>
        <v>1</v>
      </c>
    </row>
    <row r="20" spans="1:29" ht="15">
      <c r="A20" s="428"/>
      <c r="B20" s="632"/>
      <c r="C20" s="2611" t="s">
        <v>3216</v>
      </c>
      <c r="D20" s="448"/>
      <c r="E20" s="2604" t="s">
        <v>3216</v>
      </c>
      <c r="F20" s="448"/>
      <c r="G20" s="2605" t="s">
        <v>3216</v>
      </c>
      <c r="H20" s="448"/>
      <c r="I20" s="2605" t="s">
        <v>3216</v>
      </c>
      <c r="J20" s="448"/>
      <c r="K20" s="615"/>
      <c r="L20" s="1140"/>
      <c r="M20" s="1131"/>
      <c r="N20" s="1131"/>
      <c r="O20" s="1131"/>
      <c r="P20" s="3246"/>
      <c r="Q20" s="1810"/>
      <c r="R20" s="774"/>
      <c r="S20" s="775"/>
      <c r="T20" s="774"/>
      <c r="U20" s="775"/>
      <c r="V20" s="774"/>
      <c r="W20" s="775"/>
      <c r="X20" s="1813"/>
      <c r="Y20" s="3248"/>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2674">
        <f t="shared" ref="AC21" si="10">D21/J21</f>
        <v>1</v>
      </c>
    </row>
    <row r="22" spans="1:29" ht="15">
      <c r="A22" s="428"/>
      <c r="B22" s="633"/>
      <c r="C22" s="2676" t="s">
        <v>3231</v>
      </c>
      <c r="D22" s="448"/>
      <c r="E22" s="447" t="s">
        <v>3231</v>
      </c>
      <c r="F22" s="448"/>
      <c r="G22" s="2611" t="s">
        <v>3231</v>
      </c>
      <c r="H22" s="448"/>
      <c r="I22" s="2611" t="s">
        <v>3231</v>
      </c>
      <c r="J22" s="448"/>
      <c r="K22" s="1383"/>
      <c r="L22" s="1140"/>
      <c r="M22" s="1131"/>
      <c r="N22" s="1131"/>
      <c r="O22" s="1131"/>
      <c r="P22" s="3246"/>
      <c r="Q22" s="1810"/>
      <c r="R22" s="774"/>
      <c r="S22" s="775"/>
      <c r="T22" s="774"/>
      <c r="U22" s="775"/>
      <c r="V22" s="774"/>
      <c r="W22" s="775"/>
      <c r="X22" s="1813"/>
      <c r="Y22" s="3248"/>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SUMIF(85:85,C24,86:86)-SUMIF(85:85,C24,86:86)+100</f>
        <v>100</v>
      </c>
      <c r="K23" s="614">
        <v>2</v>
      </c>
      <c r="L23" s="1140"/>
      <c r="M23" s="1131"/>
      <c r="N23" s="1131"/>
      <c r="O23" s="1131"/>
      <c r="P23" s="3246"/>
      <c r="Q23" s="1810" t="str">
        <f>B23</f>
        <v>环境质量</v>
      </c>
      <c r="R23" s="774" t="s">
        <v>17</v>
      </c>
      <c r="S23" s="775">
        <f>F23</f>
        <v>100</v>
      </c>
      <c r="T23" s="774" t="s">
        <v>17</v>
      </c>
      <c r="U23" s="775">
        <f>H23</f>
        <v>100</v>
      </c>
      <c r="V23" s="774" t="s">
        <v>17</v>
      </c>
      <c r="W23" s="775">
        <f>J23</f>
        <v>100</v>
      </c>
      <c r="X23" s="1813"/>
      <c r="Y23" s="3248"/>
      <c r="Z23" s="1814" t="str">
        <f>Q23</f>
        <v>环境质量</v>
      </c>
      <c r="AA23" s="1811">
        <f t="shared" si="3"/>
        <v>1</v>
      </c>
      <c r="AB23" s="1811">
        <f t="shared" si="4"/>
        <v>1</v>
      </c>
      <c r="AC23" s="2674">
        <f t="shared" si="5"/>
        <v>1</v>
      </c>
    </row>
    <row r="24" spans="1:29" ht="15">
      <c r="A24" s="428"/>
      <c r="B24" s="633"/>
      <c r="C24" s="2611" t="s">
        <v>3216</v>
      </c>
      <c r="D24" s="448"/>
      <c r="E24" s="2604" t="s">
        <v>3216</v>
      </c>
      <c r="F24" s="448"/>
      <c r="G24" s="2605" t="s">
        <v>3216</v>
      </c>
      <c r="H24" s="448"/>
      <c r="I24" s="2605" t="s">
        <v>3216</v>
      </c>
      <c r="J24" s="448"/>
      <c r="K24" s="615"/>
      <c r="L24" s="1140"/>
      <c r="M24" s="1131"/>
      <c r="N24" s="1131"/>
      <c r="O24" s="1131"/>
      <c r="P24" s="3246"/>
      <c r="Q24" s="1810"/>
      <c r="R24" s="774"/>
      <c r="S24" s="775"/>
      <c r="T24" s="774"/>
      <c r="U24" s="775"/>
      <c r="V24" s="774"/>
      <c r="W24" s="775"/>
      <c r="X24" s="1813"/>
      <c r="Y24" s="3248"/>
      <c r="Z24" s="1814"/>
      <c r="AA24" s="1811">
        <v>1</v>
      </c>
      <c r="AB24" s="1811">
        <v>1</v>
      </c>
      <c r="AC24" s="2674">
        <v>1</v>
      </c>
    </row>
    <row r="25" spans="1:29" ht="27">
      <c r="A25" s="404"/>
      <c r="B25" s="631" t="s">
        <v>2689</v>
      </c>
      <c r="C25" s="2615"/>
      <c r="D25" s="435">
        <v>100</v>
      </c>
      <c r="E25" s="434"/>
      <c r="F25" s="435">
        <f>SUMIF(87:87,E26,88:88)-SUMIF(87:87,C26,88:88)+100</f>
        <v>102</v>
      </c>
      <c r="G25" s="2615"/>
      <c r="H25" s="435">
        <f>SUMIF(87:87,G26,88:88)-SUMIF(87:87,C26,88:88)+100</f>
        <v>100</v>
      </c>
      <c r="J25" s="435">
        <f>SUMIF(87:87,I26,88:88)-SUMIF(87:87,C26,88:88)+100</f>
        <v>100</v>
      </c>
      <c r="K25" s="614">
        <v>2</v>
      </c>
      <c r="L25" s="1140"/>
      <c r="M25" s="1131"/>
      <c r="N25" s="1131"/>
      <c r="O25" s="1131"/>
      <c r="P25" s="3246"/>
      <c r="Q25" s="1810" t="str">
        <f>B25</f>
        <v>毗邻道路的类型与等级</v>
      </c>
      <c r="R25" s="774" t="s">
        <v>17</v>
      </c>
      <c r="S25" s="775">
        <f>F25</f>
        <v>102</v>
      </c>
      <c r="T25" s="774" t="s">
        <v>17</v>
      </c>
      <c r="U25" s="775">
        <f>H25</f>
        <v>100</v>
      </c>
      <c r="V25" s="774" t="s">
        <v>17</v>
      </c>
      <c r="W25" s="775">
        <f>J25</f>
        <v>100</v>
      </c>
      <c r="X25" s="1813"/>
      <c r="Y25" s="3248"/>
      <c r="Z25" s="1814" t="str">
        <f>Q25</f>
        <v>毗邻道路的类型与等级</v>
      </c>
      <c r="AA25" s="1811">
        <f t="shared" si="3"/>
        <v>0.98039215686274506</v>
      </c>
      <c r="AB25" s="1811">
        <f t="shared" si="4"/>
        <v>1</v>
      </c>
      <c r="AC25" s="2674">
        <f t="shared" si="5"/>
        <v>1</v>
      </c>
    </row>
    <row r="26" spans="1:29" ht="15">
      <c r="A26" s="404"/>
      <c r="B26" s="632"/>
      <c r="C26" s="634" t="s">
        <v>3234</v>
      </c>
      <c r="D26" s="435"/>
      <c r="E26" s="616" t="s">
        <v>3233</v>
      </c>
      <c r="F26" s="435"/>
      <c r="G26" s="634" t="s">
        <v>3234</v>
      </c>
      <c r="H26" s="435"/>
      <c r="I26" s="616" t="s">
        <v>3234</v>
      </c>
      <c r="J26" s="435"/>
      <c r="K26" s="615"/>
      <c r="L26" s="1140"/>
      <c r="M26" s="1131"/>
      <c r="N26" s="1131"/>
      <c r="O26" s="1131"/>
      <c r="P26" s="3246"/>
      <c r="Q26" s="1810"/>
      <c r="R26" s="774"/>
      <c r="S26" s="775"/>
      <c r="T26" s="774"/>
      <c r="U26" s="775"/>
      <c r="V26" s="774"/>
      <c r="W26" s="775"/>
      <c r="X26" s="1813"/>
      <c r="Y26" s="3248"/>
      <c r="Z26" s="1814"/>
      <c r="AA26" s="1811">
        <v>1</v>
      </c>
      <c r="AB26" s="1811">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10" t="str">
        <f t="shared" ref="Q27:Q47" si="11">B27</f>
        <v>楼层</v>
      </c>
      <c r="R27" s="774" t="s">
        <v>17</v>
      </c>
      <c r="S27" s="775">
        <f>F27</f>
        <v>100</v>
      </c>
      <c r="T27" s="774" t="s">
        <v>17</v>
      </c>
      <c r="U27" s="775">
        <f>H27</f>
        <v>100</v>
      </c>
      <c r="V27" s="774" t="s">
        <v>17</v>
      </c>
      <c r="W27" s="775">
        <f>J27</f>
        <v>100</v>
      </c>
      <c r="X27" s="1813"/>
      <c r="Y27" s="3248"/>
      <c r="Z27" s="1814" t="str">
        <f>Q27</f>
        <v>楼层</v>
      </c>
      <c r="AA27" s="1811">
        <f t="shared" si="3"/>
        <v>1</v>
      </c>
      <c r="AB27" s="1811">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6"/>
      <c r="Q28" s="1795" t="str">
        <f t="shared" si="11"/>
        <v>朝向</v>
      </c>
      <c r="R28" s="770" t="s">
        <v>17</v>
      </c>
      <c r="S28" s="771">
        <f>F28</f>
        <v>100</v>
      </c>
      <c r="T28" s="770" t="s">
        <v>17</v>
      </c>
      <c r="U28" s="771">
        <f>H28</f>
        <v>100</v>
      </c>
      <c r="V28" s="770" t="s">
        <v>17</v>
      </c>
      <c r="W28" s="771">
        <f>J28</f>
        <v>100</v>
      </c>
      <c r="X28" s="772"/>
      <c r="Y28" s="3248"/>
      <c r="Z28" s="55" t="str">
        <f>Q28</f>
        <v>朝向</v>
      </c>
      <c r="AA28" s="1811">
        <f>D28/F28</f>
        <v>1</v>
      </c>
      <c r="AB28" s="1811">
        <f>D28/H28</f>
        <v>1</v>
      </c>
      <c r="AC28" s="2674">
        <f>D28/J28</f>
        <v>1</v>
      </c>
    </row>
    <row r="29" spans="1:29" ht="15.75" thickBot="1">
      <c r="A29" s="428"/>
      <c r="B29" s="2678" t="s">
        <v>3250</v>
      </c>
      <c r="C29" s="2615" t="s">
        <v>3251</v>
      </c>
      <c r="D29" s="435">
        <v>100</v>
      </c>
      <c r="E29" s="432" t="s">
        <v>3252</v>
      </c>
      <c r="F29" s="435">
        <f>SUMIF(93:93,E29,94:94)-SUMIF(93:93,C29,94:94)+100</f>
        <v>95</v>
      </c>
      <c r="G29" s="2672" t="s">
        <v>3253</v>
      </c>
      <c r="H29" s="435">
        <f>SUMIF(93:93,G29,94:94)-SUMIF(93:93,C29,94:94)+100</f>
        <v>95</v>
      </c>
      <c r="I29" s="432" t="s">
        <v>3252</v>
      </c>
      <c r="J29" s="435">
        <f>SUMIF(93:93,I29,94:94)-SUMIF(93:93,C29,94:94)+100</f>
        <v>95</v>
      </c>
      <c r="K29" s="613"/>
      <c r="L29" s="1140"/>
      <c r="M29" s="1131"/>
      <c r="N29" s="1131"/>
      <c r="O29" s="1131"/>
      <c r="P29" s="3246"/>
      <c r="Q29" s="1810" t="str">
        <f t="shared" si="11"/>
        <v>经营模式</v>
      </c>
      <c r="R29" s="774" t="s">
        <v>17</v>
      </c>
      <c r="S29" s="775">
        <f t="shared" ref="S29:S47" si="12">F29</f>
        <v>95</v>
      </c>
      <c r="T29" s="774" t="s">
        <v>17</v>
      </c>
      <c r="U29" s="775">
        <f t="shared" ref="U29:U47" si="13">H29</f>
        <v>95</v>
      </c>
      <c r="V29" s="774" t="s">
        <v>17</v>
      </c>
      <c r="W29" s="775">
        <f t="shared" ref="W29:W47" si="14">J29</f>
        <v>95</v>
      </c>
      <c r="X29" s="1813"/>
      <c r="Y29" s="3248"/>
      <c r="Z29" s="1814" t="str">
        <f t="shared" ref="Z29:Z47" si="15">Q29</f>
        <v>经营模式</v>
      </c>
      <c r="AA29" s="1811">
        <f t="shared" si="3"/>
        <v>1.0526315789473684</v>
      </c>
      <c r="AB29" s="1811">
        <f t="shared" si="4"/>
        <v>1.0526315789473684</v>
      </c>
      <c r="AC29" s="2674">
        <f t="shared" si="5"/>
        <v>1.0526315789473684</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48"/>
      <c r="Z30" s="1814">
        <f t="shared" si="15"/>
        <v>111</v>
      </c>
      <c r="AA30" s="1811">
        <f t="shared" si="3"/>
        <v>1</v>
      </c>
      <c r="AB30" s="1811">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48"/>
      <c r="Z31" s="1814">
        <f t="shared" si="15"/>
        <v>111</v>
      </c>
      <c r="AA31" s="1811">
        <f t="shared" si="3"/>
        <v>1</v>
      </c>
      <c r="AB31" s="1811">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6"/>
      <c r="Q32" s="1810">
        <f t="shared" si="11"/>
        <v>111</v>
      </c>
      <c r="R32" s="774" t="s">
        <v>17</v>
      </c>
      <c r="S32" s="775">
        <f t="shared" si="12"/>
        <v>100</v>
      </c>
      <c r="T32" s="774" t="s">
        <v>17</v>
      </c>
      <c r="U32" s="775">
        <f t="shared" si="13"/>
        <v>100</v>
      </c>
      <c r="V32" s="774" t="s">
        <v>17</v>
      </c>
      <c r="W32" s="775">
        <f t="shared" si="14"/>
        <v>100</v>
      </c>
      <c r="X32" s="1813"/>
      <c r="Y32" s="3248"/>
      <c r="Z32" s="1814">
        <f t="shared" si="15"/>
        <v>111</v>
      </c>
      <c r="AA32" s="1811">
        <f t="shared" si="3"/>
        <v>1</v>
      </c>
      <c r="AB32" s="1811">
        <f t="shared" si="4"/>
        <v>1</v>
      </c>
      <c r="AC32" s="2674">
        <f t="shared" si="5"/>
        <v>1</v>
      </c>
    </row>
    <row r="33" spans="1:29" ht="15">
      <c r="A33" s="440" t="s">
        <v>2561</v>
      </c>
      <c r="B33" s="71" t="s">
        <v>2691</v>
      </c>
      <c r="C33" s="2679" t="s">
        <v>3254</v>
      </c>
      <c r="D33" s="467">
        <v>100</v>
      </c>
      <c r="E33" s="2679" t="s">
        <v>3255</v>
      </c>
      <c r="F33" s="461">
        <f>SUMIF(101:101,E33,102:102)-SUMIF(101:101,C33,102:102)+100</f>
        <v>98</v>
      </c>
      <c r="G33" s="2679" t="s">
        <v>3255</v>
      </c>
      <c r="H33" s="435">
        <f>SUMIF(101:101,G33,102:102)-SUMIF(101:101,C33,102:102)+100</f>
        <v>98</v>
      </c>
      <c r="I33" s="2679" t="s">
        <v>3255</v>
      </c>
      <c r="J33" s="467">
        <f>SUMIF(101:101,I33,102:102)-SUMIF(101:101,C33,102:102)+100</f>
        <v>98</v>
      </c>
      <c r="K33" s="612">
        <v>2</v>
      </c>
      <c r="L33" s="1140"/>
      <c r="M33" s="1131"/>
      <c r="N33" s="1131"/>
      <c r="O33" s="1131"/>
      <c r="P33" s="3249" t="s">
        <v>2563</v>
      </c>
      <c r="Q33" s="1810" t="str">
        <f t="shared" si="11"/>
        <v>建筑类型</v>
      </c>
      <c r="R33" s="774" t="s">
        <v>17</v>
      </c>
      <c r="S33" s="775">
        <f t="shared" si="12"/>
        <v>98</v>
      </c>
      <c r="T33" s="774" t="s">
        <v>17</v>
      </c>
      <c r="U33" s="775">
        <f t="shared" si="13"/>
        <v>98</v>
      </c>
      <c r="V33" s="774" t="s">
        <v>17</v>
      </c>
      <c r="W33" s="775">
        <f t="shared" si="14"/>
        <v>98</v>
      </c>
      <c r="X33" s="1813"/>
      <c r="Y33" s="3252" t="s">
        <v>2563</v>
      </c>
      <c r="Z33" s="1814" t="str">
        <f t="shared" si="15"/>
        <v>建筑类型</v>
      </c>
      <c r="AA33" s="1811">
        <f t="shared" si="3"/>
        <v>1.0204081632653061</v>
      </c>
      <c r="AB33" s="1811">
        <f t="shared" si="4"/>
        <v>1.0204081632653061</v>
      </c>
      <c r="AC33" s="2674">
        <f t="shared" si="5"/>
        <v>1.0204081632653061</v>
      </c>
    </row>
    <row r="34" spans="1:29" s="471" customFormat="1" ht="15" hidden="1">
      <c r="A34" s="468"/>
      <c r="B34" s="422" t="s">
        <v>2564</v>
      </c>
      <c r="C34" s="469">
        <v>1</v>
      </c>
      <c r="D34" s="136">
        <v>100</v>
      </c>
      <c r="E34" s="430">
        <v>1</v>
      </c>
      <c r="F34" s="425">
        <f>LOOKUP(E34,104:104,105:105)-LOOKUP(C34,104:104,105:105)+100</f>
        <v>100</v>
      </c>
      <c r="G34" s="429">
        <v>1</v>
      </c>
      <c r="H34" s="136">
        <f>LOOKUP(G34,104:104,105:105)-LOOKUP(C34,104:104,105:105)+100</f>
        <v>100</v>
      </c>
      <c r="I34" s="429">
        <v>1</v>
      </c>
      <c r="J34" s="136">
        <f>LOOKUP(I34,104:104,105:105)-LOOKUP(C34,104:104,105:105)+100</f>
        <v>100</v>
      </c>
      <c r="K34" s="613"/>
      <c r="L34" s="1138"/>
      <c r="M34" s="1141"/>
      <c r="N34" s="1141"/>
      <c r="O34" s="1141"/>
      <c r="P34" s="3250"/>
      <c r="Q34" s="776" t="str">
        <f t="shared" si="11"/>
        <v>项目建筑规模</v>
      </c>
      <c r="R34" s="777" t="s">
        <v>17</v>
      </c>
      <c r="S34" s="778">
        <f t="shared" si="12"/>
        <v>100</v>
      </c>
      <c r="T34" s="777" t="s">
        <v>17</v>
      </c>
      <c r="U34" s="778">
        <f t="shared" si="13"/>
        <v>100</v>
      </c>
      <c r="V34" s="777" t="s">
        <v>17</v>
      </c>
      <c r="W34" s="778">
        <f t="shared" si="14"/>
        <v>100</v>
      </c>
      <c r="X34" s="779"/>
      <c r="Y34" s="3252"/>
      <c r="Z34" s="780" t="str">
        <f t="shared" si="15"/>
        <v>项目建筑规模</v>
      </c>
      <c r="AA34" s="1811">
        <f t="shared" si="3"/>
        <v>1</v>
      </c>
      <c r="AB34" s="1811">
        <f t="shared" si="4"/>
        <v>1</v>
      </c>
      <c r="AC34" s="2674">
        <f t="shared" si="5"/>
        <v>1</v>
      </c>
    </row>
    <row r="35" spans="1:29" ht="15" customHeight="1">
      <c r="A35" s="472"/>
      <c r="B35" s="422" t="s">
        <v>2565</v>
      </c>
      <c r="C35" s="460" t="s">
        <v>3248</v>
      </c>
      <c r="D35" s="435">
        <v>100</v>
      </c>
      <c r="E35" s="460" t="s">
        <v>3247</v>
      </c>
      <c r="F35" s="461">
        <f>SUMIF(106:106,E35,107:107)-SUMIF(106:106,C35,107:107)+100</f>
        <v>100</v>
      </c>
      <c r="G35" s="460" t="s">
        <v>3247</v>
      </c>
      <c r="H35" s="435">
        <f>SUMIF(106:106,G35,107:107)-SUMIF(106:106,C35,107:107)+100</f>
        <v>100</v>
      </c>
      <c r="I35" s="460" t="s">
        <v>3247</v>
      </c>
      <c r="J35" s="435">
        <f>SUMIF(106:106,I35,107:107)-SUMIF(106:106,C35,107:107)+100</f>
        <v>100</v>
      </c>
      <c r="K35" s="612"/>
      <c r="L35" s="1140"/>
      <c r="M35" s="1131"/>
      <c r="N35" s="1131"/>
      <c r="O35" s="1131"/>
      <c r="P35" s="3250"/>
      <c r="Q35" s="1810" t="str">
        <f t="shared" si="11"/>
        <v>建筑结构</v>
      </c>
      <c r="R35" s="774" t="s">
        <v>17</v>
      </c>
      <c r="S35" s="775">
        <f t="shared" si="12"/>
        <v>100</v>
      </c>
      <c r="T35" s="774" t="s">
        <v>17</v>
      </c>
      <c r="U35" s="775">
        <f t="shared" si="13"/>
        <v>100</v>
      </c>
      <c r="V35" s="774" t="s">
        <v>17</v>
      </c>
      <c r="W35" s="775">
        <f t="shared" si="14"/>
        <v>100</v>
      </c>
      <c r="X35" s="1813"/>
      <c r="Y35" s="3252"/>
      <c r="Z35" s="1814" t="str">
        <f t="shared" si="15"/>
        <v>建筑结构</v>
      </c>
      <c r="AA35" s="1811">
        <f t="shared" si="3"/>
        <v>1</v>
      </c>
      <c r="AB35" s="1811">
        <f t="shared" si="4"/>
        <v>1</v>
      </c>
      <c r="AC35" s="2674">
        <f t="shared" si="5"/>
        <v>1</v>
      </c>
    </row>
    <row r="36" spans="1:29" ht="15">
      <c r="A36" s="472"/>
      <c r="B36" s="422" t="s">
        <v>2659</v>
      </c>
      <c r="C36" s="460" t="s">
        <v>3245</v>
      </c>
      <c r="D36" s="435">
        <v>100</v>
      </c>
      <c r="E36" s="460" t="s">
        <v>3245</v>
      </c>
      <c r="F36" s="461">
        <f>SUMIF(108:108,E36,109:109)-SUMIF(108:108,C36,109:109)+100</f>
        <v>100</v>
      </c>
      <c r="G36" s="460" t="s">
        <v>3245</v>
      </c>
      <c r="H36" s="435">
        <f>SUMIF(108:108,G36,109:109)-SUMIF(108:108,C36,109:109)+100</f>
        <v>100</v>
      </c>
      <c r="I36" s="460" t="s">
        <v>3245</v>
      </c>
      <c r="J36" s="435">
        <f>SUMIF(108:108,I36,109:109)-SUMIF(108:108,C36,109:109)+100</f>
        <v>100</v>
      </c>
      <c r="K36" s="612"/>
      <c r="L36" s="1140"/>
      <c r="M36" s="1131"/>
      <c r="N36" s="1131"/>
      <c r="O36" s="1131"/>
      <c r="P36" s="3250"/>
      <c r="Q36" s="1810" t="str">
        <f t="shared" si="11"/>
        <v>公共部分装修</v>
      </c>
      <c r="R36" s="774" t="s">
        <v>17</v>
      </c>
      <c r="S36" s="775">
        <f t="shared" si="12"/>
        <v>100</v>
      </c>
      <c r="T36" s="774" t="s">
        <v>17</v>
      </c>
      <c r="U36" s="775">
        <f t="shared" si="13"/>
        <v>100</v>
      </c>
      <c r="V36" s="774" t="s">
        <v>17</v>
      </c>
      <c r="W36" s="775">
        <f t="shared" si="14"/>
        <v>100</v>
      </c>
      <c r="X36" s="1813"/>
      <c r="Y36" s="3252"/>
      <c r="Z36" s="1814" t="str">
        <f t="shared" si="15"/>
        <v>公共部分装修</v>
      </c>
      <c r="AA36" s="1811">
        <f t="shared" si="3"/>
        <v>1</v>
      </c>
      <c r="AB36" s="1811">
        <f t="shared" si="4"/>
        <v>1</v>
      </c>
      <c r="AC36" s="2674">
        <f t="shared" si="5"/>
        <v>1</v>
      </c>
    </row>
    <row r="37" spans="1:29" ht="15" hidden="1">
      <c r="A37" s="472"/>
      <c r="B37" s="422" t="s">
        <v>2660</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50"/>
      <c r="Q37" s="1810" t="str">
        <f t="shared" si="11"/>
        <v>成新度</v>
      </c>
      <c r="R37" s="774" t="s">
        <v>17</v>
      </c>
      <c r="S37" s="775">
        <f t="shared" si="12"/>
        <v>100</v>
      </c>
      <c r="T37" s="774" t="s">
        <v>17</v>
      </c>
      <c r="U37" s="775">
        <f t="shared" si="13"/>
        <v>100</v>
      </c>
      <c r="V37" s="774" t="s">
        <v>17</v>
      </c>
      <c r="W37" s="775">
        <f t="shared" si="14"/>
        <v>100</v>
      </c>
      <c r="X37" s="1813"/>
      <c r="Y37" s="3252"/>
      <c r="Z37" s="1814" t="str">
        <f t="shared" si="15"/>
        <v>成新度</v>
      </c>
      <c r="AA37" s="1811">
        <f t="shared" si="3"/>
        <v>1</v>
      </c>
      <c r="AB37" s="1811">
        <f t="shared" si="4"/>
        <v>1</v>
      </c>
      <c r="AC37" s="2674">
        <f t="shared" si="5"/>
        <v>1</v>
      </c>
    </row>
    <row r="38" spans="1:29" s="117" customFormat="1" ht="15" hidden="1">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95" t="str">
        <f t="shared" si="11"/>
        <v>写字楼等级</v>
      </c>
      <c r="R38" s="770" t="s">
        <v>17</v>
      </c>
      <c r="S38" s="771">
        <f t="shared" si="12"/>
        <v>100</v>
      </c>
      <c r="T38" s="770" t="s">
        <v>17</v>
      </c>
      <c r="U38" s="771">
        <f t="shared" si="13"/>
        <v>100</v>
      </c>
      <c r="V38" s="770" t="s">
        <v>17</v>
      </c>
      <c r="W38" s="771">
        <f t="shared" si="14"/>
        <v>100</v>
      </c>
      <c r="X38" s="772"/>
      <c r="Y38" s="3252"/>
      <c r="Z38" s="55" t="str">
        <f t="shared" si="15"/>
        <v>写字楼等级</v>
      </c>
      <c r="AA38" s="773">
        <f t="shared" si="3"/>
        <v>1</v>
      </c>
      <c r="AB38" s="773">
        <f t="shared" si="4"/>
        <v>1</v>
      </c>
      <c r="AC38" s="2671">
        <f t="shared" si="5"/>
        <v>1</v>
      </c>
    </row>
    <row r="39" spans="1:29" ht="15">
      <c r="A39" s="472"/>
      <c r="B39" s="422" t="s">
        <v>2693</v>
      </c>
      <c r="C39" s="460" t="s">
        <v>3238</v>
      </c>
      <c r="D39" s="435">
        <v>100</v>
      </c>
      <c r="E39" s="460" t="s">
        <v>3237</v>
      </c>
      <c r="F39" s="461">
        <f>SUMIF(115:115,E39,116:116)-SUMIF(115:115,C39,116:116)+100</f>
        <v>101</v>
      </c>
      <c r="G39" s="460" t="s">
        <v>3237</v>
      </c>
      <c r="H39" s="435">
        <f>SUMIF(115:115,G39,116:116)-SUMIF(115:115,C39,116:116)+100</f>
        <v>101</v>
      </c>
      <c r="I39" s="460" t="s">
        <v>3237</v>
      </c>
      <c r="J39" s="435">
        <f>SUMIF(115:115,I39,116:116)-SUMIF(115:115,C39,116:116)+100</f>
        <v>101</v>
      </c>
      <c r="K39" s="612">
        <v>1</v>
      </c>
      <c r="L39" s="1140"/>
      <c r="M39" s="1131"/>
      <c r="N39" s="1131"/>
      <c r="O39" s="1131"/>
      <c r="P39" s="3250" t="s">
        <v>2563</v>
      </c>
      <c r="Q39" s="1810" t="str">
        <f t="shared" si="11"/>
        <v>物业管理</v>
      </c>
      <c r="R39" s="774" t="s">
        <v>17</v>
      </c>
      <c r="S39" s="775">
        <f t="shared" si="12"/>
        <v>101</v>
      </c>
      <c r="T39" s="774" t="s">
        <v>17</v>
      </c>
      <c r="U39" s="775">
        <f t="shared" si="13"/>
        <v>101</v>
      </c>
      <c r="V39" s="774" t="s">
        <v>17</v>
      </c>
      <c r="W39" s="775">
        <f t="shared" si="14"/>
        <v>101</v>
      </c>
      <c r="X39" s="1813"/>
      <c r="Y39" s="3252" t="s">
        <v>2563</v>
      </c>
      <c r="Z39" s="1814" t="str">
        <f t="shared" si="15"/>
        <v>物业管理</v>
      </c>
      <c r="AA39" s="1811">
        <f t="shared" si="3"/>
        <v>0.99009900990099009</v>
      </c>
      <c r="AB39" s="1811">
        <f t="shared" si="4"/>
        <v>0.99009900990099009</v>
      </c>
      <c r="AC39" s="2674">
        <f t="shared" si="5"/>
        <v>0.99009900990099009</v>
      </c>
    </row>
    <row r="40" spans="1:29" ht="15">
      <c r="A40" s="472"/>
      <c r="B40" s="422" t="s">
        <v>2661</v>
      </c>
      <c r="C40" s="460" t="s">
        <v>3240</v>
      </c>
      <c r="D40" s="435">
        <v>100</v>
      </c>
      <c r="E40" s="460" t="s">
        <v>3240</v>
      </c>
      <c r="F40" s="461">
        <f>SUMIF(117:117,E40,118:118)-SUMIF(117:117,C40,118:118)+100</f>
        <v>100</v>
      </c>
      <c r="G40" s="460" t="s">
        <v>3240</v>
      </c>
      <c r="H40" s="435">
        <f>SUMIF(117:117,G40,118:118)-SUMIF(117:117,C40,118:118)+100</f>
        <v>100</v>
      </c>
      <c r="I40" s="460" t="s">
        <v>3240</v>
      </c>
      <c r="J40" s="435">
        <f>SUMIF(117:117,I40,118:118)-SUMIF(117:117,C40,118:118)+100</f>
        <v>100</v>
      </c>
      <c r="K40" s="612"/>
      <c r="L40" s="1140"/>
      <c r="M40" s="1131"/>
      <c r="N40" s="1131"/>
      <c r="O40" s="1131"/>
      <c r="P40" s="3250"/>
      <c r="Q40" s="1810" t="str">
        <f t="shared" si="11"/>
        <v>市政基础设施</v>
      </c>
      <c r="R40" s="774" t="s">
        <v>17</v>
      </c>
      <c r="S40" s="775">
        <f t="shared" si="12"/>
        <v>100</v>
      </c>
      <c r="T40" s="774" t="s">
        <v>17</v>
      </c>
      <c r="U40" s="775">
        <f t="shared" si="13"/>
        <v>100</v>
      </c>
      <c r="V40" s="774" t="s">
        <v>17</v>
      </c>
      <c r="W40" s="775">
        <f t="shared" si="14"/>
        <v>100</v>
      </c>
      <c r="X40" s="1813"/>
      <c r="Y40" s="3252"/>
      <c r="Z40" s="1814" t="str">
        <f t="shared" si="15"/>
        <v>市政基础设施</v>
      </c>
      <c r="AA40" s="1811">
        <f t="shared" si="3"/>
        <v>1</v>
      </c>
      <c r="AB40" s="1811">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10" t="str">
        <f t="shared" si="11"/>
        <v>层高</v>
      </c>
      <c r="R41" s="774" t="s">
        <v>17</v>
      </c>
      <c r="S41" s="775">
        <f t="shared" si="12"/>
        <v>100</v>
      </c>
      <c r="T41" s="774" t="s">
        <v>17</v>
      </c>
      <c r="U41" s="775">
        <f t="shared" si="13"/>
        <v>100</v>
      </c>
      <c r="V41" s="774" t="s">
        <v>17</v>
      </c>
      <c r="W41" s="775">
        <f t="shared" si="14"/>
        <v>100</v>
      </c>
      <c r="X41" s="1813"/>
      <c r="Y41" s="3252"/>
      <c r="Z41" s="1814" t="str">
        <f t="shared" si="15"/>
        <v>层高</v>
      </c>
      <c r="AA41" s="1811">
        <f t="shared" si="3"/>
        <v>1</v>
      </c>
      <c r="AB41" s="1811">
        <f t="shared" si="4"/>
        <v>1</v>
      </c>
      <c r="AC41" s="2674">
        <f t="shared" si="5"/>
        <v>1</v>
      </c>
    </row>
    <row r="42" spans="1:29" s="471" customFormat="1" ht="15">
      <c r="A42" s="468"/>
      <c r="B42" s="1812" t="s">
        <v>2694</v>
      </c>
      <c r="C42" s="434">
        <v>8426.91</v>
      </c>
      <c r="D42" s="435">
        <v>100</v>
      </c>
      <c r="E42" s="434">
        <v>46</v>
      </c>
      <c r="F42" s="461">
        <f>SUMIF(121:121,E42,122:122)-SUMIF(121:121,C42,122:122)+100</f>
        <v>105</v>
      </c>
      <c r="G42" s="434">
        <v>76.16</v>
      </c>
      <c r="H42" s="435">
        <f>SUMIF(121:121,G42,122:122)-SUMIF(121:121,C42,122:122)+100</f>
        <v>105</v>
      </c>
      <c r="I42" s="434">
        <v>41</v>
      </c>
      <c r="J42" s="435">
        <f>SUMIF(121:121,I42,122:122)-SUMIF(121:121,C42,122:122)+100</f>
        <v>105</v>
      </c>
      <c r="K42" s="613"/>
      <c r="L42" s="1138"/>
      <c r="M42" s="1141"/>
      <c r="N42" s="1141"/>
      <c r="O42" s="1141"/>
      <c r="P42" s="3250"/>
      <c r="Q42" s="776" t="str">
        <f t="shared" si="11"/>
        <v>单套建筑面积</v>
      </c>
      <c r="R42" s="777" t="s">
        <v>17</v>
      </c>
      <c r="S42" s="778">
        <f t="shared" si="12"/>
        <v>105</v>
      </c>
      <c r="T42" s="777" t="s">
        <v>17</v>
      </c>
      <c r="U42" s="778">
        <f t="shared" si="13"/>
        <v>105</v>
      </c>
      <c r="V42" s="777" t="s">
        <v>17</v>
      </c>
      <c r="W42" s="778">
        <f t="shared" si="14"/>
        <v>105</v>
      </c>
      <c r="X42" s="779"/>
      <c r="Y42" s="3252"/>
      <c r="Z42" s="780" t="str">
        <f t="shared" si="15"/>
        <v>单套建筑面积</v>
      </c>
      <c r="AA42" s="1811">
        <f t="shared" si="3"/>
        <v>0.95238095238095233</v>
      </c>
      <c r="AB42" s="1811">
        <f t="shared" si="4"/>
        <v>0.95238095238095233</v>
      </c>
      <c r="AC42" s="2674">
        <f t="shared" si="5"/>
        <v>0.95238095238095233</v>
      </c>
    </row>
    <row r="43" spans="1:29" ht="15">
      <c r="A43" s="472"/>
      <c r="B43" s="422" t="s">
        <v>2666</v>
      </c>
      <c r="C43" s="460" t="s">
        <v>3245</v>
      </c>
      <c r="D43" s="435">
        <v>100</v>
      </c>
      <c r="E43" s="460" t="s">
        <v>3245</v>
      </c>
      <c r="F43" s="461">
        <f>SUMIF(123:123,E43,124:124)-SUMIF(123:123,C43,124:124)+100</f>
        <v>100</v>
      </c>
      <c r="G43" s="460" t="s">
        <v>3245</v>
      </c>
      <c r="H43" s="435">
        <f>SUMIF(123:123,G43,124:124)-SUMIF(123:123,C43,124:124)+100</f>
        <v>100</v>
      </c>
      <c r="I43" s="460" t="s">
        <v>3245</v>
      </c>
      <c r="J43" s="435">
        <f>SUMIF(123:123,I43,124:124)-SUMIF(123:123,C43,124:124)+100</f>
        <v>100</v>
      </c>
      <c r="K43" s="612"/>
      <c r="L43" s="1140"/>
      <c r="M43" s="1131"/>
      <c r="N43" s="1131"/>
      <c r="O43" s="1131"/>
      <c r="P43" s="3250"/>
      <c r="Q43" s="1810" t="str">
        <f t="shared" si="11"/>
        <v>内部装修</v>
      </c>
      <c r="R43" s="774" t="s">
        <v>17</v>
      </c>
      <c r="S43" s="775">
        <f t="shared" si="12"/>
        <v>100</v>
      </c>
      <c r="T43" s="774" t="s">
        <v>17</v>
      </c>
      <c r="U43" s="775">
        <f t="shared" si="13"/>
        <v>100</v>
      </c>
      <c r="V43" s="774" t="s">
        <v>17</v>
      </c>
      <c r="W43" s="775">
        <f t="shared" si="14"/>
        <v>100</v>
      </c>
      <c r="X43" s="1813"/>
      <c r="Y43" s="3252"/>
      <c r="Z43" s="1814" t="str">
        <f t="shared" si="15"/>
        <v>内部装修</v>
      </c>
      <c r="AA43" s="1811">
        <f t="shared" si="3"/>
        <v>1</v>
      </c>
      <c r="AB43" s="1811">
        <f t="shared" si="4"/>
        <v>1</v>
      </c>
      <c r="AC43" s="2674">
        <f t="shared" si="5"/>
        <v>1</v>
      </c>
    </row>
    <row r="44" spans="1:29" ht="15">
      <c r="A44" s="472"/>
      <c r="B44" s="422" t="s">
        <v>2574</v>
      </c>
      <c r="C44" s="460" t="s">
        <v>3215</v>
      </c>
      <c r="D44" s="435">
        <v>100</v>
      </c>
      <c r="E44" s="2613" t="s">
        <v>3217</v>
      </c>
      <c r="F44" s="461">
        <f>SUMIF(125:125,E44,126:126)-SUMIF(125:125,C44,126:126)+100</f>
        <v>104</v>
      </c>
      <c r="G44" s="2613" t="s">
        <v>3217</v>
      </c>
      <c r="H44" s="435">
        <f>SUMIF(125:125,G44,126:126)-SUMIF(125:125,C44,126:126)+100</f>
        <v>104</v>
      </c>
      <c r="I44" s="2613" t="s">
        <v>3217</v>
      </c>
      <c r="J44" s="435">
        <f>SUMIF(125:125,I44,126:126)-SUMIF(125:125,C44,126:126)+100</f>
        <v>104</v>
      </c>
      <c r="K44" s="612">
        <v>2</v>
      </c>
      <c r="L44" s="1140"/>
      <c r="M44" s="1131"/>
      <c r="N44" s="1131"/>
      <c r="O44" s="1131"/>
      <c r="P44" s="3250"/>
      <c r="Q44" s="1810" t="str">
        <f t="shared" si="11"/>
        <v>内部装修维护情况</v>
      </c>
      <c r="R44" s="774" t="s">
        <v>17</v>
      </c>
      <c r="S44" s="775">
        <f t="shared" si="12"/>
        <v>104</v>
      </c>
      <c r="T44" s="774" t="s">
        <v>17</v>
      </c>
      <c r="U44" s="775">
        <f t="shared" si="13"/>
        <v>104</v>
      </c>
      <c r="V44" s="774" t="s">
        <v>17</v>
      </c>
      <c r="W44" s="775">
        <f t="shared" si="14"/>
        <v>104</v>
      </c>
      <c r="X44" s="1813"/>
      <c r="Y44" s="3252"/>
      <c r="Z44" s="1814" t="str">
        <f t="shared" si="15"/>
        <v>内部装修维护情况</v>
      </c>
      <c r="AA44" s="1811">
        <f t="shared" si="3"/>
        <v>0.96153846153846156</v>
      </c>
      <c r="AB44" s="1811">
        <f t="shared" si="4"/>
        <v>0.96153846153846156</v>
      </c>
      <c r="AC44" s="2674">
        <f t="shared" si="5"/>
        <v>0.96153846153846156</v>
      </c>
    </row>
    <row r="45" spans="1:29" s="117" customFormat="1" ht="15">
      <c r="A45" s="473"/>
      <c r="B45" s="1386" t="s">
        <v>3262</v>
      </c>
      <c r="C45" s="469">
        <v>1995</v>
      </c>
      <c r="D45" s="136">
        <v>100</v>
      </c>
      <c r="E45" s="432">
        <v>2015</v>
      </c>
      <c r="F45" s="425">
        <f>SUMIF(127:127,E45,128:128)-SUMIF(127:127,C45,128:128)+100</f>
        <v>102</v>
      </c>
      <c r="G45" s="432">
        <v>2007</v>
      </c>
      <c r="H45" s="136">
        <f>SUMIF(127:127,G45,128:128)-SUMIF(127:127,C45,128:128)+100</f>
        <v>101.2</v>
      </c>
      <c r="I45" s="432">
        <v>2019</v>
      </c>
      <c r="J45" s="136">
        <f>SUMIF(127:127,I45,128:128)-SUMIF(127:127,C45,128:128)+100</f>
        <v>102.4</v>
      </c>
      <c r="K45" s="613"/>
      <c r="L45" s="1132"/>
      <c r="M45" s="1133"/>
      <c r="N45" s="1133"/>
      <c r="O45" s="1133"/>
      <c r="P45" s="3250"/>
      <c r="Q45" s="1795" t="str">
        <f t="shared" si="11"/>
        <v>建成年代</v>
      </c>
      <c r="R45" s="770" t="s">
        <v>17</v>
      </c>
      <c r="S45" s="771">
        <f t="shared" si="12"/>
        <v>102</v>
      </c>
      <c r="T45" s="770" t="s">
        <v>17</v>
      </c>
      <c r="U45" s="771">
        <f t="shared" si="13"/>
        <v>101.2</v>
      </c>
      <c r="V45" s="770" t="s">
        <v>17</v>
      </c>
      <c r="W45" s="771">
        <f t="shared" si="14"/>
        <v>102.4</v>
      </c>
      <c r="X45" s="772"/>
      <c r="Y45" s="3252"/>
      <c r="Z45" s="55" t="str">
        <f t="shared" si="15"/>
        <v>建成年代</v>
      </c>
      <c r="AA45" s="773">
        <f t="shared" si="3"/>
        <v>0.98039215686274506</v>
      </c>
      <c r="AB45" s="773">
        <f t="shared" si="4"/>
        <v>0.98814229249011853</v>
      </c>
      <c r="AC45" s="2671">
        <f t="shared" si="5"/>
        <v>0.9765625</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10">
        <f t="shared" si="11"/>
        <v>111</v>
      </c>
      <c r="R46" s="774" t="s">
        <v>17</v>
      </c>
      <c r="S46" s="775">
        <f t="shared" si="12"/>
        <v>100</v>
      </c>
      <c r="T46" s="774" t="s">
        <v>17</v>
      </c>
      <c r="U46" s="775">
        <f t="shared" si="13"/>
        <v>100</v>
      </c>
      <c r="V46" s="774" t="s">
        <v>17</v>
      </c>
      <c r="W46" s="775">
        <f t="shared" si="14"/>
        <v>100</v>
      </c>
      <c r="X46" s="1813"/>
      <c r="Y46" s="3252"/>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10">
        <f t="shared" si="11"/>
        <v>111</v>
      </c>
      <c r="R47" s="774" t="s">
        <v>17</v>
      </c>
      <c r="S47" s="775">
        <f t="shared" si="12"/>
        <v>100</v>
      </c>
      <c r="T47" s="774" t="s">
        <v>17</v>
      </c>
      <c r="U47" s="775">
        <f t="shared" si="13"/>
        <v>100</v>
      </c>
      <c r="V47" s="774" t="s">
        <v>17</v>
      </c>
      <c r="W47" s="775">
        <f t="shared" si="14"/>
        <v>100</v>
      </c>
      <c r="X47" s="1813"/>
      <c r="Y47" s="3253"/>
      <c r="Z47" s="1814">
        <f t="shared" si="15"/>
        <v>111</v>
      </c>
      <c r="AA47" s="1811">
        <f t="shared" si="3"/>
        <v>1</v>
      </c>
      <c r="AB47" s="1811">
        <f t="shared" si="4"/>
        <v>1</v>
      </c>
      <c r="AC47" s="2674">
        <f t="shared" si="5"/>
        <v>1</v>
      </c>
    </row>
    <row r="48" spans="1:29" ht="15">
      <c r="A48" s="479" t="s">
        <v>2575</v>
      </c>
      <c r="B48" s="480"/>
      <c r="C48" s="1407" t="s">
        <v>1</v>
      </c>
      <c r="D48" s="1408"/>
      <c r="E48" s="1409">
        <f>ROUND(2.03*C72/100,2)</f>
        <v>1.91</v>
      </c>
      <c r="F48" s="1410"/>
      <c r="G48" s="1411">
        <f>ROUND(2*C72/100,2)</f>
        <v>1.88</v>
      </c>
      <c r="H48" s="1412"/>
      <c r="I48" s="1409">
        <f>ROUND(2.2*C72/100,2)</f>
        <v>2.0699999999999998</v>
      </c>
      <c r="J48" s="485"/>
      <c r="K48" s="783"/>
      <c r="L48" s="1143"/>
      <c r="M48" s="1131"/>
      <c r="N48" s="1131"/>
      <c r="O48" s="1131"/>
      <c r="P48" s="3239" t="str">
        <f>A48</f>
        <v>成交单价（元/平方米）</v>
      </c>
      <c r="Q48" s="3240"/>
      <c r="R48" s="3241">
        <f>E48</f>
        <v>1.91</v>
      </c>
      <c r="S48" s="3241"/>
      <c r="T48" s="3241">
        <f>G48</f>
        <v>1.88</v>
      </c>
      <c r="U48" s="3241"/>
      <c r="V48" s="3241">
        <f>I48</f>
        <v>2.0699999999999998</v>
      </c>
      <c r="W48" s="3241"/>
      <c r="X48" s="446"/>
      <c r="Y48" s="781"/>
      <c r="Z48" s="446"/>
      <c r="AA48" s="446"/>
      <c r="AB48" s="446"/>
      <c r="AC48" s="630"/>
    </row>
    <row r="49" spans="1:29" ht="15.75" thickBot="1">
      <c r="A49" s="486" t="s">
        <v>2667</v>
      </c>
      <c r="B49" s="487"/>
      <c r="C49" s="1413">
        <f>R50</f>
        <v>1.8</v>
      </c>
      <c r="D49" s="1414"/>
      <c r="E49" s="1415">
        <f>R49</f>
        <v>1.8</v>
      </c>
      <c r="F49" s="1415"/>
      <c r="G49" s="1413">
        <f>T49</f>
        <v>1.8</v>
      </c>
      <c r="H49" s="1414"/>
      <c r="I49" s="1415">
        <f>V49</f>
        <v>1.9</v>
      </c>
      <c r="J49" s="489"/>
      <c r="K49" s="784"/>
      <c r="L49" s="1143"/>
      <c r="M49" s="1131"/>
      <c r="N49" s="1131"/>
      <c r="O49" s="1131"/>
      <c r="P49" s="3239" t="str">
        <f>A49</f>
        <v>比较价值（元/平方米）</v>
      </c>
      <c r="Q49" s="3240"/>
      <c r="R49" s="3241">
        <f>IF(F1="售价",ROUND(PRODUCT(R48,AA7:AA47),0),ROUND(PRODUCT(R48,AA7:AA47),1))</f>
        <v>1.8</v>
      </c>
      <c r="S49" s="3241"/>
      <c r="T49" s="3241">
        <f>IF(F1="售价",ROUND(PRODUCT(T48,AB7:AB47),0),ROUND(PRODUCT(T48,AB7:AB47),1))</f>
        <v>1.8</v>
      </c>
      <c r="U49" s="3241"/>
      <c r="V49" s="3241">
        <f>IF(F1="售价",ROUND(PRODUCT(V48,AC7:AC47),0),ROUND(PRODUCT(V48,AC7:AC47),1))</f>
        <v>1.9</v>
      </c>
      <c r="W49" s="3241"/>
      <c r="X49" s="446"/>
      <c r="Y49" s="446"/>
      <c r="Z49" s="446"/>
      <c r="AA49" s="446"/>
      <c r="AB49" s="446"/>
      <c r="AC49" s="630"/>
    </row>
    <row r="50" spans="1:29" ht="15.75" thickBot="1">
      <c r="A50" s="492" t="s">
        <v>2668</v>
      </c>
      <c r="B50" s="493"/>
      <c r="C50" s="1417">
        <f>R50</f>
        <v>1.8</v>
      </c>
      <c r="D50" s="1417"/>
      <c r="E50" s="1417"/>
      <c r="F50" s="1417"/>
      <c r="G50" s="1417"/>
      <c r="H50" s="1417"/>
      <c r="I50" s="1417"/>
      <c r="J50" s="494"/>
      <c r="K50" s="785"/>
      <c r="L50" s="1143"/>
      <c r="M50" s="1131"/>
      <c r="N50" s="1131"/>
      <c r="O50" s="1131"/>
      <c r="P50" s="3242" t="str">
        <f>A50</f>
        <v>估价对象XX用房的比较价值（楼面单价，元/平方米）</v>
      </c>
      <c r="Q50" s="3243"/>
      <c r="R50" s="3244">
        <f>IF(F1="售价",ROUND(AVERAGE(R49:V49),0),ROUND(AVERAGE(R49:V49),1))</f>
        <v>1.8</v>
      </c>
      <c r="S50" s="3244"/>
      <c r="T50" s="3244"/>
      <c r="U50" s="3244"/>
      <c r="V50" s="3244"/>
      <c r="W50" s="324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6.1111111111111116E-2</v>
      </c>
      <c r="F53" s="500" t="str">
        <f>IF(OR(E53&gt;=0.3,E53&lt;=-0.3),"超过30%","")</f>
        <v/>
      </c>
      <c r="G53" s="499">
        <f>IF(G48&lt;G49,G49/G48-1,G48/G49-1)</f>
        <v>4.4444444444444287E-2</v>
      </c>
      <c r="H53" s="500" t="str">
        <f>IF(OR(G53&gt;=0.3,G53&lt;=-0.3),"超过30%","")</f>
        <v/>
      </c>
      <c r="I53" s="499">
        <f>IF(I48&lt;I49,I49/I48-1,I48/I49-1)</f>
        <v>8.9473684210526372E-2</v>
      </c>
      <c r="J53" s="500" t="str">
        <f>IF(OR(I53&gt;=0.3,I53&lt;=-0.3),"超过30%","")</f>
        <v/>
      </c>
      <c r="K53" s="1105"/>
      <c r="L53" s="1106"/>
      <c r="M53" s="1144"/>
      <c r="N53" s="1144"/>
      <c r="O53" s="1144"/>
    </row>
    <row r="54" spans="1:29" ht="13.5" customHeight="1">
      <c r="A54" s="1144"/>
      <c r="B54" s="1144"/>
      <c r="C54" s="497" t="s">
        <v>2670</v>
      </c>
      <c r="D54" s="501"/>
      <c r="E54" s="499">
        <f>IF(E49&lt;G49,G49/E49-1,E49/G49-1)</f>
        <v>0</v>
      </c>
      <c r="F54" s="500" t="str">
        <f>IF(OR(E54&gt;=0.2,E54&lt;=-0.2),"超过20%","")</f>
        <v/>
      </c>
      <c r="G54" s="499">
        <f>IF(G49&lt;I49,I49/G49-1,G49/I49-1)</f>
        <v>5.555555555555558E-2</v>
      </c>
      <c r="H54" s="500" t="str">
        <f>IF(OR(G54&gt;=0.2,G54&lt;=-0.2),"超过20%","")</f>
        <v/>
      </c>
      <c r="I54" s="499">
        <f>IF(I49&lt;E49,E49/I49-1,I49/E49-1)</f>
        <v>5.555555555555558E-2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1.5957446808510634E-2</v>
      </c>
      <c r="F55" s="500" t="str">
        <f>IF(OR(E55&gt;=0.3,E55&lt;=-0.3),"超过30%","")</f>
        <v/>
      </c>
      <c r="G55" s="499">
        <f>IF(G48&lt;I48,I48/G48-1,G48/I48-1)</f>
        <v>0.10106382978723394</v>
      </c>
      <c r="H55" s="500" t="str">
        <f>IF(OR(G55&gt;=0.3,G55&lt;=-0.3),"超过30%","")</f>
        <v/>
      </c>
      <c r="I55" s="499">
        <f>IF(I48&lt;E48,E48/I48-1,I48/E48-1)</f>
        <v>8.3769633507853269E-2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t="s">
        <v>3225</v>
      </c>
      <c r="E62" s="523"/>
      <c r="F62" s="523"/>
      <c r="G62" s="523"/>
      <c r="H62" s="523"/>
      <c r="I62" s="523"/>
      <c r="J62" s="523"/>
      <c r="K62" s="523"/>
      <c r="L62" s="524"/>
      <c r="M62" s="525"/>
      <c r="N62" s="1151"/>
      <c r="O62" s="1151"/>
      <c r="P62" s="2683"/>
      <c r="Q62" s="504"/>
    </row>
    <row r="63" spans="1:29" s="117" customFormat="1" ht="15.75" thickBot="1">
      <c r="A63" s="521"/>
      <c r="B63" s="510"/>
      <c r="C63" s="511">
        <v>100</v>
      </c>
      <c r="D63" s="512">
        <v>101</v>
      </c>
      <c r="E63" s="512"/>
      <c r="F63" s="512"/>
      <c r="G63" s="512"/>
      <c r="H63" s="512"/>
      <c r="I63" s="512"/>
      <c r="J63" s="512"/>
      <c r="K63" s="512"/>
      <c r="L63" s="512"/>
      <c r="M63" s="514"/>
      <c r="N63" s="1151"/>
      <c r="O63" s="1151"/>
      <c r="P63" s="2682"/>
      <c r="Q63" s="504"/>
    </row>
    <row r="64" spans="1:29">
      <c r="A64" s="527" t="s">
        <v>2586</v>
      </c>
      <c r="B64" s="528" t="s">
        <v>2552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2556</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t="str">
        <f>B12</f>
        <v>权属是否完整</v>
      </c>
      <c r="C71" s="3051" t="s">
        <v>3268</v>
      </c>
      <c r="D71" s="3051" t="s">
        <v>3269</v>
      </c>
      <c r="E71" s="554"/>
      <c r="F71" s="554"/>
      <c r="G71" s="554"/>
      <c r="H71" s="555"/>
      <c r="I71" s="555"/>
      <c r="J71" s="555"/>
      <c r="K71" s="555"/>
      <c r="L71" s="556"/>
      <c r="M71" s="557"/>
      <c r="N71" s="1154"/>
      <c r="O71" s="1154"/>
      <c r="P71" s="2685"/>
      <c r="Q71" s="559"/>
    </row>
    <row r="72" spans="1:17" s="471" customFormat="1" ht="15.75" thickBot="1">
      <c r="A72" s="553"/>
      <c r="B72" s="543"/>
      <c r="C72" s="560">
        <v>94</v>
      </c>
      <c r="D72" s="536">
        <f>C72</f>
        <v>94</v>
      </c>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2697</v>
      </c>
      <c r="C87" s="554" t="s">
        <v>3232</v>
      </c>
      <c r="D87" s="554" t="s">
        <v>3233</v>
      </c>
      <c r="E87" s="554" t="s">
        <v>3234</v>
      </c>
      <c r="F87" s="554" t="s">
        <v>3235</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t="str">
        <f>B29</f>
        <v>经营模式</v>
      </c>
      <c r="C93" s="554" t="s">
        <v>3251</v>
      </c>
      <c r="D93" s="554" t="s">
        <v>3252</v>
      </c>
      <c r="E93" s="554"/>
      <c r="F93" s="554"/>
      <c r="G93" s="554"/>
      <c r="H93" s="554"/>
      <c r="I93" s="554"/>
      <c r="J93" s="554"/>
      <c r="K93" s="554"/>
      <c r="L93" s="580"/>
      <c r="M93" s="581"/>
      <c r="N93" s="1152"/>
      <c r="O93" s="1152"/>
      <c r="P93" s="2684"/>
      <c r="Q93" s="504"/>
    </row>
    <row r="94" spans="1:17" ht="15.75" thickBot="1">
      <c r="A94" s="534"/>
      <c r="B94" s="543"/>
      <c r="C94" s="560">
        <v>100</v>
      </c>
      <c r="D94" s="536">
        <v>95</v>
      </c>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t="s">
        <v>3254</v>
      </c>
      <c r="D101" s="530" t="s">
        <v>3255</v>
      </c>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2611</v>
      </c>
      <c r="C103" s="578" t="str">
        <f>C104&amp;"(含)"&amp;"-"&amp;D104</f>
        <v>0(含)-2000</v>
      </c>
      <c r="D103" s="578" t="str">
        <f t="shared" ref="D103:L103" si="23">D104&amp;"(含)"&amp;"-"&amp;E104</f>
        <v>2000(含)-4000</v>
      </c>
      <c r="E103" s="578" t="str">
        <f t="shared" si="23"/>
        <v>4000(含)-6000</v>
      </c>
      <c r="F103" s="578" t="str">
        <f t="shared" si="23"/>
        <v>6000(含)-10000</v>
      </c>
      <c r="G103" s="578" t="str">
        <f t="shared" si="23"/>
        <v>10000(含)-12000</v>
      </c>
      <c r="H103" s="578" t="str">
        <f t="shared" si="23"/>
        <v>12000(含)-14000</v>
      </c>
      <c r="I103" s="578" t="str">
        <f t="shared" si="23"/>
        <v>14000(含)-16000</v>
      </c>
      <c r="J103" s="578" t="str">
        <f t="shared" si="23"/>
        <v>16000(含)-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2000</v>
      </c>
      <c r="E104" s="595">
        <v>4000</v>
      </c>
      <c r="F104" s="595">
        <v>6000</v>
      </c>
      <c r="G104" s="595">
        <v>10000</v>
      </c>
      <c r="H104" s="595">
        <v>12000</v>
      </c>
      <c r="I104" s="595">
        <v>14000</v>
      </c>
      <c r="J104" s="596">
        <v>16000</v>
      </c>
      <c r="K104" s="596"/>
      <c r="L104" s="597"/>
      <c r="M104" s="598"/>
      <c r="N104" s="1154"/>
      <c r="O104" s="1154"/>
      <c r="P104" s="2685"/>
      <c r="Q104" s="559"/>
    </row>
    <row r="105" spans="1:17" s="471" customFormat="1" ht="15.75" thickBot="1">
      <c r="A105" s="553"/>
      <c r="B105" s="543"/>
      <c r="C105" s="560">
        <v>100</v>
      </c>
      <c r="D105" s="536">
        <v>102</v>
      </c>
      <c r="E105" s="536">
        <v>104</v>
      </c>
      <c r="F105" s="536">
        <v>106</v>
      </c>
      <c r="G105" s="536">
        <v>108</v>
      </c>
      <c r="H105" s="536">
        <v>110</v>
      </c>
      <c r="I105" s="536">
        <v>112</v>
      </c>
      <c r="J105" s="536">
        <v>114</v>
      </c>
      <c r="K105" s="536"/>
      <c r="L105" s="536"/>
      <c r="M105" s="537"/>
      <c r="N105" s="1153"/>
      <c r="O105" s="1153"/>
      <c r="P105" s="2685"/>
      <c r="Q105" s="559"/>
    </row>
    <row r="106" spans="1:17" ht="15" thickTop="1">
      <c r="A106" s="599"/>
      <c r="B106" s="538" t="s">
        <v>2612</v>
      </c>
      <c r="C106" s="554" t="s">
        <v>3247</v>
      </c>
      <c r="D106" s="554" t="s">
        <v>3248</v>
      </c>
      <c r="E106" s="583" t="s">
        <v>3249</v>
      </c>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t="s">
        <v>3244</v>
      </c>
      <c r="D108" s="554" t="s">
        <v>3245</v>
      </c>
      <c r="E108" s="554" t="s">
        <v>3246</v>
      </c>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t="s">
        <v>3236</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t="s">
        <v>3237</v>
      </c>
      <c r="D115" s="554" t="s">
        <v>3238</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4"/>
      <c r="Q116" s="504"/>
    </row>
    <row r="117" spans="1:17" ht="15" thickTop="1">
      <c r="A117" s="599"/>
      <c r="B117" s="538" t="s">
        <v>2616</v>
      </c>
      <c r="C117" s="554" t="s">
        <v>3239</v>
      </c>
      <c r="D117" s="554" t="s">
        <v>3240</v>
      </c>
      <c r="E117" s="554" t="s">
        <v>3241</v>
      </c>
      <c r="F117" s="554" t="s">
        <v>3242</v>
      </c>
      <c r="G117" s="554" t="s">
        <v>3243</v>
      </c>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v>8426.91</v>
      </c>
      <c r="D121" s="554">
        <v>46</v>
      </c>
      <c r="E121" s="554">
        <v>76.16</v>
      </c>
      <c r="F121" s="583">
        <v>41</v>
      </c>
      <c r="G121" s="555"/>
      <c r="H121" s="555"/>
      <c r="I121" s="555"/>
      <c r="J121" s="555"/>
      <c r="K121" s="555"/>
      <c r="L121" s="556"/>
      <c r="M121" s="557"/>
      <c r="N121" s="1154"/>
      <c r="O121" s="1154"/>
      <c r="P121" s="2685"/>
      <c r="Q121" s="559"/>
    </row>
    <row r="122" spans="1:17" s="471" customFormat="1" ht="15.75" thickBot="1">
      <c r="A122" s="553"/>
      <c r="B122" s="535"/>
      <c r="C122" s="560">
        <v>100</v>
      </c>
      <c r="D122" s="560">
        <v>105</v>
      </c>
      <c r="E122" s="560">
        <v>105</v>
      </c>
      <c r="F122" s="560">
        <v>105</v>
      </c>
      <c r="G122" s="560"/>
      <c r="H122" s="560"/>
      <c r="I122" s="560"/>
      <c r="J122" s="560"/>
      <c r="K122" s="560"/>
      <c r="L122" s="560"/>
      <c r="M122" s="560"/>
      <c r="N122" s="1154"/>
      <c r="O122" s="1154"/>
      <c r="P122" s="2685"/>
      <c r="Q122" s="559"/>
    </row>
    <row r="123" spans="1:17" ht="15" thickTop="1">
      <c r="A123" s="599"/>
      <c r="B123" s="538" t="s">
        <v>2618</v>
      </c>
      <c r="C123" s="554" t="s">
        <v>3244</v>
      </c>
      <c r="D123" s="554" t="s">
        <v>3245</v>
      </c>
      <c r="E123" s="554" t="s">
        <v>3246</v>
      </c>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t="str">
        <f>B45</f>
        <v>建成年代</v>
      </c>
      <c r="C127" s="554">
        <v>1995</v>
      </c>
      <c r="D127" s="554">
        <v>2007</v>
      </c>
      <c r="E127" s="554">
        <v>2015</v>
      </c>
      <c r="F127" s="554">
        <v>2019</v>
      </c>
      <c r="G127" s="554"/>
      <c r="H127" s="555"/>
      <c r="I127" s="555"/>
      <c r="J127" s="555"/>
      <c r="K127" s="555"/>
      <c r="L127" s="556"/>
      <c r="M127" s="557"/>
      <c r="N127" s="1154"/>
      <c r="O127" s="1154"/>
      <c r="P127" s="2685"/>
      <c r="Q127" s="559"/>
    </row>
    <row r="128" spans="1:17" s="471" customFormat="1" ht="15.75" thickBot="1">
      <c r="A128" s="553"/>
      <c r="B128" s="543"/>
      <c r="C128" s="560">
        <v>100</v>
      </c>
      <c r="D128" s="536">
        <v>101.2</v>
      </c>
      <c r="E128" s="536">
        <v>102</v>
      </c>
      <c r="F128" s="536">
        <v>102.4</v>
      </c>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view="pageBreakPreview" topLeftCell="A22" zoomScale="110" zoomScaleSheetLayoutView="110" workbookViewId="0">
      <selection activeCell="I34" sqref="I34:I35"/>
    </sheetView>
  </sheetViews>
  <sheetFormatPr defaultColWidth="9" defaultRowHeight="13.5"/>
  <cols>
    <col min="1" max="1" width="6.375" style="2956" customWidth="1"/>
    <col min="2" max="2" width="19.375" style="3020" customWidth="1"/>
    <col min="3" max="3" width="6.125" style="3021" customWidth="1"/>
    <col min="4" max="4" width="6.375" style="3021" customWidth="1"/>
    <col min="5" max="5" width="7.375" style="3021" customWidth="1"/>
    <col min="6" max="6" width="3.5" style="3021" customWidth="1"/>
    <col min="7" max="7" width="19.375" style="3022" customWidth="1"/>
    <col min="8" max="8" width="19.5" style="2956" customWidth="1"/>
    <col min="9" max="9" width="8.625" style="2956" customWidth="1"/>
    <col min="10" max="10" width="10.5" style="2953" customWidth="1"/>
    <col min="11" max="11" width="4.875" style="2984" customWidth="1"/>
    <col min="12" max="12" width="16.375" style="2984" customWidth="1"/>
    <col min="13" max="16" width="8.125" style="2956" customWidth="1"/>
    <col min="17" max="16384" width="9" style="2956"/>
  </cols>
  <sheetData>
    <row r="1" spans="1:16">
      <c r="A1" s="3290" t="s">
        <v>3054</v>
      </c>
      <c r="B1" s="3290"/>
      <c r="C1" s="3290"/>
      <c r="D1" s="3290"/>
      <c r="E1" s="3290"/>
      <c r="F1" s="3290"/>
      <c r="G1" s="3290"/>
      <c r="H1" s="3290"/>
      <c r="I1" s="3290"/>
      <c r="K1" s="3291" t="s">
        <v>3055</v>
      </c>
      <c r="L1" s="2954" t="s">
        <v>3056</v>
      </c>
      <c r="M1" s="2955">
        <v>0</v>
      </c>
      <c r="N1" s="1635"/>
      <c r="O1" s="1635"/>
    </row>
    <row r="2" spans="1:16" ht="15.75" customHeight="1">
      <c r="A2" s="2957" t="s">
        <v>608</v>
      </c>
      <c r="B2" s="2958" t="s">
        <v>3057</v>
      </c>
      <c r="C2" s="3292" t="s">
        <v>3058</v>
      </c>
      <c r="D2" s="3293"/>
      <c r="E2" s="3293"/>
      <c r="F2" s="3294"/>
      <c r="G2" s="3035" t="s">
        <v>3059</v>
      </c>
      <c r="H2" s="3295" t="s">
        <v>1076</v>
      </c>
      <c r="I2" s="3295"/>
      <c r="K2" s="3291"/>
      <c r="L2" s="2954" t="s">
        <v>3060</v>
      </c>
      <c r="M2" s="2960" t="s">
        <v>3223</v>
      </c>
      <c r="N2" s="2961"/>
      <c r="O2" s="2961"/>
    </row>
    <row r="3" spans="1:16">
      <c r="A3" s="3033" t="s">
        <v>3061</v>
      </c>
      <c r="B3" s="3034" t="s">
        <v>3062</v>
      </c>
      <c r="C3" s="3292">
        <f ca="1">'成本法-其他办公（1995年）'!B2*10000</f>
        <v>112630000</v>
      </c>
      <c r="D3" s="3293"/>
      <c r="E3" s="3293"/>
      <c r="F3" s="3294"/>
      <c r="G3" s="3033" t="s">
        <v>3063</v>
      </c>
      <c r="H3" s="2964" t="s">
        <v>3064</v>
      </c>
      <c r="I3" s="2965">
        <f>'数据-汇总表'!F19</f>
        <v>8426.909999999998</v>
      </c>
      <c r="K3" s="3291"/>
      <c r="L3" s="2954" t="s">
        <v>3065</v>
      </c>
      <c r="M3" s="2960" t="s">
        <v>3066</v>
      </c>
      <c r="N3" s="2961"/>
      <c r="O3" s="2966"/>
    </row>
    <row r="4" spans="1:16">
      <c r="A4" s="3296" t="s">
        <v>3067</v>
      </c>
      <c r="B4" s="3297" t="s">
        <v>3068</v>
      </c>
      <c r="C4" s="3298">
        <f ca="1">ROUND(C3*(I4-I6)/(1-((1+I6)/(1+I4))^I5),0)</f>
        <v>4837412</v>
      </c>
      <c r="D4" s="3299"/>
      <c r="E4" s="3299"/>
      <c r="F4" s="3300"/>
      <c r="G4" s="3296" t="s">
        <v>3069</v>
      </c>
      <c r="H4" s="2967" t="s">
        <v>3070</v>
      </c>
      <c r="I4" s="2968">
        <v>5.5E-2</v>
      </c>
      <c r="K4" s="3291"/>
      <c r="L4" s="2954" t="s">
        <v>1077</v>
      </c>
      <c r="M4" s="2969">
        <f>ROUND(1-(1-M1)*M2/M3,2)</f>
        <v>0.57999999999999996</v>
      </c>
      <c r="N4" s="2961"/>
      <c r="O4" s="2961"/>
    </row>
    <row r="5" spans="1:16" s="2973" customFormat="1" ht="18" customHeight="1">
      <c r="A5" s="3296"/>
      <c r="B5" s="3297"/>
      <c r="C5" s="3301"/>
      <c r="D5" s="3302"/>
      <c r="E5" s="3302"/>
      <c r="F5" s="3303"/>
      <c r="G5" s="3296"/>
      <c r="H5" s="3034" t="s">
        <v>3071</v>
      </c>
      <c r="I5" s="2970">
        <v>50</v>
      </c>
      <c r="J5" s="2971"/>
      <c r="K5" s="3291"/>
      <c r="L5" s="2954" t="s">
        <v>3072</v>
      </c>
      <c r="M5" s="2972">
        <v>0.5</v>
      </c>
      <c r="N5" s="2961"/>
      <c r="O5" s="2961"/>
    </row>
    <row r="6" spans="1:16" s="2973" customFormat="1" ht="18" customHeight="1">
      <c r="A6" s="3296"/>
      <c r="B6" s="3297"/>
      <c r="C6" s="3304"/>
      <c r="D6" s="3305"/>
      <c r="E6" s="3305"/>
      <c r="F6" s="3306"/>
      <c r="G6" s="3296"/>
      <c r="H6" s="3034" t="s">
        <v>3073</v>
      </c>
      <c r="I6" s="2968">
        <v>0.02</v>
      </c>
      <c r="J6" s="2974"/>
      <c r="K6" s="3307" t="s">
        <v>3074</v>
      </c>
      <c r="L6" s="2975" t="s">
        <v>3075</v>
      </c>
      <c r="M6" s="2976" t="s">
        <v>3076</v>
      </c>
      <c r="N6" s="2976" t="s">
        <v>3077</v>
      </c>
      <c r="O6" s="2976" t="s">
        <v>3078</v>
      </c>
      <c r="P6" s="2976" t="s">
        <v>3079</v>
      </c>
    </row>
    <row r="7" spans="1:16" s="2973" customFormat="1" ht="17.25" customHeight="1">
      <c r="A7" s="3033" t="s">
        <v>3080</v>
      </c>
      <c r="B7" s="3034" t="s">
        <v>3081</v>
      </c>
      <c r="C7" s="3292">
        <f ca="1">ROUND(C23*I7,0)</f>
        <v>24212527</v>
      </c>
      <c r="D7" s="3293"/>
      <c r="E7" s="3293"/>
      <c r="F7" s="3294"/>
      <c r="G7" s="3035" t="s">
        <v>3082</v>
      </c>
      <c r="H7" s="3034" t="s">
        <v>3083</v>
      </c>
      <c r="I7" s="2977">
        <f>'数据-取费表'!N6</f>
        <v>0.6</v>
      </c>
      <c r="K7" s="3307"/>
      <c r="L7" s="2975" t="s">
        <v>3084</v>
      </c>
      <c r="M7" s="2976">
        <v>100</v>
      </c>
      <c r="N7" s="2976" t="s">
        <v>3085</v>
      </c>
      <c r="O7" s="2976">
        <v>60</v>
      </c>
      <c r="P7" s="2978">
        <v>0.3</v>
      </c>
    </row>
    <row r="8" spans="1:16" s="2973" customFormat="1" ht="18" customHeight="1">
      <c r="A8" s="2957" t="s">
        <v>3086</v>
      </c>
      <c r="B8" s="3034" t="s">
        <v>3087</v>
      </c>
      <c r="C8" s="3292">
        <f>ROUND(I8*I3,0)</f>
        <v>26966112</v>
      </c>
      <c r="D8" s="3293"/>
      <c r="E8" s="3293"/>
      <c r="F8" s="3294"/>
      <c r="G8" s="3035" t="s">
        <v>3088</v>
      </c>
      <c r="H8" s="3034" t="s">
        <v>3089</v>
      </c>
      <c r="I8" s="3035">
        <f>'数据-取费表'!L6</f>
        <v>3200</v>
      </c>
      <c r="J8" s="2979">
        <f>D36</f>
        <v>1.8</v>
      </c>
      <c r="K8" s="3307"/>
      <c r="L8" s="2975" t="s">
        <v>3090</v>
      </c>
      <c r="M8" s="2976">
        <v>100</v>
      </c>
      <c r="N8" s="2976" t="s">
        <v>3085</v>
      </c>
      <c r="O8" s="2976">
        <v>60</v>
      </c>
      <c r="P8" s="2978">
        <v>0.5</v>
      </c>
    </row>
    <row r="9" spans="1:16" s="2973" customFormat="1" ht="18" customHeight="1">
      <c r="A9" s="2957" t="s">
        <v>3091</v>
      </c>
      <c r="B9" s="3034" t="s">
        <v>3092</v>
      </c>
      <c r="C9" s="3292">
        <f>ROUND(C8*H9,0)</f>
        <v>808983</v>
      </c>
      <c r="D9" s="3293"/>
      <c r="E9" s="3293"/>
      <c r="F9" s="3294"/>
      <c r="G9" s="3035" t="s">
        <v>3093</v>
      </c>
      <c r="H9" s="3308">
        <v>0.03</v>
      </c>
      <c r="I9" s="3308"/>
      <c r="J9" s="2979">
        <f ca="1">D37</f>
        <v>2.42</v>
      </c>
      <c r="K9" s="3307"/>
      <c r="L9" s="2975" t="s">
        <v>3094</v>
      </c>
      <c r="M9" s="2976">
        <v>100</v>
      </c>
      <c r="N9" s="2976" t="s">
        <v>3085</v>
      </c>
      <c r="O9" s="2976">
        <v>60</v>
      </c>
      <c r="P9" s="2978">
        <f>1-P7-P8</f>
        <v>0.19999999999999996</v>
      </c>
    </row>
    <row r="10" spans="1:16" s="2973" customFormat="1" ht="18" customHeight="1">
      <c r="A10" s="2957" t="s">
        <v>3095</v>
      </c>
      <c r="B10" s="3034" t="s">
        <v>3096</v>
      </c>
      <c r="C10" s="3292">
        <f>ROUND(C8*H10,0)</f>
        <v>0</v>
      </c>
      <c r="D10" s="3293"/>
      <c r="E10" s="3293"/>
      <c r="F10" s="3294"/>
      <c r="G10" s="3035" t="s">
        <v>3093</v>
      </c>
      <c r="H10" s="3308">
        <v>0</v>
      </c>
      <c r="I10" s="3308"/>
      <c r="J10" s="2979">
        <f ca="1">D38</f>
        <v>2.1</v>
      </c>
      <c r="K10" s="3307"/>
      <c r="L10" s="2980" t="s">
        <v>3072</v>
      </c>
      <c r="M10" s="2981">
        <f>1-M5</f>
        <v>0.5</v>
      </c>
      <c r="N10" s="2976" t="s">
        <v>1077</v>
      </c>
      <c r="O10" s="2982">
        <f>ROUND((O7*P7+O8*P8+O9*P9)/100,2)</f>
        <v>0.6</v>
      </c>
      <c r="P10" s="2983"/>
    </row>
    <row r="11" spans="1:16" s="2973" customFormat="1" ht="29.25" customHeight="1">
      <c r="A11" s="2957" t="s">
        <v>3097</v>
      </c>
      <c r="B11" s="3034" t="s">
        <v>3098</v>
      </c>
      <c r="C11" s="3292">
        <f>ROUND(I11*I3,0)</f>
        <v>1685382</v>
      </c>
      <c r="D11" s="3293"/>
      <c r="E11" s="3293"/>
      <c r="F11" s="3294"/>
      <c r="G11" s="3035" t="s">
        <v>3099</v>
      </c>
      <c r="H11" s="3034" t="s">
        <v>3100</v>
      </c>
      <c r="I11" s="3035">
        <v>200</v>
      </c>
      <c r="J11" s="2971"/>
      <c r="K11" s="2984"/>
      <c r="L11" s="2984"/>
      <c r="N11" s="2973">
        <f>(M4+O10)/2</f>
        <v>0.59</v>
      </c>
    </row>
    <row r="12" spans="1:16" s="2973" customFormat="1" ht="18" customHeight="1">
      <c r="A12" s="2957" t="s">
        <v>3101</v>
      </c>
      <c r="B12" s="3034" t="s">
        <v>3102</v>
      </c>
      <c r="C12" s="3292">
        <f>ROUND(C8*H12,0)</f>
        <v>404492</v>
      </c>
      <c r="D12" s="3293"/>
      <c r="E12" s="3293"/>
      <c r="F12" s="3294"/>
      <c r="G12" s="3035" t="s">
        <v>3093</v>
      </c>
      <c r="H12" s="3308">
        <v>1.4999999999999999E-2</v>
      </c>
      <c r="I12" s="3308"/>
      <c r="J12" s="2985" t="s">
        <v>3103</v>
      </c>
      <c r="L12" s="2986"/>
    </row>
    <row r="13" spans="1:16" s="2973" customFormat="1" ht="18" customHeight="1">
      <c r="A13" s="2957" t="s">
        <v>1131</v>
      </c>
      <c r="B13" s="3034" t="s">
        <v>3104</v>
      </c>
      <c r="C13" s="3292">
        <f>SUM(C8:F12)</f>
        <v>29864969</v>
      </c>
      <c r="D13" s="3293"/>
      <c r="E13" s="3293"/>
      <c r="F13" s="3294"/>
      <c r="G13" s="3295" t="s">
        <v>3105</v>
      </c>
      <c r="H13" s="3295"/>
      <c r="I13" s="3295"/>
      <c r="J13" s="2985" t="s">
        <v>3106</v>
      </c>
      <c r="L13" s="2986"/>
    </row>
    <row r="14" spans="1:16" s="2973" customFormat="1" ht="18" customHeight="1">
      <c r="A14" s="2957" t="s">
        <v>3107</v>
      </c>
      <c r="B14" s="3034" t="s">
        <v>3108</v>
      </c>
      <c r="C14" s="3292">
        <f>ROUND(C13*H14,0)</f>
        <v>597299</v>
      </c>
      <c r="D14" s="3293"/>
      <c r="E14" s="3293"/>
      <c r="F14" s="3294"/>
      <c r="G14" s="3035" t="s">
        <v>3109</v>
      </c>
      <c r="H14" s="3308">
        <v>0.02</v>
      </c>
      <c r="I14" s="3308"/>
      <c r="J14" s="2971"/>
      <c r="L14" s="2986"/>
    </row>
    <row r="15" spans="1:16" s="2973" customFormat="1" ht="18" customHeight="1">
      <c r="A15" s="2957" t="s">
        <v>1026</v>
      </c>
      <c r="B15" s="3034" t="s">
        <v>3110</v>
      </c>
      <c r="C15" s="3313">
        <f>H15</f>
        <v>0.02</v>
      </c>
      <c r="D15" s="3314"/>
      <c r="E15" s="3311" t="str">
        <f>E18</f>
        <v>V</v>
      </c>
      <c r="F15" s="3312"/>
      <c r="G15" s="3035" t="s">
        <v>3111</v>
      </c>
      <c r="H15" s="3308">
        <v>0.02</v>
      </c>
      <c r="I15" s="3308"/>
      <c r="J15" s="2987"/>
      <c r="K15" s="2988"/>
    </row>
    <row r="16" spans="1:16" s="2973" customFormat="1" ht="18" customHeight="1">
      <c r="A16" s="2989" t="s">
        <v>1027</v>
      </c>
      <c r="B16" s="2990" t="s">
        <v>3112</v>
      </c>
      <c r="C16" s="3031">
        <f ca="1">C17</f>
        <v>662554</v>
      </c>
      <c r="D16" s="3032" t="s">
        <v>3113</v>
      </c>
      <c r="E16" s="2993">
        <f ca="1">C18</f>
        <v>4.35E-4</v>
      </c>
      <c r="F16" s="3038" t="str">
        <f>E18</f>
        <v>V</v>
      </c>
      <c r="G16" s="3292" t="s">
        <v>3114</v>
      </c>
      <c r="H16" s="3293"/>
      <c r="I16" s="3294"/>
      <c r="J16" s="2971"/>
      <c r="K16" s="2984"/>
    </row>
    <row r="17" spans="1:12" s="2973" customFormat="1" ht="18" customHeight="1">
      <c r="A17" s="2957" t="s">
        <v>3115</v>
      </c>
      <c r="B17" s="3034" t="s">
        <v>3116</v>
      </c>
      <c r="C17" s="3292">
        <f ca="1">ROUND((C13+C14)*I18*(I17/2),0)</f>
        <v>662554</v>
      </c>
      <c r="D17" s="3293"/>
      <c r="E17" s="3293"/>
      <c r="F17" s="3294"/>
      <c r="G17" s="3031" t="s">
        <v>3117</v>
      </c>
      <c r="H17" s="3034" t="s">
        <v>3118</v>
      </c>
      <c r="I17" s="2995">
        <f>'数据-取费表'!B20</f>
        <v>1</v>
      </c>
      <c r="J17" s="2985" t="s">
        <v>3119</v>
      </c>
      <c r="K17" s="2984"/>
      <c r="L17" s="2984"/>
    </row>
    <row r="18" spans="1:12" s="2973" customFormat="1" ht="18" customHeight="1">
      <c r="A18" s="2957" t="s">
        <v>3120</v>
      </c>
      <c r="B18" s="3034" t="s">
        <v>3121</v>
      </c>
      <c r="C18" s="3309">
        <f ca="1">H15*I18*I17/2</f>
        <v>4.35E-4</v>
      </c>
      <c r="D18" s="3310"/>
      <c r="E18" s="3311" t="s">
        <v>3122</v>
      </c>
      <c r="F18" s="3312"/>
      <c r="G18" s="3031" t="s">
        <v>3123</v>
      </c>
      <c r="H18" s="3034" t="s">
        <v>3124</v>
      </c>
      <c r="I18" s="3036">
        <f ca="1">'数据-取费表'!B40</f>
        <v>4.3499999999999997E-2</v>
      </c>
      <c r="J18" s="2985" t="s">
        <v>3125</v>
      </c>
      <c r="K18" s="2984"/>
      <c r="L18" s="2984"/>
    </row>
    <row r="19" spans="1:12" s="2973" customFormat="1" ht="27" customHeight="1">
      <c r="A19" s="2957" t="s">
        <v>1028</v>
      </c>
      <c r="B19" s="3034" t="s">
        <v>3126</v>
      </c>
      <c r="C19" s="3031">
        <f>C20</f>
        <v>6092454</v>
      </c>
      <c r="D19" s="3032" t="s">
        <v>3113</v>
      </c>
      <c r="E19" s="3032">
        <f>C21</f>
        <v>4.0000000000000001E-3</v>
      </c>
      <c r="F19" s="3038" t="str">
        <f>E21</f>
        <v>V</v>
      </c>
      <c r="G19" s="3292" t="s">
        <v>3127</v>
      </c>
      <c r="H19" s="3293"/>
      <c r="I19" s="3294"/>
      <c r="J19" s="2971"/>
      <c r="K19" s="2984"/>
      <c r="L19" s="2984"/>
    </row>
    <row r="20" spans="1:12" s="2973" customFormat="1" ht="26.25" customHeight="1">
      <c r="A20" s="2957" t="s">
        <v>3128</v>
      </c>
      <c r="B20" s="3034" t="s">
        <v>3129</v>
      </c>
      <c r="C20" s="3292">
        <f>ROUND((C13+C14)*I20,0)</f>
        <v>6092454</v>
      </c>
      <c r="D20" s="3293"/>
      <c r="E20" s="3293"/>
      <c r="F20" s="3294"/>
      <c r="G20" s="3035" t="s">
        <v>3130</v>
      </c>
      <c r="H20" s="3317" t="s">
        <v>3131</v>
      </c>
      <c r="I20" s="3319">
        <f>'数据-取费表'!Q6</f>
        <v>0.2</v>
      </c>
      <c r="J20" s="2985" t="s">
        <v>3132</v>
      </c>
      <c r="K20" s="2984"/>
      <c r="L20" s="2984"/>
    </row>
    <row r="21" spans="1:12" s="2973" customFormat="1" ht="27" customHeight="1">
      <c r="A21" s="2957" t="s">
        <v>3128</v>
      </c>
      <c r="B21" s="3034" t="s">
        <v>3133</v>
      </c>
      <c r="C21" s="3320">
        <f>H15*I20</f>
        <v>4.0000000000000001E-3</v>
      </c>
      <c r="D21" s="3321"/>
      <c r="E21" s="3311" t="s">
        <v>3122</v>
      </c>
      <c r="F21" s="3312"/>
      <c r="G21" s="3035" t="s">
        <v>3134</v>
      </c>
      <c r="H21" s="3318"/>
      <c r="I21" s="3319"/>
      <c r="J21" s="2971"/>
      <c r="K21" s="2984"/>
      <c r="L21" s="2984"/>
    </row>
    <row r="22" spans="1:12" s="2973" customFormat="1" ht="18" customHeight="1">
      <c r="A22" s="2957" t="s">
        <v>1029</v>
      </c>
      <c r="B22" s="3034" t="s">
        <v>3135</v>
      </c>
      <c r="C22" s="3320">
        <f>ROUND(H22/1.05,4)</f>
        <v>5.33E-2</v>
      </c>
      <c r="D22" s="3321"/>
      <c r="E22" s="3311" t="s">
        <v>3122</v>
      </c>
      <c r="F22" s="3312"/>
      <c r="G22" s="3035" t="s">
        <v>3136</v>
      </c>
      <c r="H22" s="3308">
        <v>5.6000000000000001E-2</v>
      </c>
      <c r="I22" s="3308"/>
      <c r="J22" s="2997"/>
      <c r="K22" s="2984"/>
      <c r="L22" s="2984"/>
    </row>
    <row r="23" spans="1:12" s="2973" customFormat="1" ht="18" customHeight="1">
      <c r="A23" s="2957" t="s">
        <v>3137</v>
      </c>
      <c r="B23" s="3034" t="s">
        <v>3138</v>
      </c>
      <c r="C23" s="3292">
        <f ca="1">ROUND((C13+C14+C17+C20)/(1-H15-C18-C21-C22),0)</f>
        <v>40354211</v>
      </c>
      <c r="D23" s="3293"/>
      <c r="E23" s="3293"/>
      <c r="F23" s="3294"/>
      <c r="G23" s="3292" t="s">
        <v>3139</v>
      </c>
      <c r="H23" s="3293"/>
      <c r="I23" s="3294"/>
      <c r="J23" s="2997"/>
      <c r="K23" s="2984"/>
      <c r="L23" s="2984"/>
    </row>
    <row r="24" spans="1:12" s="2973" customFormat="1" ht="18" customHeight="1">
      <c r="A24" s="2957" t="s">
        <v>3140</v>
      </c>
      <c r="B24" s="3034" t="s">
        <v>3141</v>
      </c>
      <c r="C24" s="3037">
        <f ca="1">C27+C28</f>
        <v>855509</v>
      </c>
      <c r="D24" s="2999" t="s">
        <v>3142</v>
      </c>
      <c r="E24" s="3315">
        <f>H29+E26+H25</f>
        <v>0.19599999999999998</v>
      </c>
      <c r="F24" s="3316"/>
      <c r="G24" s="3295" t="s">
        <v>3143</v>
      </c>
      <c r="H24" s="3295"/>
      <c r="I24" s="3295"/>
      <c r="J24" s="2997"/>
      <c r="K24" s="2984"/>
      <c r="L24" s="2984"/>
    </row>
    <row r="25" spans="1:12" s="2973" customFormat="1" ht="18" customHeight="1">
      <c r="A25" s="2957" t="s">
        <v>1131</v>
      </c>
      <c r="B25" s="3034" t="s">
        <v>3144</v>
      </c>
      <c r="C25" s="3313" t="s">
        <v>3145</v>
      </c>
      <c r="D25" s="3314"/>
      <c r="E25" s="3322">
        <f>ROUND(H25/1.05,4)</f>
        <v>5.33E-2</v>
      </c>
      <c r="F25" s="3323"/>
      <c r="G25" s="3035" t="s">
        <v>3146</v>
      </c>
      <c r="H25" s="3324">
        <v>5.6000000000000001E-2</v>
      </c>
      <c r="I25" s="3324"/>
      <c r="J25" s="2987"/>
      <c r="K25" s="2984"/>
      <c r="L25" s="2984"/>
    </row>
    <row r="26" spans="1:12" s="2973" customFormat="1" ht="18" customHeight="1">
      <c r="A26" s="2957" t="s">
        <v>3107</v>
      </c>
      <c r="B26" s="3034" t="s">
        <v>3147</v>
      </c>
      <c r="C26" s="3313" t="s">
        <v>3145</v>
      </c>
      <c r="D26" s="3314"/>
      <c r="E26" s="3325">
        <v>0.12</v>
      </c>
      <c r="F26" s="3316"/>
      <c r="G26" s="3035"/>
      <c r="H26" s="3326">
        <v>0.12</v>
      </c>
      <c r="I26" s="3327"/>
      <c r="J26" s="2987"/>
      <c r="K26" s="2984"/>
      <c r="L26" s="2984"/>
    </row>
    <row r="27" spans="1:12" s="2973" customFormat="1" ht="18" customHeight="1">
      <c r="A27" s="2957" t="s">
        <v>1026</v>
      </c>
      <c r="B27" s="3034" t="s">
        <v>1128</v>
      </c>
      <c r="C27" s="3292">
        <f ca="1">ROUND(C23*H27,0)</f>
        <v>807084</v>
      </c>
      <c r="D27" s="3293"/>
      <c r="E27" s="3293"/>
      <c r="F27" s="3294"/>
      <c r="G27" s="3035" t="s">
        <v>3148</v>
      </c>
      <c r="H27" s="3324">
        <f>'数据-取费表'!AK6</f>
        <v>0.02</v>
      </c>
      <c r="I27" s="3324"/>
      <c r="J27" s="2987"/>
      <c r="K27" s="2984"/>
      <c r="L27" s="2984"/>
    </row>
    <row r="28" spans="1:12" s="2973" customFormat="1" ht="18" customHeight="1">
      <c r="A28" s="2957" t="s">
        <v>1027</v>
      </c>
      <c r="B28" s="3034" t="s">
        <v>3149</v>
      </c>
      <c r="C28" s="3292">
        <f ca="1">ROUND(C7*H28,0)</f>
        <v>48425</v>
      </c>
      <c r="D28" s="3293"/>
      <c r="E28" s="3293"/>
      <c r="F28" s="3294"/>
      <c r="G28" s="3035" t="s">
        <v>3150</v>
      </c>
      <c r="H28" s="3328">
        <f>'数据-取费表'!AL6</f>
        <v>2E-3</v>
      </c>
      <c r="I28" s="3328"/>
      <c r="J28" s="2971"/>
      <c r="K28" s="2984"/>
      <c r="L28" s="2984"/>
    </row>
    <row r="29" spans="1:12" s="2973" customFormat="1" ht="18" customHeight="1">
      <c r="A29" s="2957" t="s">
        <v>1028</v>
      </c>
      <c r="B29" s="3034" t="s">
        <v>3151</v>
      </c>
      <c r="C29" s="3313" t="s">
        <v>3145</v>
      </c>
      <c r="D29" s="3314"/>
      <c r="E29" s="3325">
        <f>H29</f>
        <v>0.02</v>
      </c>
      <c r="F29" s="3316"/>
      <c r="G29" s="3035" t="s">
        <v>3152</v>
      </c>
      <c r="H29" s="3324">
        <f>'数据-取费表'!AM6</f>
        <v>0.02</v>
      </c>
      <c r="I29" s="3324"/>
      <c r="J29" s="3000"/>
      <c r="K29" s="2984"/>
      <c r="L29" s="2984"/>
    </row>
    <row r="30" spans="1:12" s="2973" customFormat="1" ht="18" customHeight="1">
      <c r="A30" s="3033" t="s">
        <v>3153</v>
      </c>
      <c r="B30" s="3034" t="s">
        <v>3154</v>
      </c>
      <c r="C30" s="3292">
        <f ca="1">ROUND((C4+C24)/(1-E24),0)</f>
        <v>7080748</v>
      </c>
      <c r="D30" s="3293"/>
      <c r="E30" s="3293"/>
      <c r="F30" s="3294"/>
      <c r="G30" s="3296" t="s">
        <v>3155</v>
      </c>
      <c r="H30" s="3296"/>
      <c r="I30" s="3296"/>
      <c r="J30" s="3001" t="s">
        <v>3156</v>
      </c>
      <c r="K30" s="2984"/>
      <c r="L30" s="2984"/>
    </row>
    <row r="31" spans="1:12" s="2973" customFormat="1" ht="18" customHeight="1">
      <c r="A31" s="3296" t="s">
        <v>3157</v>
      </c>
      <c r="B31" s="3297" t="s">
        <v>3158</v>
      </c>
      <c r="C31" s="3329">
        <f ca="1">ROUND(C30/I31/I32/I3,2)</f>
        <v>2.42</v>
      </c>
      <c r="D31" s="3330"/>
      <c r="E31" s="3330"/>
      <c r="F31" s="3331"/>
      <c r="G31" s="3295" t="s">
        <v>3159</v>
      </c>
      <c r="H31" s="3034" t="s">
        <v>3160</v>
      </c>
      <c r="I31" s="3035">
        <v>365</v>
      </c>
      <c r="J31" s="3002"/>
      <c r="K31" s="2984"/>
      <c r="L31" s="2984"/>
    </row>
    <row r="32" spans="1:12" s="2973" customFormat="1" ht="18" customHeight="1">
      <c r="A32" s="3296"/>
      <c r="B32" s="3297"/>
      <c r="C32" s="3332"/>
      <c r="D32" s="3333"/>
      <c r="E32" s="3333"/>
      <c r="F32" s="3334"/>
      <c r="G32" s="3295"/>
      <c r="H32" s="3034" t="s">
        <v>3161</v>
      </c>
      <c r="I32" s="3039">
        <v>0.95</v>
      </c>
      <c r="J32" s="3004"/>
      <c r="K32" s="2984"/>
      <c r="L32" s="2984"/>
    </row>
    <row r="33" spans="1:13" s="2973" customFormat="1" ht="18" customHeight="1">
      <c r="A33" s="2956"/>
      <c r="B33" s="3005"/>
      <c r="C33" s="3006"/>
      <c r="D33" s="3006"/>
      <c r="E33" s="3006"/>
      <c r="F33" s="3006"/>
      <c r="G33" s="3007"/>
      <c r="H33" s="3"/>
      <c r="I33" s="2956"/>
      <c r="J33" s="3008"/>
      <c r="K33" s="2984"/>
      <c r="L33" s="2984"/>
    </row>
    <row r="34" spans="1:13" s="2973" customFormat="1" ht="18" customHeight="1">
      <c r="A34" s="2956"/>
      <c r="B34" s="3336" t="s">
        <v>3162</v>
      </c>
      <c r="C34" s="3336"/>
      <c r="D34" s="3336"/>
      <c r="E34" s="3336"/>
      <c r="F34" s="3336"/>
      <c r="G34" s="3009"/>
      <c r="H34" s="3010"/>
      <c r="I34" s="2956"/>
      <c r="J34" s="2971"/>
      <c r="K34" s="2984"/>
      <c r="L34" s="2984"/>
      <c r="M34" s="2956"/>
    </row>
    <row r="35" spans="1:13" s="2973" customFormat="1" ht="18" customHeight="1">
      <c r="A35" s="2956"/>
      <c r="B35" s="3030" t="s">
        <v>3163</v>
      </c>
      <c r="C35" s="3029" t="s">
        <v>3079</v>
      </c>
      <c r="D35" s="3337" t="s">
        <v>3164</v>
      </c>
      <c r="E35" s="3337"/>
      <c r="F35" s="3337"/>
      <c r="G35" s="3009"/>
      <c r="H35" s="3010"/>
      <c r="I35" s="2956"/>
      <c r="J35" s="2997"/>
      <c r="K35" s="2956"/>
      <c r="L35" s="2956"/>
      <c r="M35" s="2956"/>
    </row>
    <row r="36" spans="1:13">
      <c r="B36" s="3030" t="s">
        <v>3165</v>
      </c>
      <c r="C36" s="3013">
        <v>0.5</v>
      </c>
      <c r="D36" s="3338">
        <f>'比较法-其他办公'!C50</f>
        <v>1.8</v>
      </c>
      <c r="E36" s="3338"/>
      <c r="F36" s="3338"/>
      <c r="G36" s="3009">
        <f ca="1">(D36-D37)/D37</f>
        <v>-0.256198347107438</v>
      </c>
      <c r="H36" s="3010"/>
      <c r="K36" s="2956"/>
      <c r="L36" s="2956"/>
    </row>
    <row r="37" spans="1:13" ht="20.100000000000001" customHeight="1">
      <c r="B37" s="3030" t="s">
        <v>3166</v>
      </c>
      <c r="C37" s="3013">
        <f>1-C36</f>
        <v>0.5</v>
      </c>
      <c r="D37" s="3338">
        <f ca="1">C31</f>
        <v>2.42</v>
      </c>
      <c r="E37" s="3338"/>
      <c r="F37" s="3338"/>
      <c r="G37" s="3009"/>
      <c r="H37" s="3010"/>
      <c r="J37" s="2956"/>
      <c r="K37" s="2956"/>
      <c r="L37" s="2956"/>
    </row>
    <row r="38" spans="1:13" ht="22.5" customHeight="1">
      <c r="B38" s="3339" t="s">
        <v>3167</v>
      </c>
      <c r="C38" s="3339"/>
      <c r="D38" s="3335">
        <f ca="1">ROUND(C36*D36+C37*D37,1)</f>
        <v>2.1</v>
      </c>
      <c r="E38" s="3335"/>
      <c r="F38" s="3335"/>
      <c r="G38" s="3009"/>
      <c r="H38" s="3010"/>
      <c r="J38" s="2956"/>
      <c r="K38" s="2956"/>
      <c r="L38" s="2956"/>
    </row>
    <row r="39" spans="1:13" ht="22.5" customHeight="1">
      <c r="B39" s="3030" t="s">
        <v>3168</v>
      </c>
      <c r="C39" s="3030">
        <f ca="1">ROUND(D38*0.9,1)</f>
        <v>1.9</v>
      </c>
      <c r="D39" s="3028" t="s">
        <v>3169</v>
      </c>
      <c r="E39" s="3335">
        <f ca="1">ROUND(D38*1.1,1)</f>
        <v>2.2999999999999998</v>
      </c>
      <c r="F39" s="3335"/>
      <c r="G39" s="3009" t="s">
        <v>3170</v>
      </c>
      <c r="H39" s="3015">
        <v>11.48</v>
      </c>
      <c r="J39" s="2956"/>
      <c r="K39" s="2956"/>
      <c r="L39" s="2956"/>
    </row>
    <row r="40" spans="1:13" ht="18" customHeight="1">
      <c r="B40" s="3030" t="s">
        <v>3171</v>
      </c>
      <c r="C40" s="3030">
        <f ca="1">ROUND(C39+H40,1)</f>
        <v>1.9</v>
      </c>
      <c r="D40" s="3028" t="s">
        <v>3169</v>
      </c>
      <c r="E40" s="3335">
        <f ca="1">ROUND(E39+H40,1)</f>
        <v>2.2999999999999998</v>
      </c>
      <c r="F40" s="3335"/>
      <c r="G40" s="3016" t="s">
        <v>3172</v>
      </c>
      <c r="H40" s="3016"/>
      <c r="J40" s="2956"/>
      <c r="K40" s="2956"/>
      <c r="L40" s="2956"/>
    </row>
    <row r="41" spans="1:13" ht="18" customHeight="1">
      <c r="B41" s="3017"/>
      <c r="C41" s="3018"/>
      <c r="D41" s="3019"/>
      <c r="E41" s="3019"/>
      <c r="F41" s="3019"/>
      <c r="G41" s="3009"/>
      <c r="H41" s="3010"/>
      <c r="J41" s="2956"/>
    </row>
    <row r="42" spans="1:13" ht="18" customHeight="1">
      <c r="B42" s="3009" t="s">
        <v>3173</v>
      </c>
      <c r="C42" s="3019"/>
      <c r="D42" s="3019"/>
      <c r="E42" s="3009" t="s">
        <v>3174</v>
      </c>
      <c r="F42" s="3019"/>
      <c r="G42" s="3009"/>
      <c r="H42" s="3009" t="s">
        <v>3175</v>
      </c>
      <c r="J42" s="2956"/>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3" type="noConversion"/>
  <pageMargins left="0.7" right="0.7" top="0.75" bottom="0.75" header="0.3" footer="0.3"/>
  <pageSetup paperSize="9" scale="80" orientation="portrait" r:id="rId1"/>
  <colBreaks count="1" manualBreakCount="1">
    <brk id="10" max="1048575" man="1"/>
  </col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zoomScale="110" zoomScaleNormal="110" workbookViewId="0">
      <selection activeCell="D27" sqref="D27"/>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3207</v>
      </c>
      <c r="C1" s="242"/>
      <c r="D1" s="242"/>
      <c r="E1" s="242"/>
      <c r="F1" s="242"/>
      <c r="G1" s="1379">
        <f>MATCH(B1,'数据-取费表'!A6:A16,0)+5</f>
        <v>6</v>
      </c>
    </row>
    <row r="2" spans="1:9" s="244" customFormat="1" ht="18" customHeight="1">
      <c r="A2" s="245" t="s">
        <v>2325</v>
      </c>
      <c r="B2" s="246">
        <f ca="1">IF(D2="——",C52,C52-E2)</f>
        <v>11263</v>
      </c>
      <c r="C2" s="243" t="s">
        <v>2326</v>
      </c>
      <c r="D2" s="2547" t="s">
        <v>70</v>
      </c>
      <c r="E2" s="1440" t="e">
        <f ca="1">SUMIF(INDIRECT("'"&amp;G2&amp;"'"&amp;"!A:A"),"承租人权益价值",INDIRECT("'"&amp;G2&amp;"'"&amp;"!c:c"))</f>
        <v>#DIV/0!</v>
      </c>
      <c r="F2" s="2548" t="s">
        <v>2326</v>
      </c>
      <c r="G2" s="2549" t="s">
        <v>3166</v>
      </c>
    </row>
    <row r="3" spans="1:9" s="244" customFormat="1" ht="18" customHeight="1" thickBot="1">
      <c r="A3" s="247" t="s">
        <v>2327</v>
      </c>
      <c r="B3" s="248">
        <f ca="1">ROUND(B2*10000/(IF(B1="",'数据-汇总表'!E3,INDIRECT("'数据-取费表'!k"&amp;$G$1))),0)</f>
        <v>13366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6439</v>
      </c>
      <c r="D5" s="255" t="s">
        <v>2332</v>
      </c>
      <c r="E5" s="256" t="s">
        <v>2333</v>
      </c>
      <c r="F5" s="256" t="s">
        <v>2334</v>
      </c>
      <c r="G5" s="257"/>
    </row>
    <row r="6" spans="1:9" s="258" customFormat="1" ht="13.5" customHeight="1">
      <c r="A6" s="949" t="s">
        <v>2335</v>
      </c>
      <c r="B6" s="259" t="s">
        <v>2336</v>
      </c>
      <c r="C6" s="260">
        <f ca="1">ROUND(基准地价修正!C29*0.75*'数据-汇总表'!F19/10000,0)</f>
        <v>6248</v>
      </c>
      <c r="D6" s="261"/>
      <c r="E6" s="262"/>
      <c r="F6" s="262"/>
      <c r="G6" s="263"/>
    </row>
    <row r="7" spans="1:9" s="258" customFormat="1" ht="13.5" customHeight="1">
      <c r="A7" s="949" t="s">
        <v>2337</v>
      </c>
      <c r="B7" s="259" t="s">
        <v>2338</v>
      </c>
      <c r="C7" s="264">
        <f ca="1">ROUND(C6*F7,0)</f>
        <v>191</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50" t="s">
        <v>3220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3221</v>
      </c>
      <c r="H9" s="1390"/>
      <c r="I9" s="2552" t="s">
        <v>2342</v>
      </c>
    </row>
    <row r="10" spans="1:9" s="258" customFormat="1" ht="13.5" customHeight="1">
      <c r="A10" s="950" t="s">
        <v>801</v>
      </c>
      <c r="B10" s="268" t="s">
        <v>2343</v>
      </c>
      <c r="C10" s="269">
        <f ca="1">ROUND(D10*E10/10000,0)</f>
        <v>135</v>
      </c>
      <c r="D10" s="1032">
        <f ca="1">IF(B1="",'数据-汇总表'!E6,IF(INDIRECT("'数据-取费表'!c"&amp;$G$1)="住宅",INDIRECT("'数据-取费表'!s"&amp;$G$1),INDIRECT("'数据-取费表'!k"&amp;$G$1)+INDIRECT("'数据-取费表'!s"&amp;$G$1)))</f>
        <v>8426.909999999998</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8426.909999999998</v>
      </c>
      <c r="E19" s="255">
        <f>'数据-取费表'!B31</f>
        <v>200</v>
      </c>
      <c r="F19" s="275"/>
      <c r="G19" s="2550" t="s">
        <v>3222</v>
      </c>
    </row>
    <row r="20" spans="1:7" s="258" customFormat="1" ht="13.5" customHeight="1">
      <c r="A20" s="299" t="s">
        <v>2356</v>
      </c>
      <c r="B20" s="254" t="s">
        <v>2357</v>
      </c>
      <c r="C20" s="276">
        <f ca="1">ROUND((C5+C19)*F20,0)</f>
        <v>129</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283</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280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3</v>
      </c>
      <c r="D25" s="282"/>
      <c r="E25" s="285"/>
      <c r="F25" s="283"/>
      <c r="G25" s="286" t="s">
        <v>2373</v>
      </c>
    </row>
    <row r="26" spans="1:7" s="258" customFormat="1">
      <c r="A26" s="951"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1314</v>
      </c>
      <c r="D27" s="279">
        <f ca="1">C29</f>
        <v>4.0000000000000001E-3</v>
      </c>
      <c r="E27" s="280" t="s">
        <v>2377</v>
      </c>
      <c r="F27" s="290">
        <f ca="1">IF(B1="",'数据-取费表'!Q16,INDIRECT("'数据-取费表'!q"&amp;$G$1))</f>
        <v>0.2</v>
      </c>
      <c r="G27" s="291" t="s">
        <v>2378</v>
      </c>
    </row>
    <row r="28" spans="1:7" s="258" customFormat="1" ht="13.5" customHeight="1">
      <c r="A28" s="951" t="s">
        <v>791</v>
      </c>
      <c r="B28" s="292" t="s">
        <v>2379</v>
      </c>
      <c r="C28" s="293">
        <f ca="1">ROUND((C5+C19+C20)*F27*'数据-取费表'!B21/'数据-取费表'!B20,0)</f>
        <v>1314</v>
      </c>
      <c r="D28" s="279"/>
      <c r="E28" s="280"/>
      <c r="F28" s="290"/>
      <c r="G28" s="291"/>
    </row>
    <row r="29" spans="1:7" s="258" customFormat="1" ht="13.5" customHeight="1">
      <c r="A29" s="951"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8844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2987</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2697</v>
      </c>
      <c r="D34" s="261"/>
      <c r="E34" s="264"/>
      <c r="F34" s="301">
        <f ca="1">IF('数据-取费表'!B24=0,1,IF(B1="",'数据-取费表'!N16,INDIRECT("'数据-取费表'!n"&amp;$G$1)))</f>
        <v>1</v>
      </c>
      <c r="G34" s="263" t="s">
        <v>2389</v>
      </c>
    </row>
    <row r="35" spans="1:7" ht="13.5" customHeight="1">
      <c r="A35" s="951" t="s">
        <v>796</v>
      </c>
      <c r="B35" s="259" t="s">
        <v>2390</v>
      </c>
      <c r="C35" s="264">
        <f ca="1">ROUND(C34*F35,0)</f>
        <v>81</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169</v>
      </c>
      <c r="D37" s="261">
        <f ca="1">D19</f>
        <v>8426.909999999998</v>
      </c>
      <c r="E37" s="293">
        <f>'数据-取费表'!B35</f>
        <v>200</v>
      </c>
      <c r="F37" s="303"/>
      <c r="G37" s="305" t="s">
        <v>2395</v>
      </c>
    </row>
    <row r="38" spans="1:7" ht="13.5" customHeight="1">
      <c r="A38" s="951" t="s">
        <v>799</v>
      </c>
      <c r="B38" s="259" t="s">
        <v>2396</v>
      </c>
      <c r="C38" s="264">
        <f ca="1">ROUND(C34*F38,0)</f>
        <v>40</v>
      </c>
      <c r="D38" s="264"/>
      <c r="E38" s="264"/>
      <c r="F38" s="303">
        <f>'数据-取费表'!B36</f>
        <v>1.4999999999999999E-2</v>
      </c>
      <c r="G38" s="263" t="s">
        <v>2391</v>
      </c>
    </row>
    <row r="39" spans="1:7" s="258" customFormat="1" ht="13.5" customHeight="1">
      <c r="A39" s="299" t="s">
        <v>2397</v>
      </c>
      <c r="B39" s="254" t="s">
        <v>2398</v>
      </c>
      <c r="C39" s="276">
        <f ca="1">ROUND(C33*F20,0)</f>
        <v>60</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66</v>
      </c>
      <c r="D41" s="279">
        <f ca="1">C44</f>
        <v>4.0000000000000002E-4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65</v>
      </c>
      <c r="D42" s="282"/>
      <c r="E42" s="282"/>
      <c r="F42" s="283"/>
      <c r="G42" s="3340" t="s">
        <v>2407</v>
      </c>
    </row>
    <row r="43" spans="1:7" ht="13.5" customHeight="1">
      <c r="A43" s="951" t="s">
        <v>792</v>
      </c>
      <c r="B43" s="259" t="s">
        <v>2408</v>
      </c>
      <c r="C43" s="282">
        <f ca="1">ROUND(IF('数据-取费表'!B22&lt;=1,C39*F22*'数据-取费表'!B21/2,C39*(POWER((1+F22),'数据-取费表'!B21/2)-1)),0)</f>
        <v>1</v>
      </c>
      <c r="D43" s="282"/>
      <c r="E43" s="282"/>
      <c r="F43" s="283"/>
      <c r="G43" s="3341"/>
    </row>
    <row r="44" spans="1:7" ht="13.5" customHeight="1">
      <c r="A44" s="951" t="s">
        <v>793</v>
      </c>
      <c r="B44" s="259" t="s">
        <v>2409</v>
      </c>
      <c r="C44" s="282">
        <f ca="1">ROUND(IF('数据-取费表'!B22&lt;=1,C40*F22*'数据-取费表'!B21/2,C40*(POWER((1+F22),'数据-取费表'!B21/2)-1)),4)</f>
        <v>4.0000000000000002E-4</v>
      </c>
      <c r="D44" s="282"/>
      <c r="E44" s="282"/>
      <c r="F44" s="283"/>
      <c r="G44" s="3342"/>
    </row>
    <row r="45" spans="1:7" s="258" customFormat="1" ht="13.5" customHeight="1">
      <c r="A45" s="299" t="s">
        <v>2410</v>
      </c>
      <c r="B45" s="288" t="s">
        <v>2376</v>
      </c>
      <c r="C45" s="289">
        <f ca="1">C46</f>
        <v>609</v>
      </c>
      <c r="D45" s="279">
        <f ca="1">C47</f>
        <v>4.0000000000000001E-3</v>
      </c>
      <c r="E45" s="280" t="s">
        <v>2402</v>
      </c>
      <c r="F45" s="290"/>
      <c r="G45" s="291" t="s">
        <v>2411</v>
      </c>
    </row>
    <row r="46" spans="1:7" s="258" customFormat="1" ht="13.5" customHeight="1">
      <c r="A46" s="951" t="s">
        <v>791</v>
      </c>
      <c r="B46" s="292" t="s">
        <v>2412</v>
      </c>
      <c r="C46" s="293">
        <f ca="1">ROUND((C33+C39)*F27,0)</f>
        <v>609</v>
      </c>
      <c r="D46" s="307"/>
      <c r="E46" s="280"/>
      <c r="F46" s="290"/>
      <c r="G46" s="291"/>
    </row>
    <row r="47" spans="1:7" s="258" customFormat="1" ht="13.5" customHeight="1">
      <c r="A47" s="951" t="s">
        <v>792</v>
      </c>
      <c r="B47" s="292" t="s">
        <v>2413</v>
      </c>
      <c r="C47" s="282">
        <f ca="1">ROUND(C40*F27,4)</f>
        <v>4.0000000000000001E-3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4032</v>
      </c>
      <c r="D49" s="276"/>
      <c r="E49" s="276"/>
      <c r="F49" s="308"/>
      <c r="G49" s="278" t="s">
        <v>2417</v>
      </c>
    </row>
    <row r="50" spans="1:7" s="302" customFormat="1" ht="24">
      <c r="A50" s="299" t="s">
        <v>2418</v>
      </c>
      <c r="B50" s="254" t="s">
        <v>2419</v>
      </c>
      <c r="C50" s="276"/>
      <c r="D50" s="276"/>
      <c r="E50" s="276"/>
      <c r="F50" s="308">
        <f>'数据-取费表'!N6</f>
        <v>0.6</v>
      </c>
      <c r="G50" s="291" t="s">
        <v>2420</v>
      </c>
    </row>
    <row r="51" spans="1:7" ht="16.5" customHeight="1">
      <c r="A51" s="299" t="s">
        <v>2421</v>
      </c>
      <c r="B51" s="254" t="s">
        <v>2422</v>
      </c>
      <c r="C51" s="276">
        <f ca="1">ROUND(C49*F50,0)</f>
        <v>2419</v>
      </c>
      <c r="D51" s="276"/>
      <c r="E51" s="276"/>
      <c r="F51" s="308"/>
      <c r="G51" s="278" t="s">
        <v>2423</v>
      </c>
    </row>
    <row r="52" spans="1:7" s="252" customFormat="1" ht="16.5" thickBot="1">
      <c r="A52" s="309" t="s">
        <v>2424</v>
      </c>
      <c r="B52" s="310"/>
      <c r="C52" s="311">
        <f ca="1">C31+C51</f>
        <v>11263</v>
      </c>
      <c r="D52" s="310"/>
      <c r="E52" s="310"/>
      <c r="F52" s="310"/>
      <c r="G52" s="312"/>
    </row>
    <row r="55" spans="1:7" ht="15">
      <c r="B55" s="314" t="s">
        <v>2425</v>
      </c>
      <c r="C55" s="315"/>
    </row>
    <row r="56" spans="1:7">
      <c r="B56" s="317" t="s">
        <v>1507</v>
      </c>
      <c r="C56" s="319">
        <f ca="1">1-C57</f>
        <v>0.78500000000000003</v>
      </c>
    </row>
    <row r="57" spans="1:7">
      <c r="B57" s="317" t="s">
        <v>1508</v>
      </c>
      <c r="C57" s="318">
        <f ca="1">ROUND(C51/C52,3)</f>
        <v>0.215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110" zoomScaleNormal="110" zoomScaleSheetLayoutView="96" workbookViewId="0">
      <selection activeCell="K28" sqref="K28"/>
    </sheetView>
  </sheetViews>
  <sheetFormatPr defaultColWidth="12" defaultRowHeight="12.75"/>
  <cols>
    <col min="1" max="1" width="9.875" style="2788" customWidth="1"/>
    <col min="2" max="2" width="19.125" style="2894" customWidth="1"/>
    <col min="3" max="4" width="12" style="2720"/>
    <col min="5" max="5" width="14.625" style="2720" customWidth="1"/>
    <col min="6" max="8" width="12" style="2720"/>
    <col min="9" max="9" width="12.125" style="2720" bestFit="1" customWidth="1"/>
    <col min="10" max="10" width="12" style="2720"/>
    <col min="11" max="11" width="8.125" style="2783" customWidth="1"/>
    <col min="12" max="12" width="12" style="2720"/>
    <col min="13" max="13" width="8.5" style="2720" customWidth="1"/>
    <col min="14" max="14" width="9.8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11819.969999999998</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11684</v>
      </c>
      <c r="C2" s="2721" t="s">
        <v>2811</v>
      </c>
      <c r="D2" s="2722" t="s">
        <v>2812</v>
      </c>
      <c r="E2" s="2723" t="s">
        <v>27</v>
      </c>
      <c r="F2" s="2722" t="s">
        <v>2813</v>
      </c>
      <c r="G2" s="2724" t="str">
        <f>IF(E2="商业",项目基本情况!B37,IF(E2="办公",项目基本情况!C37,IF(E2="住宅",项目基本情况!D37,项目基本情况!E37)))</f>
        <v>七级</v>
      </c>
      <c r="H2" s="2722" t="s">
        <v>2814</v>
      </c>
      <c r="I2" s="2724" t="str">
        <f>IF(E2="商业",项目基本情况!B38,IF(E2="办公",项目基本情况!C38,IF(E2="住宅",项目基本情况!D38,项目基本情况!E38)))</f>
        <v>Ⅶ-01</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18415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9885</v>
      </c>
      <c r="C3" s="2721" t="s">
        <v>2817</v>
      </c>
      <c r="D3" s="2722" t="s">
        <v>2818</v>
      </c>
      <c r="E3" s="2727" t="s">
        <v>3214</v>
      </c>
      <c r="F3" s="2728" t="s">
        <v>3219</v>
      </c>
      <c r="G3" s="916">
        <f>IF(F3="宗地容积率",'数据-汇总表'!I4,IF(F3="估价对象容积率",'数据-汇总表'!I6,'数据-汇总表'!I7))</f>
        <v>2.5</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13219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46"/>
      <c r="B4" s="3347"/>
      <c r="C4" s="3347"/>
      <c r="D4" s="3348"/>
      <c r="E4" s="3348"/>
      <c r="F4" s="3348"/>
      <c r="G4" s="3348"/>
      <c r="H4" s="3348"/>
      <c r="I4" s="3348"/>
      <c r="J4" s="3349"/>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10664</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f>ROUND(IF(E2="商业",C6*C7+C16,(IF(E2="住宅",C6*C12+C16,C6+C16))),0)</f>
        <v>8120</v>
      </c>
      <c r="D5" s="1787">
        <f>ROUND(C6+C16,0)</f>
        <v>8120</v>
      </c>
      <c r="E5" s="1787"/>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8557</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8140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7286</v>
      </c>
      <c r="U6" s="1603"/>
      <c r="V6" s="1602">
        <f t="shared" ca="1" si="1"/>
        <v>0</v>
      </c>
      <c r="W6" s="1606"/>
      <c r="X6" s="1606"/>
      <c r="Y6" s="1606"/>
      <c r="Z6" s="1606"/>
      <c r="AA6" s="1606"/>
      <c r="AB6" s="1606"/>
      <c r="AC6" s="2735"/>
      <c r="AD6" s="2736"/>
      <c r="AE6" s="2736"/>
      <c r="AF6" s="2736"/>
      <c r="AG6" s="2736"/>
      <c r="AH6" s="2736"/>
      <c r="AI6" s="2736"/>
      <c r="AJ6" s="2737"/>
    </row>
    <row r="7" spans="1:36" ht="24">
      <c r="A7" s="3350"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8140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6408</v>
      </c>
      <c r="U7" s="1603"/>
      <c r="V7" s="1602">
        <f t="shared" ca="1" si="1"/>
        <v>0</v>
      </c>
      <c r="W7" s="1816" t="s">
        <v>2832</v>
      </c>
      <c r="X7" s="1604" t="str">
        <f>G2</f>
        <v>七级</v>
      </c>
      <c r="Y7" s="1604" t="s">
        <v>2833</v>
      </c>
      <c r="Z7" s="1605">
        <f>G3</f>
        <v>2.5</v>
      </c>
      <c r="AA7" s="1606"/>
      <c r="AB7" s="1606"/>
      <c r="AC7" s="1607"/>
      <c r="AD7" s="1608"/>
      <c r="AE7" s="1608"/>
      <c r="AF7" s="1608"/>
      <c r="AG7" s="1608"/>
      <c r="AH7" s="1608"/>
      <c r="AI7" s="1608"/>
      <c r="AJ7" s="1609"/>
    </row>
    <row r="8" spans="1:36" ht="25.5">
      <c r="A8" s="3351"/>
      <c r="B8" s="198" t="s">
        <v>2834</v>
      </c>
      <c r="C8" s="2750" t="s">
        <v>3210</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43" t="s">
        <v>2837</v>
      </c>
      <c r="X8" s="334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351"/>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45"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51"/>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51"/>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45" t="s">
        <v>2861</v>
      </c>
      <c r="X11" s="1614" t="s">
        <v>2862</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350"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4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2"/>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345"/>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352"/>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53"/>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50" t="s">
        <v>2880</v>
      </c>
      <c r="B16" s="2745" t="s">
        <v>2881</v>
      </c>
      <c r="C16" s="2932">
        <f>ROUND(IF(F17="与级别开发程度一致",0,(G17-E17)/C17),0)</f>
        <v>-20</v>
      </c>
      <c r="D16" s="3364" t="s">
        <v>2885</v>
      </c>
      <c r="E16" s="3365"/>
      <c r="F16" s="3364" t="s">
        <v>2882</v>
      </c>
      <c r="G16" s="3365"/>
      <c r="H16" s="2779" t="s">
        <v>3190</v>
      </c>
      <c r="I16" s="2779" t="s">
        <v>3191</v>
      </c>
      <c r="J16" s="2936" t="s">
        <v>3192</v>
      </c>
      <c r="K16" s="2779" t="s">
        <v>3193</v>
      </c>
      <c r="L16" s="2779" t="s">
        <v>3194</v>
      </c>
      <c r="M16" s="2779" t="s">
        <v>3195</v>
      </c>
      <c r="N16" s="2779" t="s">
        <v>3196</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54"/>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3211</v>
      </c>
      <c r="G17" s="2935">
        <f>SUM(H17:O17)</f>
        <v>250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40</v>
      </c>
      <c r="N17" s="2944">
        <f>SUMPRODUCT((七通一平=N16)*(修正!B1:M1=G2)*(修正!B6:M14))</f>
        <v>15</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0.9</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2888</v>
      </c>
      <c r="C19" s="924">
        <f>地价!Z5</f>
        <v>1.3633</v>
      </c>
      <c r="D19" s="2789" t="s">
        <v>2889</v>
      </c>
      <c r="E19" s="925">
        <v>41640</v>
      </c>
      <c r="F19" s="2789" t="s">
        <v>2890</v>
      </c>
      <c r="G19" s="926">
        <f>'数据-取费表'!B2</f>
        <v>43923</v>
      </c>
      <c r="H19" s="2790" t="s">
        <v>3212</v>
      </c>
      <c r="I19" s="927" t="str">
        <f>IF(H19="季度增幅（自定义）",SUMIF(N21:N24,E2,O21:O24),"")</f>
        <v/>
      </c>
      <c r="J19" s="2787"/>
      <c r="K19" s="1377"/>
      <c r="L19" s="2791" t="s">
        <v>2891</v>
      </c>
      <c r="M19" s="1734">
        <f>ROUND(SUMIF(地价!B2:F2,E2,地价!B29:F29),0)</f>
        <v>258</v>
      </c>
      <c r="N19" s="279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f ca="1">ROUND(POWER(1+G20,J20-I20)*(POWER(1+G20,I20)-1)/(POWER(1+G20,J20)-1),4)</f>
        <v>1</v>
      </c>
      <c r="D20" s="2798" t="s">
        <v>2894</v>
      </c>
      <c r="E20" s="1768">
        <f ca="1">存贷款利率!D4/100</f>
        <v>4.3499999999999997E-2</v>
      </c>
      <c r="F20" s="2798" t="s">
        <v>2886</v>
      </c>
      <c r="G20" s="934">
        <f ca="1">SUMIF(M26:P26,E2,M28:P28)</f>
        <v>5.1999999999999998E-2</v>
      </c>
      <c r="H20" s="2798" t="s">
        <v>2895</v>
      </c>
      <c r="I20" s="935">
        <f>SUMIF('数据-取费表'!C6:C15,E2,'数据-取费表'!F6:F15)/COUNTIF('数据-取费表'!C6:C15,E2)</f>
        <v>50</v>
      </c>
      <c r="J20" s="936">
        <f>IF(E2="住宅",70,IF(E2="商业",40,50))</f>
        <v>50</v>
      </c>
      <c r="K20" s="1377"/>
      <c r="L20" s="2799" t="s">
        <v>2896</v>
      </c>
      <c r="M20" s="1735">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3213</v>
      </c>
      <c r="C21" s="937">
        <f>IF(B21="容积率修正",IF(G3&lt;=10,D22,J22),C23)</f>
        <v>1</v>
      </c>
      <c r="D21" s="2805"/>
      <c r="E21" s="2805"/>
      <c r="F21" s="2805"/>
      <c r="G21" s="2805"/>
      <c r="H21" s="2805"/>
      <c r="I21" s="2805"/>
      <c r="J21" s="2806"/>
      <c r="K21" s="1377"/>
      <c r="N21" s="2807" t="s">
        <v>2900</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8" customFormat="1" ht="14.25">
      <c r="A22" s="2664" t="s">
        <v>2901</v>
      </c>
      <c r="B22" s="2808" t="s">
        <v>2902</v>
      </c>
      <c r="C22" s="1810" t="s">
        <v>2903</v>
      </c>
      <c r="D22" s="1810">
        <f>IF(E22=G22,F22,IF(G3&lt;=10,ROUND(F22+(H22-F22)*(G3-E22)/(G22-E22),4),"——"))</f>
        <v>1</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7" t="s">
        <v>2904</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4" t="s">
        <v>2905</v>
      </c>
      <c r="B23" s="2809" t="s">
        <v>2906</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2907</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2908</v>
      </c>
      <c r="C24" s="924">
        <f>SUMIF(A45:A88,E2,B45:B88)</f>
        <v>0.99219999999999997</v>
      </c>
      <c r="D24" s="2786"/>
      <c r="E24" s="2815"/>
      <c r="F24" s="2815"/>
      <c r="G24" s="2815"/>
      <c r="H24" s="2815"/>
      <c r="I24" s="2815"/>
      <c r="J24" s="2816"/>
      <c r="K24" s="1377"/>
      <c r="N24" s="2817" t="s">
        <v>2909</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2910</v>
      </c>
      <c r="C25" s="930"/>
      <c r="D25" s="2748"/>
      <c r="E25" s="2748"/>
      <c r="F25" s="2819"/>
      <c r="G25" s="2748"/>
      <c r="H25" s="2748"/>
      <c r="I25" s="2748"/>
      <c r="J25" s="2749"/>
      <c r="K25" s="1370"/>
      <c r="N25" s="2820" t="s">
        <v>2911</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1"/>
      <c r="B26" s="2808" t="s">
        <v>2912</v>
      </c>
      <c r="C26" s="206">
        <f ca="1">E29+SUM(E33:E39)</f>
        <v>11684</v>
      </c>
      <c r="D26" s="2822"/>
      <c r="E26" s="2773"/>
      <c r="F26" s="2823"/>
      <c r="G26" s="2773"/>
      <c r="H26" s="2773"/>
      <c r="I26" s="2773"/>
      <c r="J26" s="2824"/>
      <c r="K26" s="1370"/>
      <c r="L26" s="2777" t="s">
        <v>2812</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2913</v>
      </c>
      <c r="C27" s="931">
        <f ca="1">E30+SUM(I33:I39)</f>
        <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2914</v>
      </c>
      <c r="C28" s="2832" t="s">
        <v>2915</v>
      </c>
      <c r="D28" s="2832" t="s">
        <v>2916</v>
      </c>
      <c r="E28" s="2833" t="s">
        <v>2917</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2918</v>
      </c>
      <c r="C29" s="206">
        <f ca="1">ROUND(C5*C18*C19*C20*C21*C24,0)</f>
        <v>9885</v>
      </c>
      <c r="D29" s="2837">
        <f>'数据-汇总表'!F27</f>
        <v>11819.969999999998</v>
      </c>
      <c r="E29" s="942">
        <f ca="1">ROUND(C29*D29/10000,0)</f>
        <v>11684</v>
      </c>
      <c r="F29" s="2838" t="s">
        <v>2919</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2920</v>
      </c>
      <c r="C30" s="229">
        <f ca="1">ROUND(IF(E2="工业",C29*M39,C29*M38),0)</f>
        <v>2471</v>
      </c>
      <c r="D30" s="2843"/>
      <c r="E30" s="942">
        <f ca="1">ROUND(C30*D30/10000,0)</f>
        <v>0</v>
      </c>
      <c r="F30" s="2844" t="s">
        <v>2921</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61" t="s">
        <v>2926</v>
      </c>
      <c r="B33" s="2853" t="s">
        <v>2927</v>
      </c>
      <c r="C33" s="206">
        <f ca="1">ROUND(D5*C19*C20*C24*F33,0)</f>
        <v>7689</v>
      </c>
      <c r="D33" s="2837"/>
      <c r="E33" s="200">
        <f ca="1">ROUND(C33*D33/10000,0)</f>
        <v>0</v>
      </c>
      <c r="F33" s="200">
        <f>SUMIF(修正!A45:A56,G2,修正!B45:B56)</f>
        <v>0.7</v>
      </c>
      <c r="G33" s="200">
        <f t="shared" ref="G33" ca="1" si="6">ROUND(IF(E2="工业",C33*$M$39,C33*$M$38),0)</f>
        <v>1922</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2"/>
      <c r="B34" s="2765" t="s">
        <v>2928</v>
      </c>
      <c r="C34" s="206">
        <f ca="1">ROUND(D5*C19*C20*C24*F34,0)</f>
        <v>4393</v>
      </c>
      <c r="D34" s="2837"/>
      <c r="E34" s="200">
        <f t="shared" ref="E34:E39" ca="1" si="7">ROUND(C34*D34/10000,0)</f>
        <v>0</v>
      </c>
      <c r="F34" s="200">
        <f>SUMIF(修正!A45:A56,G2,修正!C45:C56)</f>
        <v>0.4</v>
      </c>
      <c r="G34" s="200">
        <f ca="1">ROUND(IF(E2="工业",C34*$M$39,C34*$M$38),0)</f>
        <v>1098</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2"/>
      <c r="B35" s="2765" t="s">
        <v>2929</v>
      </c>
      <c r="C35" s="206">
        <f ca="1">ROUND(D5*C19*C20*C24*F35,0)</f>
        <v>3075</v>
      </c>
      <c r="D35" s="2837"/>
      <c r="E35" s="200">
        <f t="shared" ca="1" si="7"/>
        <v>0</v>
      </c>
      <c r="F35" s="200">
        <f>SUMIF(修正!A45:A56,G2,修正!D45:D56)</f>
        <v>0.28000000000000003</v>
      </c>
      <c r="G35" s="200">
        <f ca="1">ROUND(IF(E2="工业",C35*$M$39,C35*$M$38),0)</f>
        <v>769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363"/>
      <c r="B36" s="2765" t="s">
        <v>2930</v>
      </c>
      <c r="C36" s="206">
        <f ca="1">ROUND(D5*C19*C20*C24*F36,0)</f>
        <v>2746</v>
      </c>
      <c r="D36" s="2837"/>
      <c r="E36" s="200">
        <f t="shared" ca="1" si="7"/>
        <v>0</v>
      </c>
      <c r="F36" s="200">
        <f>SUMIF(修正!A45:A56,G2,修正!E45:E56)</f>
        <v>0.25</v>
      </c>
      <c r="G36" s="200">
        <f ca="1">ROUND(IF(E2="工业",C36*$M$39,C36*$M$38),0)</f>
        <v>687</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2931</v>
      </c>
      <c r="C37" s="200">
        <f ca="1">ROUND(D5*C19*C20*C24*F37,0)</f>
        <v>2746</v>
      </c>
      <c r="D37" s="2837"/>
      <c r="E37" s="200">
        <f t="shared" ca="1" si="7"/>
        <v>0</v>
      </c>
      <c r="F37" s="206">
        <f>SUMIF(修正!A45:A56,G2,修正!F45:F56)</f>
        <v>0.25</v>
      </c>
      <c r="G37" s="200">
        <f ca="1">ROUND(IF(E2="工业",C37*$M$39,C37*$M$38),0)</f>
        <v>687</v>
      </c>
      <c r="H37" s="200">
        <f t="shared" si="8"/>
        <v>0</v>
      </c>
      <c r="I37" s="200">
        <f t="shared" ca="1" si="9"/>
        <v>0</v>
      </c>
      <c r="J37" s="2854"/>
      <c r="K37" s="1370"/>
      <c r="L37" s="2856" t="s">
        <v>2932</v>
      </c>
      <c r="M37" s="2857"/>
      <c r="N37" s="1370"/>
      <c r="O37" s="1370"/>
      <c r="P37" s="1370"/>
      <c r="Q37" s="1370"/>
      <c r="R37" s="1370"/>
      <c r="S37" s="1370"/>
      <c r="T37" s="1370"/>
      <c r="U37" s="1370"/>
      <c r="V37" s="1370"/>
      <c r="W37" s="1370"/>
      <c r="X37" s="1370"/>
      <c r="Y37" s="1370"/>
      <c r="Z37" s="1371"/>
    </row>
    <row r="38" spans="1:37">
      <c r="A38" s="2855"/>
      <c r="B38" s="2765" t="s">
        <v>2933</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2934</v>
      </c>
      <c r="M38" s="2858">
        <v>0.25</v>
      </c>
      <c r="N38" s="1370"/>
      <c r="O38" s="1370"/>
      <c r="P38" s="1370"/>
      <c r="Q38" s="1370"/>
      <c r="R38" s="1370"/>
      <c r="S38" s="1370"/>
      <c r="T38" s="1370"/>
      <c r="U38" s="1370"/>
      <c r="V38" s="1370"/>
      <c r="W38" s="1370"/>
      <c r="X38" s="1370"/>
      <c r="Y38" s="1370"/>
      <c r="Z38" s="1371"/>
    </row>
    <row r="39" spans="1:37" ht="13.5" thickBot="1">
      <c r="A39" s="2841"/>
      <c r="B39" s="2859" t="s">
        <v>2935</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3043</v>
      </c>
      <c r="C41" s="388">
        <f ca="1">ROUND(POWER(1+E41,H41-G41)*(POWER(1+E41,G41)-1)/(POWER(1+E41,H41)-1),4)</f>
        <v>0</v>
      </c>
      <c r="D41" s="200" t="s">
        <v>2886</v>
      </c>
      <c r="E41" s="2929">
        <f ca="1">G20</f>
        <v>5.1999999999999998E-2</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2936</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2937</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2938</v>
      </c>
      <c r="B47" s="1809" t="s">
        <v>2939</v>
      </c>
      <c r="C47" s="1809" t="s">
        <v>2940</v>
      </c>
      <c r="D47" s="1809" t="s">
        <v>2941</v>
      </c>
      <c r="E47" s="819" t="s">
        <v>2942</v>
      </c>
      <c r="F47" s="2871" t="s">
        <v>2943</v>
      </c>
      <c r="G47" s="1809" t="s">
        <v>754</v>
      </c>
      <c r="H47" s="2872"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2946</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2947</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2948</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2949</v>
      </c>
      <c r="B51" s="2875" t="s">
        <v>2950</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2951</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2952</v>
      </c>
      <c r="B53" s="2876" t="s">
        <v>2953</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2954</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2955</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2956</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2957</v>
      </c>
      <c r="B57" s="2867">
        <f>1+E59</f>
        <v>0.99219999999999997</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2938</v>
      </c>
      <c r="B58" s="1809"/>
      <c r="C58" s="1809" t="s">
        <v>2940</v>
      </c>
      <c r="D58" s="1809" t="s">
        <v>2941</v>
      </c>
      <c r="E58" s="819" t="s">
        <v>2942</v>
      </c>
      <c r="F58" s="2871" t="s">
        <v>2958</v>
      </c>
      <c r="G58" s="1809" t="s">
        <v>754</v>
      </c>
      <c r="H58" s="2872"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2959</v>
      </c>
      <c r="B59" s="2873" t="str">
        <f>估价对象房地状况!C17</f>
        <v>估价对象位于XX商圈，周边办公楼项目较多，入驻率高，办公集聚程度较好</v>
      </c>
      <c r="C59" s="2770" t="s">
        <v>3215</v>
      </c>
      <c r="D59" s="1286">
        <f t="shared" ref="D59:D67" si="15">SUMIF($J$58:$N$58,C59,J59:N59)</f>
        <v>-1.5599999999999999E-2</v>
      </c>
      <c r="E59" s="821">
        <f>ROUND(SUM(D59:D67),4)</f>
        <v>-7.7999999999999996E-3</v>
      </c>
      <c r="F59" s="2501">
        <f>IF(E2="办公",SUMIF(L1:L12,G2,N1:N12),"——")</f>
        <v>0.13</v>
      </c>
      <c r="G59" s="1284">
        <f>H59</f>
        <v>1.5599999999999999E-2</v>
      </c>
      <c r="H59" s="1288">
        <f t="shared" ref="H59:H67" si="16">IFERROR(ROUNDDOWN($F$59*I59/2,4),"——")</f>
        <v>1.5599999999999999E-2</v>
      </c>
      <c r="I59" s="820">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51">
      <c r="A60" s="2870" t="s">
        <v>2947</v>
      </c>
      <c r="B60" s="2874" t="str">
        <f>估价对象房地状况!C18</f>
        <v>估价对象周边道路状况、公共交通通达情况、停车便捷程度，综合评价交通便捷度较好</v>
      </c>
      <c r="C60" s="2770" t="s">
        <v>3216</v>
      </c>
      <c r="D60" s="1286">
        <f t="shared" si="15"/>
        <v>0</v>
      </c>
      <c r="E60" s="822"/>
      <c r="F60" s="2501"/>
      <c r="G60" s="1284">
        <f t="shared" ref="G60:G67" si="20">H60</f>
        <v>1.95E-2</v>
      </c>
      <c r="H60" s="1288">
        <f t="shared" si="16"/>
        <v>1.95E-2</v>
      </c>
      <c r="I60" s="820">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70" t="s">
        <v>2948</v>
      </c>
      <c r="B61" s="2874">
        <f>估价对象房地状况!C19</f>
        <v>0</v>
      </c>
      <c r="C61" s="2770" t="s">
        <v>3216</v>
      </c>
      <c r="D61" s="1286">
        <f t="shared" si="15"/>
        <v>0</v>
      </c>
      <c r="E61" s="822"/>
      <c r="F61" s="2501"/>
      <c r="G61" s="1284">
        <f t="shared" si="20"/>
        <v>5.1999999999999998E-3</v>
      </c>
      <c r="H61" s="1288">
        <f t="shared" si="16"/>
        <v>5.1999999999999998E-3</v>
      </c>
      <c r="I61" s="820">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70" t="s">
        <v>2949</v>
      </c>
      <c r="B62" s="2875" t="s">
        <v>2950</v>
      </c>
      <c r="C62" s="2770" t="s">
        <v>3216</v>
      </c>
      <c r="D62" s="1286">
        <f t="shared" si="15"/>
        <v>0</v>
      </c>
      <c r="E62" s="822"/>
      <c r="F62" s="2501"/>
      <c r="G62" s="1284">
        <f t="shared" si="20"/>
        <v>2.5999999999999999E-3</v>
      </c>
      <c r="H62" s="1288">
        <f t="shared" si="16"/>
        <v>2.5999999999999999E-3</v>
      </c>
      <c r="I62" s="820">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70" t="s">
        <v>2951</v>
      </c>
      <c r="B63" s="2874">
        <f>估价对象房地状况!C24</f>
        <v>0</v>
      </c>
      <c r="C63" s="2770" t="s">
        <v>3216</v>
      </c>
      <c r="D63" s="1286">
        <f t="shared" si="15"/>
        <v>0</v>
      </c>
      <c r="E63" s="822"/>
      <c r="F63" s="2501"/>
      <c r="G63" s="1284">
        <f t="shared" si="20"/>
        <v>3.2000000000000002E-3</v>
      </c>
      <c r="H63" s="1288">
        <f t="shared" si="16"/>
        <v>3.2000000000000002E-3</v>
      </c>
      <c r="I63" s="820">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70" t="s">
        <v>2952</v>
      </c>
      <c r="B64" s="2876" t="s">
        <v>2953</v>
      </c>
      <c r="C64" s="2770" t="s">
        <v>3216</v>
      </c>
      <c r="D64" s="1286">
        <f t="shared" si="15"/>
        <v>0</v>
      </c>
      <c r="E64" s="822"/>
      <c r="F64" s="2501"/>
      <c r="G64" s="1284">
        <f t="shared" si="20"/>
        <v>3.2000000000000002E-3</v>
      </c>
      <c r="H64" s="1288">
        <f t="shared" si="16"/>
        <v>3.2000000000000002E-3</v>
      </c>
      <c r="I64" s="820">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70" t="s">
        <v>2954</v>
      </c>
      <c r="B65" s="1725" t="str">
        <f>估价对象房地状况!C21</f>
        <v>估价对象所在区域公共配套设施齐备情况</v>
      </c>
      <c r="C65" s="2770" t="s">
        <v>3216</v>
      </c>
      <c r="D65" s="1286">
        <f t="shared" si="15"/>
        <v>0</v>
      </c>
      <c r="E65" s="822"/>
      <c r="F65" s="2501"/>
      <c r="G65" s="1284">
        <f t="shared" si="20"/>
        <v>3.8999999999999998E-3</v>
      </c>
      <c r="H65" s="1288">
        <f t="shared" si="16"/>
        <v>3.8999999999999998E-3</v>
      </c>
      <c r="I65" s="820">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70" t="s">
        <v>2955</v>
      </c>
      <c r="B66" s="1725" t="str">
        <f>估价对象房地状况!C22</f>
        <v>估价对象所在区域基础设施水平</v>
      </c>
      <c r="C66" s="2770" t="s">
        <v>3217</v>
      </c>
      <c r="D66" s="1286">
        <f t="shared" si="15"/>
        <v>7.7999999999999996E-3</v>
      </c>
      <c r="E66" s="822"/>
      <c r="F66" s="2501"/>
      <c r="G66" s="1284">
        <f t="shared" si="20"/>
        <v>7.7999999999999996E-3</v>
      </c>
      <c r="H66" s="1288">
        <f t="shared" si="16"/>
        <v>7.7999999999999996E-3</v>
      </c>
      <c r="I66" s="820">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39" thickBot="1">
      <c r="A67" s="2878" t="s">
        <v>2956</v>
      </c>
      <c r="B67" s="2880" t="str">
        <f>估价对象房地状况!C20</f>
        <v>区域自然环境：；人文环境；综合评价环境状况一般</v>
      </c>
      <c r="C67" s="2770" t="s">
        <v>3216</v>
      </c>
      <c r="D67" s="1286">
        <f t="shared" si="15"/>
        <v>0</v>
      </c>
      <c r="E67" s="825"/>
      <c r="F67" s="2501"/>
      <c r="G67" s="1284">
        <f t="shared" si="20"/>
        <v>3.8999999999999998E-3</v>
      </c>
      <c r="H67" s="1288">
        <f t="shared" si="16"/>
        <v>3.8999999999999998E-3</v>
      </c>
      <c r="I67" s="824">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66" t="s">
        <v>2960</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2938</v>
      </c>
      <c r="B69" s="1809"/>
      <c r="C69" s="1809" t="s">
        <v>2940</v>
      </c>
      <c r="D69" s="1809" t="s">
        <v>2941</v>
      </c>
      <c r="E69" s="819" t="s">
        <v>2942</v>
      </c>
      <c r="F69" s="2871" t="s">
        <v>2958</v>
      </c>
      <c r="G69" s="1809" t="s">
        <v>754</v>
      </c>
      <c r="H69" s="2872"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2961</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2947</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2948</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2962</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2954</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2955</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2952</v>
      </c>
      <c r="B76" s="2876" t="s">
        <v>2953</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2956</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2963</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2964</v>
      </c>
      <c r="B79" s="2867">
        <f>1+E81</f>
        <v>1</v>
      </c>
      <c r="C79" s="814"/>
      <c r="D79" s="814"/>
      <c r="E79" s="815"/>
      <c r="F79" s="2869"/>
      <c r="G79" s="6"/>
      <c r="H79" s="6"/>
      <c r="I79" s="6"/>
      <c r="J79" s="7"/>
      <c r="K79" s="7"/>
      <c r="L79" s="7"/>
      <c r="M79" s="7"/>
      <c r="N79" s="7"/>
      <c r="Z79" s="2720"/>
      <c r="AA79" s="2788"/>
      <c r="AG79" s="1372"/>
      <c r="AK79" s="2788"/>
    </row>
    <row r="80" spans="1:37" ht="24.75">
      <c r="A80" s="2870" t="s">
        <v>2938</v>
      </c>
      <c r="B80" s="1809"/>
      <c r="C80" s="1809" t="s">
        <v>2940</v>
      </c>
      <c r="D80" s="1809" t="s">
        <v>2941</v>
      </c>
      <c r="E80" s="819" t="s">
        <v>2942</v>
      </c>
      <c r="F80" s="2871" t="s">
        <v>2958</v>
      </c>
      <c r="G80" s="1809" t="s">
        <v>754</v>
      </c>
      <c r="H80" s="2872" t="s">
        <v>2944</v>
      </c>
      <c r="I80" s="1809" t="s">
        <v>2945</v>
      </c>
      <c r="J80" s="603" t="s">
        <v>2595</v>
      </c>
      <c r="K80" s="603" t="s">
        <v>2596</v>
      </c>
      <c r="L80" s="603" t="s">
        <v>2597</v>
      </c>
      <c r="M80" s="603" t="s">
        <v>2598</v>
      </c>
      <c r="N80" s="603" t="s">
        <v>2599</v>
      </c>
      <c r="Z80" s="2720"/>
      <c r="AA80" s="2788"/>
      <c r="AG80" s="1372"/>
      <c r="AK80" s="2788"/>
    </row>
    <row r="81" spans="1:37" ht="38.25">
      <c r="A81" s="2870" t="s">
        <v>2965</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2947</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2948</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2962</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2954</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2955</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2952</v>
      </c>
      <c r="B87" s="2876" t="s">
        <v>2966</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2967</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355" t="s">
        <v>2968</v>
      </c>
      <c r="B90" s="3355"/>
      <c r="C90" s="3355"/>
      <c r="D90" s="3355"/>
      <c r="E90" s="3355"/>
      <c r="F90" s="3355"/>
      <c r="G90" s="3355"/>
      <c r="H90" s="3355"/>
      <c r="I90" s="3355"/>
      <c r="J90" s="3355"/>
      <c r="K90" s="2884"/>
      <c r="L90" s="2884"/>
      <c r="M90" s="2884"/>
      <c r="N90" s="2884"/>
    </row>
    <row r="91" spans="1:37">
      <c r="A91" s="3357" t="s">
        <v>2969</v>
      </c>
      <c r="B91" s="3357" t="s">
        <v>2970</v>
      </c>
      <c r="C91" s="2838" t="s">
        <v>2971</v>
      </c>
      <c r="D91" s="2839"/>
      <c r="E91" s="2839"/>
      <c r="F91" s="2839"/>
      <c r="G91" s="2839"/>
      <c r="H91" s="2839"/>
      <c r="I91" s="2839"/>
      <c r="J91" s="2885"/>
      <c r="K91" s="2886"/>
      <c r="L91" s="2886"/>
      <c r="M91" s="2886"/>
      <c r="N91" s="2886"/>
    </row>
    <row r="92" spans="1:37">
      <c r="A92" s="3357"/>
      <c r="B92" s="335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358"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5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5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5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5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5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59"/>
      <c r="B99" s="2887" t="s">
        <v>2854</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36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58" t="s">
        <v>2973</v>
      </c>
      <c r="B101" s="2891" t="s">
        <v>2974</v>
      </c>
      <c r="C101" s="2892">
        <f>$G$3</f>
        <v>2.5</v>
      </c>
      <c r="D101" s="2892">
        <f t="shared" ref="D101:N101" si="32">$G$3</f>
        <v>2.5</v>
      </c>
      <c r="E101" s="2892">
        <f t="shared" si="32"/>
        <v>2.5</v>
      </c>
      <c r="F101" s="2892">
        <f t="shared" si="32"/>
        <v>2.5</v>
      </c>
      <c r="G101" s="2892">
        <f t="shared" si="32"/>
        <v>2.5</v>
      </c>
      <c r="H101" s="2892">
        <f t="shared" si="32"/>
        <v>2.5</v>
      </c>
      <c r="I101" s="2892">
        <f t="shared" si="32"/>
        <v>2.5</v>
      </c>
      <c r="J101" s="2892">
        <f t="shared" si="32"/>
        <v>2.5</v>
      </c>
      <c r="K101" s="2892">
        <f t="shared" si="32"/>
        <v>2.5</v>
      </c>
      <c r="L101" s="2892">
        <f t="shared" si="32"/>
        <v>2.5</v>
      </c>
      <c r="M101" s="2892">
        <f t="shared" si="32"/>
        <v>2.5</v>
      </c>
      <c r="N101" s="2892">
        <f t="shared" si="32"/>
        <v>2.5</v>
      </c>
    </row>
    <row r="102" spans="1:14">
      <c r="A102" s="3359"/>
      <c r="B102" s="2887">
        <v>1</v>
      </c>
      <c r="C102" s="2888">
        <f>1.9362/C101</f>
        <v>0.77447999999999995</v>
      </c>
      <c r="D102" s="2888">
        <f>1.9362/D101</f>
        <v>0.77447999999999995</v>
      </c>
      <c r="E102" s="2888">
        <f>1.8629/E101</f>
        <v>0.74516000000000004</v>
      </c>
      <c r="F102" s="2888">
        <f>1.8629/F101</f>
        <v>0.74516000000000004</v>
      </c>
      <c r="G102" s="2888">
        <f>1.8629/G101</f>
        <v>0.74516000000000004</v>
      </c>
      <c r="H102" s="2888">
        <f>1.8629/H101</f>
        <v>0.74516000000000004</v>
      </c>
      <c r="I102" s="2888">
        <f>1.8629/I101</f>
        <v>0.74516000000000004</v>
      </c>
      <c r="J102" s="2888">
        <f>1.942/J101</f>
        <v>0.77679999999999993</v>
      </c>
      <c r="K102" s="2888">
        <f>1.942/K101</f>
        <v>0.77679999999999993</v>
      </c>
      <c r="L102" s="2888">
        <f>1.942/L101</f>
        <v>0.77679999999999993</v>
      </c>
      <c r="M102" s="2888">
        <f>1.942/M101</f>
        <v>0.77679999999999993</v>
      </c>
      <c r="N102" s="2888">
        <f>1.942/N101</f>
        <v>0.77679999999999993</v>
      </c>
    </row>
    <row r="103" spans="1:14">
      <c r="A103" s="3359"/>
      <c r="B103" s="2887">
        <v>2</v>
      </c>
      <c r="C103" s="2888">
        <f>1.4198/C101</f>
        <v>0.56791999999999998</v>
      </c>
      <c r="D103" s="2888">
        <f>1.4198/D101</f>
        <v>0.56791999999999998</v>
      </c>
      <c r="E103" s="2888">
        <f>1.3372/E101</f>
        <v>0.53488000000000002</v>
      </c>
      <c r="F103" s="2888">
        <f>1.3372/F101</f>
        <v>0.53488000000000002</v>
      </c>
      <c r="G103" s="2888">
        <f>1.3372/G101</f>
        <v>0.53488000000000002</v>
      </c>
      <c r="H103" s="2888">
        <f>1.3372/H101</f>
        <v>0.53488000000000002</v>
      </c>
      <c r="I103" s="2888">
        <f>1.3372/I101</f>
        <v>0.53488000000000002</v>
      </c>
      <c r="J103" s="2888">
        <f>1.2799/J101</f>
        <v>0.51195999999999997</v>
      </c>
      <c r="K103" s="2888">
        <f>1.2799/K101</f>
        <v>0.51195999999999997</v>
      </c>
      <c r="L103" s="2888">
        <f>1.2799/L101</f>
        <v>0.51195999999999997</v>
      </c>
      <c r="M103" s="2888">
        <f>1.2799/M101</f>
        <v>0.51195999999999997</v>
      </c>
      <c r="N103" s="2888">
        <f>1.2799/N101</f>
        <v>0.51195999999999997</v>
      </c>
    </row>
    <row r="104" spans="1:14">
      <c r="A104" s="3359"/>
      <c r="B104" s="2887">
        <v>3</v>
      </c>
      <c r="C104" s="2888">
        <f>1.1594/C101</f>
        <v>0.46376000000000001</v>
      </c>
      <c r="D104" s="2888">
        <f>1.1594/D101</f>
        <v>0.46376000000000001</v>
      </c>
      <c r="E104" s="2888">
        <f>1.0788/E101</f>
        <v>0.43152000000000001</v>
      </c>
      <c r="F104" s="2888">
        <f>1.0788/F101</f>
        <v>0.43152000000000001</v>
      </c>
      <c r="G104" s="2888">
        <f>1.0788/G101</f>
        <v>0.43152000000000001</v>
      </c>
      <c r="H104" s="2888">
        <f>1.0788/H101</f>
        <v>0.43152000000000001</v>
      </c>
      <c r="I104" s="2888">
        <f>1.0788/I101</f>
        <v>0.43152000000000001</v>
      </c>
      <c r="J104" s="2888">
        <f>1.0072/J101</f>
        <v>0.40288000000000002</v>
      </c>
      <c r="K104" s="2888">
        <f>1.0072/K101</f>
        <v>0.40288000000000002</v>
      </c>
      <c r="L104" s="2888">
        <f>1.0072/L101</f>
        <v>0.40288000000000002</v>
      </c>
      <c r="M104" s="2888">
        <f>1.0072/M101</f>
        <v>0.40288000000000002</v>
      </c>
      <c r="N104" s="2888">
        <f>1.0072/N101</f>
        <v>0.40288000000000002</v>
      </c>
    </row>
    <row r="105" spans="1:14">
      <c r="A105" s="3359"/>
      <c r="B105" s="2887">
        <v>4</v>
      </c>
      <c r="C105" s="2888">
        <f>0.9622/C101</f>
        <v>0.38488</v>
      </c>
      <c r="D105" s="2888">
        <f>0.9622/D101</f>
        <v>0.38488</v>
      </c>
      <c r="E105" s="2888">
        <f>0.8656/E101</f>
        <v>0.34623999999999999</v>
      </c>
      <c r="F105" s="2888">
        <f>0.8656/F101</f>
        <v>0.34623999999999999</v>
      </c>
      <c r="G105" s="2888">
        <f>0.8656/G101</f>
        <v>0.34623999999999999</v>
      </c>
      <c r="H105" s="2888">
        <f>0.8656/H101</f>
        <v>0.34623999999999999</v>
      </c>
      <c r="I105" s="2888">
        <f>0.8656/I101</f>
        <v>0.34623999999999999</v>
      </c>
      <c r="J105" s="2888">
        <f>0.7525/J101</f>
        <v>0.30099999999999999</v>
      </c>
      <c r="K105" s="2888">
        <f>0.7525/K101</f>
        <v>0.30099999999999999</v>
      </c>
      <c r="L105" s="2888">
        <f>0.7525/L101</f>
        <v>0.30099999999999999</v>
      </c>
      <c r="M105" s="2888">
        <f>0.7525/M101</f>
        <v>0.30099999999999999</v>
      </c>
      <c r="N105" s="2888">
        <f>0.7525/N101</f>
        <v>0.30099999999999999</v>
      </c>
    </row>
    <row r="106" spans="1:14">
      <c r="A106" s="3359"/>
      <c r="B106" s="2887">
        <v>5</v>
      </c>
      <c r="C106" s="2888">
        <f>0.8417/C101</f>
        <v>0.33667999999999998</v>
      </c>
      <c r="D106" s="2888">
        <f>0.8417/D101</f>
        <v>0.33667999999999998</v>
      </c>
      <c r="E106" s="2888">
        <f>0.7371/E101</f>
        <v>0.29483999999999999</v>
      </c>
      <c r="F106" s="2888">
        <f>0.7371/F101</f>
        <v>0.29483999999999999</v>
      </c>
      <c r="G106" s="2888">
        <f>0.7371/G101</f>
        <v>0.29483999999999999</v>
      </c>
      <c r="H106" s="2888">
        <f>0.7371/H101</f>
        <v>0.29483999999999999</v>
      </c>
      <c r="I106" s="2888">
        <f>0.7371/I101</f>
        <v>0.29483999999999999</v>
      </c>
      <c r="J106" s="2888">
        <f>0.5659/J101</f>
        <v>0.22635999999999998</v>
      </c>
      <c r="K106" s="2888">
        <f>0.5659/K101</f>
        <v>0.22635999999999998</v>
      </c>
      <c r="L106" s="2888">
        <f>0.5659/L101</f>
        <v>0.22635999999999998</v>
      </c>
      <c r="M106" s="2888">
        <f>0.5659/M101</f>
        <v>0.22635999999999998</v>
      </c>
      <c r="N106" s="2888">
        <f>0.5659/N101</f>
        <v>0.22635999999999998</v>
      </c>
    </row>
    <row r="107" spans="1:14">
      <c r="A107" s="3359"/>
      <c r="B107" s="2887">
        <v>6</v>
      </c>
      <c r="C107" s="2888">
        <f>0.7608/C101</f>
        <v>0.30432000000000003</v>
      </c>
      <c r="D107" s="2888">
        <f>0.7608/D101</f>
        <v>0.30432000000000003</v>
      </c>
      <c r="E107" s="2888">
        <f>0.6482/E101</f>
        <v>0.25928000000000001</v>
      </c>
      <c r="F107" s="2888">
        <f>0.6482/F101</f>
        <v>0.25928000000000001</v>
      </c>
      <c r="G107" s="2888">
        <f>0.6482/G101</f>
        <v>0.25928000000000001</v>
      </c>
      <c r="H107" s="2888">
        <f>0.6482/H101</f>
        <v>0.25928000000000001</v>
      </c>
      <c r="I107" s="2888">
        <f>0.6482/I101</f>
        <v>0.25928000000000001</v>
      </c>
      <c r="J107" s="2888">
        <f>0.4525/J101</f>
        <v>0.18099999999999999</v>
      </c>
      <c r="K107" s="2888">
        <f>0.4525/K101</f>
        <v>0.18099999999999999</v>
      </c>
      <c r="L107" s="2888">
        <f>0.4525/L101</f>
        <v>0.18099999999999999</v>
      </c>
      <c r="M107" s="2888">
        <f>0.4525/M101</f>
        <v>0.18099999999999999</v>
      </c>
      <c r="N107" s="2888">
        <f>0.4525/N101</f>
        <v>0.18099999999999999</v>
      </c>
    </row>
    <row r="108" spans="1:14">
      <c r="A108" s="3359"/>
      <c r="B108" s="3212" t="s">
        <v>2975</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360"/>
      <c r="B109" s="3213"/>
      <c r="C109" s="2890">
        <f>(-0.163*(C108^2)-0.59*C108+7617)*(10^(-4))/C101</f>
        <v>0.30468000000000001</v>
      </c>
      <c r="D109" s="2890">
        <f>(-0.163*(D108^2)-0.59*D108+7617)*(10^(-4))/D101</f>
        <v>0.30468000000000001</v>
      </c>
      <c r="E109" s="2890">
        <f>(-0.161*(E108^2)-7.509*E108+6533)*(10^(-4))/E101</f>
        <v>0.26132</v>
      </c>
      <c r="F109" s="2890">
        <f>(-0.161*(F108^2)-7.509*F108+6533)*(10^(-4))/F101</f>
        <v>0.26132</v>
      </c>
      <c r="G109" s="2890">
        <f>(-0.161*(G108^2)-7.509*G108+6533)*(10^(-4))/G101</f>
        <v>0.26132</v>
      </c>
      <c r="H109" s="2890">
        <f>(-0.161*(H108^2)-7.509*H108+6533)*(10^(-4))/H101</f>
        <v>0.26132</v>
      </c>
      <c r="I109" s="2890">
        <f>(-0.161*(I108^2)-7.509*I108+6533)*(10^(-4))/I101</f>
        <v>0.26132</v>
      </c>
      <c r="J109" s="2890">
        <f>(-0.214*(J108^2)-21.991*J108+4665)*(10^(-4))/J101</f>
        <v>0.18660000000000002</v>
      </c>
      <c r="K109" s="2890">
        <f>(-0.214*(K108^2)-21.991*K108+4665)*(10^(-4))/K101</f>
        <v>0.18660000000000002</v>
      </c>
      <c r="L109" s="2890">
        <f>(-0.214*(L108^2)-21.991*L108+4665)*(10^(-4))/L101</f>
        <v>0.18660000000000002</v>
      </c>
      <c r="M109" s="2890">
        <f>(-0.214*(M108^2)-21.991*M108+4665)*(10^(-4))/M101</f>
        <v>0.18660000000000002</v>
      </c>
      <c r="N109" s="2890">
        <f>(-0.214*(N108^2)-21.991*N108+4665)*(10^(-4))/N101</f>
        <v>0.18660000000000002</v>
      </c>
    </row>
    <row r="110" spans="1:14">
      <c r="A110" s="3356" t="s">
        <v>2976</v>
      </c>
      <c r="B110" s="3356"/>
      <c r="C110" s="3356"/>
      <c r="D110" s="3356"/>
      <c r="E110" s="3356"/>
      <c r="F110" s="3356"/>
      <c r="G110" s="3356"/>
      <c r="H110" s="3356"/>
      <c r="I110" s="3356"/>
      <c r="J110" s="3356"/>
      <c r="K110" s="2893"/>
      <c r="L110" s="2893"/>
      <c r="M110" s="2893"/>
      <c r="N110" s="2893"/>
    </row>
    <row r="112" spans="1:14" ht="13.5" thickBot="1"/>
    <row r="113" spans="1:13" ht="15.75" thickBot="1">
      <c r="A113" s="903" t="s">
        <v>2977</v>
      </c>
      <c r="B113" s="1287">
        <f>G3</f>
        <v>2.5</v>
      </c>
      <c r="C113" s="904" t="s">
        <v>2978</v>
      </c>
      <c r="D113" s="905">
        <f>SUMPRODUCT((A115:A118=F113)*(B114:M114=H113)*B115:M118)</f>
        <v>0.82420000000000004</v>
      </c>
      <c r="E113" s="2724" t="s">
        <v>2812</v>
      </c>
      <c r="F113" s="2895" t="str">
        <f>E2</f>
        <v>办公</v>
      </c>
      <c r="G113" s="2724" t="s">
        <v>2813</v>
      </c>
      <c r="H113" s="2895" t="str">
        <f>G2</f>
        <v>七级</v>
      </c>
      <c r="I113" s="2724"/>
      <c r="J113" s="2896"/>
      <c r="K113" s="2896"/>
      <c r="L113" s="2896"/>
      <c r="M113" s="2896"/>
    </row>
    <row r="114" spans="1:13">
      <c r="A114" s="908"/>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9" t="s">
        <v>2876</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2877</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2878</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2879</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32"/>
  <sheetViews>
    <sheetView topLeftCell="A51" zoomScaleNormal="100" workbookViewId="0">
      <selection activeCell="D66" sqref="D66"/>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669" t="s">
        <v>2684</v>
      </c>
      <c r="C1" s="1620" t="s">
        <v>2528</v>
      </c>
      <c r="D1" s="1621" t="s">
        <v>3207</v>
      </c>
      <c r="E1" s="1630"/>
      <c r="F1" s="2584" t="s">
        <v>3218</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v>
      </c>
      <c r="C2" s="2586" t="s">
        <v>70</v>
      </c>
      <c r="D2" s="1365" t="e">
        <f ca="1">SUMIF(INDIRECT("'"&amp;F2&amp;"'"&amp;"!A:A"),"承租人权益价值",INDIRECT("'"&amp;F2&amp;"'"&amp;"!c:c"))</f>
        <v>#DIV/0!</v>
      </c>
      <c r="E2" s="2587" t="s">
        <v>2326</v>
      </c>
      <c r="F2" s="2588" t="s">
        <v>3166</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1.9</v>
      </c>
      <c r="C3" s="400" t="s">
        <v>2532</v>
      </c>
      <c r="D3" s="399">
        <f>IF(D1="",'数据-汇总表'!E3,SUMIF('数据-汇总表'!$C19:$C33,D1,'数据-汇总表'!$E19:$E33))</f>
        <v>8426.909999999998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57" t="s">
        <v>2534</v>
      </c>
      <c r="D4" s="3258"/>
      <c r="E4" s="3259" t="s">
        <v>2535</v>
      </c>
      <c r="F4" s="3260"/>
      <c r="G4" s="3257" t="s">
        <v>2536</v>
      </c>
      <c r="H4" s="3258"/>
      <c r="I4" s="3257" t="s">
        <v>2537</v>
      </c>
      <c r="J4" s="3258"/>
      <c r="K4" s="610" t="s">
        <v>2538</v>
      </c>
      <c r="L4" s="1130"/>
      <c r="M4" s="1131"/>
      <c r="N4" s="1131"/>
      <c r="O4" s="1131"/>
      <c r="P4" s="3261" t="s">
        <v>2539</v>
      </c>
      <c r="Q4" s="3262"/>
      <c r="R4" s="3267" t="s">
        <v>2535</v>
      </c>
      <c r="S4" s="3268"/>
      <c r="T4" s="3267" t="s">
        <v>2536</v>
      </c>
      <c r="U4" s="3268"/>
      <c r="V4" s="3273" t="s">
        <v>2537</v>
      </c>
      <c r="W4" s="3273"/>
      <c r="X4" s="3045"/>
      <c r="Y4" s="3267" t="s">
        <v>2539</v>
      </c>
      <c r="Z4" s="3268"/>
      <c r="AA4" s="3285" t="s">
        <v>2535</v>
      </c>
      <c r="AB4" s="3285" t="s">
        <v>2536</v>
      </c>
      <c r="AC4" s="3254" t="s">
        <v>2537</v>
      </c>
    </row>
    <row r="5" spans="1:29" ht="59.1" customHeight="1" thickBot="1">
      <c r="A5" s="404"/>
      <c r="B5" s="405"/>
      <c r="C5" s="3277" t="s">
        <v>3228</v>
      </c>
      <c r="D5" s="3278"/>
      <c r="E5" s="3288" t="s">
        <v>3224</v>
      </c>
      <c r="F5" s="3289"/>
      <c r="G5" s="3277" t="s">
        <v>3226</v>
      </c>
      <c r="H5" s="3278"/>
      <c r="I5" s="3277" t="s">
        <v>3229</v>
      </c>
      <c r="J5" s="3278"/>
      <c r="K5" s="610"/>
      <c r="L5" s="1130"/>
      <c r="M5" s="1131"/>
      <c r="N5" s="1131"/>
      <c r="O5" s="1131"/>
      <c r="P5" s="3263"/>
      <c r="Q5" s="3264"/>
      <c r="R5" s="3269"/>
      <c r="S5" s="3270"/>
      <c r="T5" s="3269"/>
      <c r="U5" s="3270"/>
      <c r="V5" s="3274"/>
      <c r="W5" s="3274"/>
      <c r="X5" s="3040"/>
      <c r="Y5" s="3269"/>
      <c r="Z5" s="3270"/>
      <c r="AA5" s="3286"/>
      <c r="AB5" s="3286"/>
      <c r="AC5" s="3255"/>
    </row>
    <row r="6" spans="1:29" ht="15.75" hidden="1" thickBot="1">
      <c r="A6" s="406"/>
      <c r="B6" s="407"/>
      <c r="C6" s="3275" t="s">
        <v>2544</v>
      </c>
      <c r="D6" s="3276"/>
      <c r="E6" s="3283" t="s">
        <v>2544</v>
      </c>
      <c r="F6" s="3284"/>
      <c r="G6" s="3275" t="s">
        <v>2544</v>
      </c>
      <c r="H6" s="3276"/>
      <c r="I6" s="3275" t="s">
        <v>2544</v>
      </c>
      <c r="J6" s="3276"/>
      <c r="K6" s="610" t="s">
        <v>2545</v>
      </c>
      <c r="L6" s="1130"/>
      <c r="M6" s="1131"/>
      <c r="N6" s="1131"/>
      <c r="O6" s="1131"/>
      <c r="P6" s="3265"/>
      <c r="Q6" s="3266"/>
      <c r="R6" s="3269"/>
      <c r="S6" s="3270"/>
      <c r="T6" s="3271"/>
      <c r="U6" s="3272"/>
      <c r="V6" s="3274"/>
      <c r="W6" s="3274"/>
      <c r="X6" s="3040"/>
      <c r="Y6" s="3271"/>
      <c r="Z6" s="3272"/>
      <c r="AA6" s="3287"/>
      <c r="AB6" s="3287"/>
      <c r="AC6" s="3256"/>
    </row>
    <row r="7" spans="1:29" s="117" customFormat="1" ht="15.75" thickBot="1">
      <c r="A7" s="408" t="s">
        <v>2546</v>
      </c>
      <c r="B7" s="409"/>
      <c r="C7" s="410">
        <f>'数据-取费表'!B2</f>
        <v>43923</v>
      </c>
      <c r="D7" s="411">
        <v>100</v>
      </c>
      <c r="E7" s="412">
        <f>C7</f>
        <v>43923</v>
      </c>
      <c r="F7" s="413">
        <f>SUMIF(59:59,YEAR(E7)&amp;"-"&amp;MONTH(E7),60:60)</f>
        <v>100</v>
      </c>
      <c r="G7" s="412">
        <f>C7</f>
        <v>43923</v>
      </c>
      <c r="H7" s="411">
        <f>SUMIF(59:59,YEAR(G7)&amp;"-"&amp;MONTH(G7),60:60)</f>
        <v>100</v>
      </c>
      <c r="I7" s="412">
        <f>G7</f>
        <v>43923</v>
      </c>
      <c r="J7" s="411">
        <f>SUMIF(59:59,YEAR(I7)&amp;"-"&amp;MONTH(I7),60:60)</f>
        <v>100</v>
      </c>
      <c r="K7" s="611"/>
      <c r="L7" s="1132"/>
      <c r="M7" s="1133"/>
      <c r="N7" s="1133"/>
      <c r="O7" s="1133"/>
      <c r="P7" s="3279" t="s">
        <v>2547</v>
      </c>
      <c r="Q7" s="3282"/>
      <c r="R7" s="770" t="s">
        <v>17</v>
      </c>
      <c r="S7" s="771">
        <f t="shared" ref="S7:S15" si="0">F7</f>
        <v>100</v>
      </c>
      <c r="T7" s="770" t="s">
        <v>17</v>
      </c>
      <c r="U7" s="771">
        <f t="shared" ref="U7:U15" si="1">H7</f>
        <v>100</v>
      </c>
      <c r="V7" s="770" t="s">
        <v>17</v>
      </c>
      <c r="W7" s="771">
        <f t="shared" ref="W7:W15" si="2">J7</f>
        <v>100</v>
      </c>
      <c r="X7" s="772"/>
      <c r="Y7" s="3281" t="s">
        <v>2547</v>
      </c>
      <c r="Z7" s="3280"/>
      <c r="AA7" s="773">
        <f>D7/F7</f>
        <v>1</v>
      </c>
      <c r="AB7" s="773">
        <f>D7/H7</f>
        <v>1</v>
      </c>
      <c r="AC7" s="2671">
        <f>D7/J7</f>
        <v>1</v>
      </c>
    </row>
    <row r="8" spans="1:29" s="117" customFormat="1" ht="15.75" thickBot="1">
      <c r="A8" s="408" t="s">
        <v>2548</v>
      </c>
      <c r="B8" s="409"/>
      <c r="C8" s="414" t="s">
        <v>2585</v>
      </c>
      <c r="D8" s="411">
        <v>100</v>
      </c>
      <c r="E8" s="414" t="s">
        <v>3225</v>
      </c>
      <c r="F8" s="413">
        <f>SUMIF(62:62,E8,63:63)-SUMIF(62:62,C8,63:63)+100</f>
        <v>101</v>
      </c>
      <c r="G8" s="414" t="s">
        <v>3225</v>
      </c>
      <c r="H8" s="411">
        <f>SUMIF(62:62,G8,63:63)-SUMIF(62:62,C8,63:63)+100</f>
        <v>101</v>
      </c>
      <c r="I8" s="414" t="s">
        <v>3225</v>
      </c>
      <c r="J8" s="411">
        <f>SUMIF(62:62,I8,63:63)-SUMIF(62:62,C8,63:63)+100</f>
        <v>101</v>
      </c>
      <c r="K8" s="611"/>
      <c r="L8" s="1132"/>
      <c r="M8" s="1133"/>
      <c r="N8" s="1133"/>
      <c r="O8" s="1133"/>
      <c r="P8" s="3279" t="s">
        <v>2550</v>
      </c>
      <c r="Q8" s="3280"/>
      <c r="R8" s="770" t="s">
        <v>17</v>
      </c>
      <c r="S8" s="771">
        <f t="shared" si="0"/>
        <v>101</v>
      </c>
      <c r="T8" s="770" t="s">
        <v>17</v>
      </c>
      <c r="U8" s="771">
        <f t="shared" si="1"/>
        <v>101</v>
      </c>
      <c r="V8" s="770" t="s">
        <v>17</v>
      </c>
      <c r="W8" s="771">
        <f t="shared" si="2"/>
        <v>101</v>
      </c>
      <c r="X8" s="772"/>
      <c r="Y8" s="3281" t="s">
        <v>2550</v>
      </c>
      <c r="Z8" s="3280"/>
      <c r="AA8" s="773">
        <f t="shared" ref="AA8:AA47" si="3">D8/F8</f>
        <v>0.99009900990099009</v>
      </c>
      <c r="AB8" s="773">
        <f t="shared" ref="AB8:AB47" si="4">D8/H8</f>
        <v>0.99009900990099009</v>
      </c>
      <c r="AC8" s="2671">
        <f t="shared" ref="AC8:AC47" si="5">D8/J8</f>
        <v>0.99009900990099009</v>
      </c>
    </row>
    <row r="9" spans="1:29" s="117" customFormat="1">
      <c r="A9" s="415" t="s">
        <v>2551</v>
      </c>
      <c r="B9" s="71" t="s">
        <v>2552</v>
      </c>
      <c r="C9" s="416" t="s">
        <v>3227</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39" t="s">
        <v>2553</v>
      </c>
      <c r="Q9" s="3025" t="str">
        <f t="shared" ref="Q9:Q15" si="6">B9</f>
        <v>用途</v>
      </c>
      <c r="R9" s="770" t="s">
        <v>17</v>
      </c>
      <c r="S9" s="771">
        <f t="shared" si="0"/>
        <v>100</v>
      </c>
      <c r="T9" s="770" t="s">
        <v>17</v>
      </c>
      <c r="U9" s="771">
        <f t="shared" si="1"/>
        <v>100</v>
      </c>
      <c r="V9" s="770" t="s">
        <v>17</v>
      </c>
      <c r="W9" s="771">
        <f t="shared" si="2"/>
        <v>100</v>
      </c>
      <c r="X9" s="772"/>
      <c r="Y9" s="3097" t="s">
        <v>2554</v>
      </c>
      <c r="Z9" s="3026" t="str">
        <f t="shared" ref="Z9:Z15" si="7">Q9</f>
        <v>用途</v>
      </c>
      <c r="AA9" s="773">
        <f t="shared" si="3"/>
        <v>1</v>
      </c>
      <c r="AB9" s="773">
        <f t="shared" si="4"/>
        <v>1</v>
      </c>
      <c r="AC9" s="2671">
        <f t="shared" si="5"/>
        <v>1</v>
      </c>
    </row>
    <row r="10" spans="1:29" s="427" customFormat="1" ht="27">
      <c r="A10" s="421"/>
      <c r="B10" s="3027" t="s">
        <v>2555</v>
      </c>
      <c r="C10" s="423" t="s">
        <v>3230</v>
      </c>
      <c r="D10" s="136">
        <v>100</v>
      </c>
      <c r="E10" s="423" t="s">
        <v>3230</v>
      </c>
      <c r="F10" s="136">
        <f>SUMIF(66:66,E10,67:67)-SUMIF(66:66,C10,67:67)+100</f>
        <v>100</v>
      </c>
      <c r="G10" s="424" t="s">
        <v>3230</v>
      </c>
      <c r="H10" s="136">
        <f>SUMIF(66:66,G10,67:67)-SUMIF(66:66,C10,67:67)+100</f>
        <v>100</v>
      </c>
      <c r="I10" s="423" t="s">
        <v>3230</v>
      </c>
      <c r="J10" s="136">
        <f>SUMIF(66:66,I10,67:67)-SUMIF(66:66,C10,67:67)+100</f>
        <v>100</v>
      </c>
      <c r="K10" s="612">
        <v>2</v>
      </c>
      <c r="L10" s="1135"/>
      <c r="M10" s="1136"/>
      <c r="N10" s="1136"/>
      <c r="O10" s="1136"/>
      <c r="P10" s="3239"/>
      <c r="Q10" s="3025" t="str">
        <f t="shared" si="6"/>
        <v>土地使用年限（年）</v>
      </c>
      <c r="R10" s="770" t="s">
        <v>17</v>
      </c>
      <c r="S10" s="771">
        <f t="shared" si="0"/>
        <v>100</v>
      </c>
      <c r="T10" s="770" t="s">
        <v>17</v>
      </c>
      <c r="U10" s="771">
        <f t="shared" si="1"/>
        <v>100</v>
      </c>
      <c r="V10" s="770" t="s">
        <v>17</v>
      </c>
      <c r="W10" s="771">
        <f t="shared" si="2"/>
        <v>100</v>
      </c>
      <c r="X10" s="772"/>
      <c r="Y10" s="3097"/>
      <c r="Z10" s="3026" t="str">
        <f t="shared" si="7"/>
        <v>土地使用年限（年）</v>
      </c>
      <c r="AA10" s="773">
        <f t="shared" si="3"/>
        <v>1</v>
      </c>
      <c r="AB10" s="773">
        <f t="shared" si="4"/>
        <v>1</v>
      </c>
      <c r="AC10" s="2671">
        <f t="shared" si="5"/>
        <v>1</v>
      </c>
    </row>
    <row r="11" spans="1:29" ht="15">
      <c r="A11" s="428"/>
      <c r="B11" s="302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8"/>
      <c r="M11" s="1131"/>
      <c r="N11" s="1131"/>
      <c r="O11" s="1131"/>
      <c r="P11" s="3239"/>
      <c r="Q11" s="3025" t="str">
        <f t="shared" si="6"/>
        <v>容积率</v>
      </c>
      <c r="R11" s="770" t="s">
        <v>17</v>
      </c>
      <c r="S11" s="771">
        <f t="shared" si="0"/>
        <v>100</v>
      </c>
      <c r="T11" s="770" t="s">
        <v>17</v>
      </c>
      <c r="U11" s="771">
        <f t="shared" si="1"/>
        <v>100</v>
      </c>
      <c r="V11" s="770" t="s">
        <v>17</v>
      </c>
      <c r="W11" s="771">
        <f t="shared" si="2"/>
        <v>100</v>
      </c>
      <c r="X11" s="772"/>
      <c r="Y11" s="3097"/>
      <c r="Z11" s="3026" t="str">
        <f t="shared" si="7"/>
        <v>容积率</v>
      </c>
      <c r="AA11" s="773">
        <f t="shared" si="3"/>
        <v>1</v>
      </c>
      <c r="AB11" s="773">
        <f t="shared" si="4"/>
        <v>1</v>
      </c>
      <c r="AC11" s="2671">
        <f t="shared" si="5"/>
        <v>1</v>
      </c>
    </row>
    <row r="12" spans="1:29" s="117" customFormat="1" ht="15">
      <c r="A12" s="431"/>
      <c r="B12" s="3049" t="s">
        <v>3267</v>
      </c>
      <c r="C12" s="3050" t="s">
        <v>3271</v>
      </c>
      <c r="D12" s="433">
        <v>100</v>
      </c>
      <c r="E12" s="3050" t="s">
        <v>3272</v>
      </c>
      <c r="F12" s="136">
        <f>SUMIF(71:71,E12,72:72)-SUMIF(71:71,C12,72:72)+100</f>
        <v>100</v>
      </c>
      <c r="G12" s="3052" t="s">
        <v>3272</v>
      </c>
      <c r="H12" s="136">
        <f>SUMIF(71:71,G12,72:72)-SUMIF(71:71,C12,72:72)+100</f>
        <v>100</v>
      </c>
      <c r="I12" s="3050" t="s">
        <v>3272</v>
      </c>
      <c r="J12" s="136">
        <f>SUMIF(71:71,I12,72:72)-SUMIF(71:71,C12,72:72)+100</f>
        <v>100</v>
      </c>
      <c r="K12" s="613"/>
      <c r="L12" s="1132"/>
      <c r="M12" s="1133"/>
      <c r="N12" s="1133"/>
      <c r="O12" s="1133"/>
      <c r="P12" s="3239"/>
      <c r="Q12" s="3025" t="str">
        <f t="shared" si="6"/>
        <v>权属是否完整</v>
      </c>
      <c r="R12" s="770" t="s">
        <v>17</v>
      </c>
      <c r="S12" s="771">
        <f t="shared" si="0"/>
        <v>100</v>
      </c>
      <c r="T12" s="770" t="s">
        <v>17</v>
      </c>
      <c r="U12" s="771">
        <f t="shared" si="1"/>
        <v>100</v>
      </c>
      <c r="V12" s="770" t="s">
        <v>17</v>
      </c>
      <c r="W12" s="771">
        <f t="shared" si="2"/>
        <v>100</v>
      </c>
      <c r="X12" s="772"/>
      <c r="Y12" s="3097"/>
      <c r="Z12" s="3026" t="str">
        <f t="shared" si="7"/>
        <v>权属是否完整</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39"/>
      <c r="Q13" s="3025">
        <f t="shared" si="6"/>
        <v>111</v>
      </c>
      <c r="R13" s="770" t="s">
        <v>17</v>
      </c>
      <c r="S13" s="771">
        <f t="shared" si="0"/>
        <v>100</v>
      </c>
      <c r="T13" s="770" t="s">
        <v>17</v>
      </c>
      <c r="U13" s="771">
        <f t="shared" si="1"/>
        <v>100</v>
      </c>
      <c r="V13" s="770" t="s">
        <v>17</v>
      </c>
      <c r="W13" s="771">
        <f t="shared" si="2"/>
        <v>100</v>
      </c>
      <c r="X13" s="772"/>
      <c r="Y13" s="3097"/>
      <c r="Z13" s="3026">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39"/>
      <c r="Q14" s="3025">
        <f t="shared" si="6"/>
        <v>111</v>
      </c>
      <c r="R14" s="770" t="s">
        <v>17</v>
      </c>
      <c r="S14" s="771">
        <f t="shared" si="0"/>
        <v>100</v>
      </c>
      <c r="T14" s="770" t="s">
        <v>17</v>
      </c>
      <c r="U14" s="771">
        <f t="shared" si="1"/>
        <v>100</v>
      </c>
      <c r="V14" s="770" t="s">
        <v>17</v>
      </c>
      <c r="W14" s="771">
        <f t="shared" si="2"/>
        <v>100</v>
      </c>
      <c r="X14" s="772"/>
      <c r="Y14" s="3097"/>
      <c r="Z14" s="3026">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45" t="s">
        <v>2558</v>
      </c>
      <c r="Q15" s="3043" t="str">
        <f t="shared" si="6"/>
        <v>办公集聚程度</v>
      </c>
      <c r="R15" s="774" t="s">
        <v>17</v>
      </c>
      <c r="S15" s="775">
        <f t="shared" si="0"/>
        <v>100</v>
      </c>
      <c r="T15" s="774" t="s">
        <v>17</v>
      </c>
      <c r="U15" s="775">
        <f t="shared" si="1"/>
        <v>100</v>
      </c>
      <c r="V15" s="774" t="s">
        <v>17</v>
      </c>
      <c r="W15" s="775">
        <f t="shared" si="2"/>
        <v>100</v>
      </c>
      <c r="X15" s="3040"/>
      <c r="Y15" s="3247" t="s">
        <v>2558</v>
      </c>
      <c r="Z15" s="3041" t="str">
        <f t="shared" si="7"/>
        <v>办公集聚程度</v>
      </c>
      <c r="AA15" s="3044">
        <f t="shared" si="3"/>
        <v>1</v>
      </c>
      <c r="AB15" s="3044">
        <f t="shared" si="4"/>
        <v>1</v>
      </c>
      <c r="AC15" s="2674">
        <f t="shared" si="5"/>
        <v>1</v>
      </c>
    </row>
    <row r="16" spans="1:29" ht="15">
      <c r="A16" s="428"/>
      <c r="B16" s="630"/>
      <c r="C16" s="2611" t="s">
        <v>3215</v>
      </c>
      <c r="D16" s="448"/>
      <c r="E16" s="447" t="s">
        <v>3215</v>
      </c>
      <c r="F16" s="448"/>
      <c r="G16" s="2611" t="s">
        <v>3215</v>
      </c>
      <c r="H16" s="450"/>
      <c r="I16" s="447" t="s">
        <v>3215</v>
      </c>
      <c r="J16" s="448"/>
      <c r="K16" s="615"/>
      <c r="L16" s="1140"/>
      <c r="M16" s="1131"/>
      <c r="N16" s="1131"/>
      <c r="O16" s="1131"/>
      <c r="P16" s="3246"/>
      <c r="Q16" s="3043"/>
      <c r="R16" s="774"/>
      <c r="S16" s="775"/>
      <c r="T16" s="774"/>
      <c r="U16" s="775"/>
      <c r="V16" s="774"/>
      <c r="W16" s="775"/>
      <c r="X16" s="3040"/>
      <c r="Y16" s="3248"/>
      <c r="Z16" s="3041"/>
      <c r="AA16" s="3044">
        <v>1</v>
      </c>
      <c r="AB16" s="3044">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46"/>
      <c r="Q17" s="3043" t="str">
        <f>B17</f>
        <v>交通便捷度</v>
      </c>
      <c r="R17" s="774" t="s">
        <v>17</v>
      </c>
      <c r="S17" s="775">
        <f>F17</f>
        <v>100</v>
      </c>
      <c r="T17" s="774" t="s">
        <v>17</v>
      </c>
      <c r="U17" s="775">
        <f>H17</f>
        <v>100</v>
      </c>
      <c r="V17" s="774" t="s">
        <v>17</v>
      </c>
      <c r="W17" s="775">
        <f>J17</f>
        <v>100</v>
      </c>
      <c r="X17" s="3040"/>
      <c r="Y17" s="3248"/>
      <c r="Z17" s="3041" t="str">
        <f>Q17</f>
        <v>交通便捷度</v>
      </c>
      <c r="AA17" s="3044">
        <f t="shared" si="3"/>
        <v>1</v>
      </c>
      <c r="AB17" s="3044">
        <f t="shared" si="4"/>
        <v>1</v>
      </c>
      <c r="AC17" s="2674">
        <f t="shared" si="5"/>
        <v>1</v>
      </c>
    </row>
    <row r="18" spans="1:29" ht="15">
      <c r="A18" s="428"/>
      <c r="B18" s="632"/>
      <c r="C18" s="2676" t="s">
        <v>3216</v>
      </c>
      <c r="D18" s="450"/>
      <c r="E18" s="2609" t="s">
        <v>3216</v>
      </c>
      <c r="F18" s="450"/>
      <c r="G18" s="2610" t="s">
        <v>3216</v>
      </c>
      <c r="H18" s="448"/>
      <c r="I18" s="2610" t="s">
        <v>3216</v>
      </c>
      <c r="J18" s="448"/>
      <c r="K18" s="615"/>
      <c r="L18" s="1140"/>
      <c r="M18" s="1131"/>
      <c r="N18" s="1131"/>
      <c r="O18" s="1131"/>
      <c r="P18" s="3246"/>
      <c r="Q18" s="3043"/>
      <c r="R18" s="774"/>
      <c r="S18" s="775"/>
      <c r="T18" s="774"/>
      <c r="U18" s="775"/>
      <c r="V18" s="774"/>
      <c r="W18" s="775"/>
      <c r="X18" s="3040"/>
      <c r="Y18" s="3248"/>
      <c r="Z18" s="3041"/>
      <c r="AA18" s="3044">
        <v>1</v>
      </c>
      <c r="AB18" s="3044">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6"/>
      <c r="Q19" s="3043" t="str">
        <f>B19</f>
        <v>公共配套设施</v>
      </c>
      <c r="R19" s="774" t="s">
        <v>17</v>
      </c>
      <c r="S19" s="775">
        <f>F19</f>
        <v>100</v>
      </c>
      <c r="T19" s="774" t="s">
        <v>17</v>
      </c>
      <c r="U19" s="775">
        <f>H19</f>
        <v>100</v>
      </c>
      <c r="V19" s="774" t="s">
        <v>17</v>
      </c>
      <c r="W19" s="775">
        <f>J19</f>
        <v>100</v>
      </c>
      <c r="X19" s="3040"/>
      <c r="Y19" s="3248"/>
      <c r="Z19" s="3041" t="str">
        <f>Q19</f>
        <v>公共配套设施</v>
      </c>
      <c r="AA19" s="3044">
        <f t="shared" si="3"/>
        <v>1</v>
      </c>
      <c r="AB19" s="3044">
        <f t="shared" si="4"/>
        <v>1</v>
      </c>
      <c r="AC19" s="2674">
        <f t="shared" si="5"/>
        <v>1</v>
      </c>
    </row>
    <row r="20" spans="1:29" ht="15">
      <c r="A20" s="428"/>
      <c r="B20" s="632"/>
      <c r="C20" s="2611" t="s">
        <v>3216</v>
      </c>
      <c r="D20" s="448"/>
      <c r="E20" s="2604" t="s">
        <v>3216</v>
      </c>
      <c r="F20" s="448"/>
      <c r="G20" s="2605" t="s">
        <v>3216</v>
      </c>
      <c r="H20" s="448"/>
      <c r="I20" s="2605" t="s">
        <v>3216</v>
      </c>
      <c r="J20" s="448"/>
      <c r="K20" s="615"/>
      <c r="L20" s="1140"/>
      <c r="M20" s="1131"/>
      <c r="N20" s="1131"/>
      <c r="O20" s="1131"/>
      <c r="P20" s="3246"/>
      <c r="Q20" s="3043"/>
      <c r="R20" s="774"/>
      <c r="S20" s="775"/>
      <c r="T20" s="774"/>
      <c r="U20" s="775"/>
      <c r="V20" s="774"/>
      <c r="W20" s="775"/>
      <c r="X20" s="3040"/>
      <c r="Y20" s="3248"/>
      <c r="Z20" s="3041"/>
      <c r="AA20" s="3044">
        <v>1</v>
      </c>
      <c r="AB20" s="3044">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6"/>
      <c r="Q21" s="3043" t="str">
        <f>B21</f>
        <v>基础设施水平</v>
      </c>
      <c r="R21" s="774" t="s">
        <v>17</v>
      </c>
      <c r="S21" s="775">
        <f>F21</f>
        <v>100</v>
      </c>
      <c r="T21" s="774" t="s">
        <v>17</v>
      </c>
      <c r="U21" s="775">
        <f>H21</f>
        <v>100</v>
      </c>
      <c r="V21" s="774" t="s">
        <v>17</v>
      </c>
      <c r="W21" s="775">
        <f>J21</f>
        <v>100</v>
      </c>
      <c r="X21" s="3040"/>
      <c r="Y21" s="3248"/>
      <c r="Z21" s="3041" t="str">
        <f>Q21</f>
        <v>基础设施水平</v>
      </c>
      <c r="AA21" s="3044">
        <f t="shared" ref="AA21" si="8">D21/F21</f>
        <v>1</v>
      </c>
      <c r="AB21" s="3044">
        <f t="shared" ref="AB21" si="9">D21/H21</f>
        <v>1</v>
      </c>
      <c r="AC21" s="2674">
        <f t="shared" ref="AC21" si="10">D21/J21</f>
        <v>1</v>
      </c>
    </row>
    <row r="22" spans="1:29" ht="15">
      <c r="A22" s="428"/>
      <c r="B22" s="633"/>
      <c r="C22" s="2676" t="s">
        <v>3231</v>
      </c>
      <c r="D22" s="448"/>
      <c r="E22" s="447" t="s">
        <v>3231</v>
      </c>
      <c r="F22" s="448"/>
      <c r="G22" s="2611" t="s">
        <v>3231</v>
      </c>
      <c r="H22" s="448"/>
      <c r="I22" s="2611" t="s">
        <v>3231</v>
      </c>
      <c r="J22" s="448"/>
      <c r="K22" s="1383"/>
      <c r="L22" s="1140"/>
      <c r="M22" s="1131"/>
      <c r="N22" s="1131"/>
      <c r="O22" s="1131"/>
      <c r="P22" s="3246"/>
      <c r="Q22" s="3043"/>
      <c r="R22" s="774"/>
      <c r="S22" s="775"/>
      <c r="T22" s="774"/>
      <c r="U22" s="775"/>
      <c r="V22" s="774"/>
      <c r="W22" s="775"/>
      <c r="X22" s="3040"/>
      <c r="Y22" s="3248"/>
      <c r="Z22" s="3041"/>
      <c r="AA22" s="3044">
        <v>1</v>
      </c>
      <c r="AB22" s="3044">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SUMIF(85:85,C24,86:86)-SUMIF(85:85,C24,86:86)+100</f>
        <v>100</v>
      </c>
      <c r="K23" s="614">
        <v>2</v>
      </c>
      <c r="L23" s="1140"/>
      <c r="M23" s="1131"/>
      <c r="N23" s="1131"/>
      <c r="O23" s="1131"/>
      <c r="P23" s="3246"/>
      <c r="Q23" s="3043" t="str">
        <f>B23</f>
        <v>环境质量</v>
      </c>
      <c r="R23" s="774" t="s">
        <v>17</v>
      </c>
      <c r="S23" s="775">
        <f>F23</f>
        <v>100</v>
      </c>
      <c r="T23" s="774" t="s">
        <v>17</v>
      </c>
      <c r="U23" s="775">
        <f>H23</f>
        <v>100</v>
      </c>
      <c r="V23" s="774" t="s">
        <v>17</v>
      </c>
      <c r="W23" s="775">
        <f>J23</f>
        <v>100</v>
      </c>
      <c r="X23" s="3040"/>
      <c r="Y23" s="3248"/>
      <c r="Z23" s="3041" t="str">
        <f>Q23</f>
        <v>环境质量</v>
      </c>
      <c r="AA23" s="3044">
        <f t="shared" si="3"/>
        <v>1</v>
      </c>
      <c r="AB23" s="3044">
        <f t="shared" si="4"/>
        <v>1</v>
      </c>
      <c r="AC23" s="2674">
        <f t="shared" si="5"/>
        <v>1</v>
      </c>
    </row>
    <row r="24" spans="1:29" ht="15">
      <c r="A24" s="428"/>
      <c r="B24" s="633"/>
      <c r="C24" s="2611" t="s">
        <v>3216</v>
      </c>
      <c r="D24" s="448"/>
      <c r="E24" s="2604" t="s">
        <v>3216</v>
      </c>
      <c r="F24" s="448"/>
      <c r="G24" s="2605" t="s">
        <v>3216</v>
      </c>
      <c r="H24" s="448"/>
      <c r="I24" s="2605" t="s">
        <v>3216</v>
      </c>
      <c r="J24" s="448"/>
      <c r="K24" s="615"/>
      <c r="L24" s="1140"/>
      <c r="M24" s="1131"/>
      <c r="N24" s="1131"/>
      <c r="O24" s="1131"/>
      <c r="P24" s="3246"/>
      <c r="Q24" s="3043"/>
      <c r="R24" s="774"/>
      <c r="S24" s="775"/>
      <c r="T24" s="774"/>
      <c r="U24" s="775"/>
      <c r="V24" s="774"/>
      <c r="W24" s="775"/>
      <c r="X24" s="3040"/>
      <c r="Y24" s="3248"/>
      <c r="Z24" s="3041"/>
      <c r="AA24" s="3044">
        <v>1</v>
      </c>
      <c r="AB24" s="3044">
        <v>1</v>
      </c>
      <c r="AC24" s="2674">
        <v>1</v>
      </c>
    </row>
    <row r="25" spans="1:29" ht="27">
      <c r="A25" s="404"/>
      <c r="B25" s="631" t="s">
        <v>2689</v>
      </c>
      <c r="C25" s="2615"/>
      <c r="D25" s="435">
        <v>100</v>
      </c>
      <c r="E25" s="434"/>
      <c r="F25" s="435">
        <f>SUMIF(87:87,E26,88:88)-SUMIF(87:87,C26,88:88)+100</f>
        <v>103</v>
      </c>
      <c r="G25" s="2615"/>
      <c r="H25" s="435">
        <f>SUMIF(87:87,G26,88:88)-SUMIF(87:87,C26,88:88)+100</f>
        <v>100</v>
      </c>
      <c r="J25" s="435">
        <f>SUMIF(87:87,I26,88:88)-SUMIF(87:87,C26,88:88)+100</f>
        <v>100</v>
      </c>
      <c r="K25" s="614">
        <v>3</v>
      </c>
      <c r="L25" s="1140"/>
      <c r="M25" s="1131"/>
      <c r="N25" s="1131"/>
      <c r="O25" s="1131"/>
      <c r="P25" s="3246"/>
      <c r="Q25" s="3043" t="str">
        <f>B25</f>
        <v>毗邻道路的类型与等级</v>
      </c>
      <c r="R25" s="774" t="s">
        <v>17</v>
      </c>
      <c r="S25" s="775">
        <f>F25</f>
        <v>103</v>
      </c>
      <c r="T25" s="774" t="s">
        <v>17</v>
      </c>
      <c r="U25" s="775">
        <f>H25</f>
        <v>100</v>
      </c>
      <c r="V25" s="774" t="s">
        <v>17</v>
      </c>
      <c r="W25" s="775">
        <f>J25</f>
        <v>100</v>
      </c>
      <c r="X25" s="3040"/>
      <c r="Y25" s="3248"/>
      <c r="Z25" s="3041" t="str">
        <f>Q25</f>
        <v>毗邻道路的类型与等级</v>
      </c>
      <c r="AA25" s="3044">
        <f t="shared" si="3"/>
        <v>0.970873786407767</v>
      </c>
      <c r="AB25" s="3044">
        <f t="shared" si="4"/>
        <v>1</v>
      </c>
      <c r="AC25" s="2674">
        <f t="shared" si="5"/>
        <v>1</v>
      </c>
    </row>
    <row r="26" spans="1:29" ht="15">
      <c r="A26" s="404"/>
      <c r="B26" s="632"/>
      <c r="C26" s="634" t="s">
        <v>3234</v>
      </c>
      <c r="D26" s="435"/>
      <c r="E26" s="616" t="s">
        <v>3233</v>
      </c>
      <c r="F26" s="435"/>
      <c r="G26" s="634" t="s">
        <v>3234</v>
      </c>
      <c r="H26" s="435"/>
      <c r="I26" s="616" t="s">
        <v>3234</v>
      </c>
      <c r="J26" s="435"/>
      <c r="K26" s="615"/>
      <c r="L26" s="1140"/>
      <c r="M26" s="1131"/>
      <c r="N26" s="1131"/>
      <c r="O26" s="1131"/>
      <c r="P26" s="3246"/>
      <c r="Q26" s="3043"/>
      <c r="R26" s="774"/>
      <c r="S26" s="775"/>
      <c r="T26" s="774"/>
      <c r="U26" s="775"/>
      <c r="V26" s="774"/>
      <c r="W26" s="775"/>
      <c r="X26" s="3040"/>
      <c r="Y26" s="3248"/>
      <c r="Z26" s="3041"/>
      <c r="AA26" s="3044">
        <v>1</v>
      </c>
      <c r="AB26" s="3044">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3043" t="str">
        <f t="shared" ref="Q27:Q47" si="11">B27</f>
        <v>楼层</v>
      </c>
      <c r="R27" s="774" t="s">
        <v>17</v>
      </c>
      <c r="S27" s="775">
        <f>F27</f>
        <v>100</v>
      </c>
      <c r="T27" s="774" t="s">
        <v>17</v>
      </c>
      <c r="U27" s="775">
        <f>H27</f>
        <v>100</v>
      </c>
      <c r="V27" s="774" t="s">
        <v>17</v>
      </c>
      <c r="W27" s="775">
        <f>J27</f>
        <v>100</v>
      </c>
      <c r="X27" s="3040"/>
      <c r="Y27" s="3248"/>
      <c r="Z27" s="3041" t="str">
        <f>Q27</f>
        <v>楼层</v>
      </c>
      <c r="AA27" s="3044">
        <f t="shared" si="3"/>
        <v>1</v>
      </c>
      <c r="AB27" s="3044">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6"/>
      <c r="Q28" s="3025" t="str">
        <f t="shared" si="11"/>
        <v>朝向</v>
      </c>
      <c r="R28" s="770" t="s">
        <v>17</v>
      </c>
      <c r="S28" s="771">
        <f>F28</f>
        <v>100</v>
      </c>
      <c r="T28" s="770" t="s">
        <v>17</v>
      </c>
      <c r="U28" s="771">
        <f>H28</f>
        <v>100</v>
      </c>
      <c r="V28" s="770" t="s">
        <v>17</v>
      </c>
      <c r="W28" s="771">
        <f>J28</f>
        <v>100</v>
      </c>
      <c r="X28" s="772"/>
      <c r="Y28" s="3248"/>
      <c r="Z28" s="3026" t="str">
        <f>Q28</f>
        <v>朝向</v>
      </c>
      <c r="AA28" s="3044">
        <f>D28/F28</f>
        <v>1</v>
      </c>
      <c r="AB28" s="3044">
        <f>D28/H28</f>
        <v>1</v>
      </c>
      <c r="AC28" s="2674">
        <f>D28/J28</f>
        <v>1</v>
      </c>
    </row>
    <row r="29" spans="1:29" ht="15.75" thickBot="1">
      <c r="A29" s="428"/>
      <c r="B29" s="2678" t="s">
        <v>3250</v>
      </c>
      <c r="C29" s="2615" t="s">
        <v>3251</v>
      </c>
      <c r="D29" s="435">
        <v>100</v>
      </c>
      <c r="E29" s="432" t="s">
        <v>3252</v>
      </c>
      <c r="F29" s="435">
        <f>SUMIF(93:93,E29,94:94)-SUMIF(93:93,C29,94:94)+100</f>
        <v>95</v>
      </c>
      <c r="G29" s="2672" t="s">
        <v>3253</v>
      </c>
      <c r="H29" s="435">
        <f>SUMIF(93:93,G29,94:94)-SUMIF(93:93,C29,94:94)+100</f>
        <v>95</v>
      </c>
      <c r="I29" s="432" t="s">
        <v>3252</v>
      </c>
      <c r="J29" s="435">
        <f>SUMIF(93:93,I29,94:94)-SUMIF(93:93,C29,94:94)+100</f>
        <v>95</v>
      </c>
      <c r="K29" s="613"/>
      <c r="L29" s="1140"/>
      <c r="M29" s="1131"/>
      <c r="N29" s="1131"/>
      <c r="O29" s="1131"/>
      <c r="P29" s="3246"/>
      <c r="Q29" s="3043" t="str">
        <f t="shared" si="11"/>
        <v>经营模式</v>
      </c>
      <c r="R29" s="774" t="s">
        <v>17</v>
      </c>
      <c r="S29" s="775">
        <f t="shared" ref="S29:S47" si="12">F29</f>
        <v>95</v>
      </c>
      <c r="T29" s="774" t="s">
        <v>17</v>
      </c>
      <c r="U29" s="775">
        <f t="shared" ref="U29:U47" si="13">H29</f>
        <v>95</v>
      </c>
      <c r="V29" s="774" t="s">
        <v>17</v>
      </c>
      <c r="W29" s="775">
        <f t="shared" ref="W29:W47" si="14">J29</f>
        <v>95</v>
      </c>
      <c r="X29" s="3040"/>
      <c r="Y29" s="3248"/>
      <c r="Z29" s="3041" t="str">
        <f t="shared" ref="Z29:Z47" si="15">Q29</f>
        <v>经营模式</v>
      </c>
      <c r="AA29" s="3044">
        <f t="shared" si="3"/>
        <v>1.0526315789473684</v>
      </c>
      <c r="AB29" s="3044">
        <f t="shared" si="4"/>
        <v>1.0526315789473684</v>
      </c>
      <c r="AC29" s="2674">
        <f t="shared" si="5"/>
        <v>1.0526315789473684</v>
      </c>
    </row>
    <row r="30" spans="1:29" ht="15.75" hidden="1" thickBot="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6"/>
      <c r="Q30" s="3043">
        <f t="shared" si="11"/>
        <v>111</v>
      </c>
      <c r="R30" s="774" t="s">
        <v>17</v>
      </c>
      <c r="S30" s="775">
        <f t="shared" si="12"/>
        <v>100</v>
      </c>
      <c r="T30" s="774" t="s">
        <v>17</v>
      </c>
      <c r="U30" s="775">
        <f t="shared" si="13"/>
        <v>100</v>
      </c>
      <c r="V30" s="774" t="s">
        <v>17</v>
      </c>
      <c r="W30" s="775">
        <f t="shared" si="14"/>
        <v>100</v>
      </c>
      <c r="X30" s="3040"/>
      <c r="Y30" s="3248"/>
      <c r="Z30" s="3041">
        <f t="shared" si="15"/>
        <v>111</v>
      </c>
      <c r="AA30" s="3044">
        <f t="shared" si="3"/>
        <v>1</v>
      </c>
      <c r="AB30" s="3044">
        <f t="shared" si="4"/>
        <v>1</v>
      </c>
      <c r="AC30" s="2674">
        <f t="shared" si="5"/>
        <v>1</v>
      </c>
    </row>
    <row r="31" spans="1:29" ht="15.75" hidden="1" thickBot="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6"/>
      <c r="Q31" s="3043">
        <f t="shared" si="11"/>
        <v>111</v>
      </c>
      <c r="R31" s="774" t="s">
        <v>17</v>
      </c>
      <c r="S31" s="775">
        <f t="shared" si="12"/>
        <v>100</v>
      </c>
      <c r="T31" s="774" t="s">
        <v>17</v>
      </c>
      <c r="U31" s="775">
        <f t="shared" si="13"/>
        <v>100</v>
      </c>
      <c r="V31" s="774" t="s">
        <v>17</v>
      </c>
      <c r="W31" s="775">
        <f t="shared" si="14"/>
        <v>100</v>
      </c>
      <c r="X31" s="3040"/>
      <c r="Y31" s="3248"/>
      <c r="Z31" s="3041">
        <f t="shared" si="15"/>
        <v>111</v>
      </c>
      <c r="AA31" s="3044">
        <f t="shared" si="3"/>
        <v>1</v>
      </c>
      <c r="AB31" s="3044">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6"/>
      <c r="Q32" s="3043">
        <f t="shared" si="11"/>
        <v>111</v>
      </c>
      <c r="R32" s="774" t="s">
        <v>17</v>
      </c>
      <c r="S32" s="775">
        <f t="shared" si="12"/>
        <v>100</v>
      </c>
      <c r="T32" s="774" t="s">
        <v>17</v>
      </c>
      <c r="U32" s="775">
        <f t="shared" si="13"/>
        <v>100</v>
      </c>
      <c r="V32" s="774" t="s">
        <v>17</v>
      </c>
      <c r="W32" s="775">
        <f t="shared" si="14"/>
        <v>100</v>
      </c>
      <c r="X32" s="3040"/>
      <c r="Y32" s="3248"/>
      <c r="Z32" s="3041">
        <f t="shared" si="15"/>
        <v>111</v>
      </c>
      <c r="AA32" s="3044">
        <f t="shared" si="3"/>
        <v>1</v>
      </c>
      <c r="AB32" s="3044">
        <f t="shared" si="4"/>
        <v>1</v>
      </c>
      <c r="AC32" s="2674">
        <f t="shared" si="5"/>
        <v>1</v>
      </c>
    </row>
    <row r="33" spans="1:29" ht="15">
      <c r="A33" s="440" t="s">
        <v>2561</v>
      </c>
      <c r="B33" s="71" t="s">
        <v>2691</v>
      </c>
      <c r="C33" s="2679" t="s">
        <v>3254</v>
      </c>
      <c r="D33" s="467">
        <v>100</v>
      </c>
      <c r="E33" s="2679" t="s">
        <v>3255</v>
      </c>
      <c r="F33" s="461">
        <f>SUMIF(101:101,E33,102:102)-SUMIF(101:101,C33,102:102)+100</f>
        <v>98</v>
      </c>
      <c r="G33" s="2679" t="s">
        <v>3255</v>
      </c>
      <c r="H33" s="435">
        <f>SUMIF(101:101,G33,102:102)-SUMIF(101:101,C33,102:102)+100</f>
        <v>98</v>
      </c>
      <c r="I33" s="2679" t="s">
        <v>3255</v>
      </c>
      <c r="J33" s="467">
        <f>SUMIF(101:101,I33,102:102)-SUMIF(101:101,C33,102:102)+100</f>
        <v>98</v>
      </c>
      <c r="K33" s="612">
        <v>2</v>
      </c>
      <c r="L33" s="1140"/>
      <c r="M33" s="1131"/>
      <c r="N33" s="1131"/>
      <c r="O33" s="1131"/>
      <c r="P33" s="3249" t="s">
        <v>2563</v>
      </c>
      <c r="Q33" s="3043" t="str">
        <f t="shared" si="11"/>
        <v>建筑类型</v>
      </c>
      <c r="R33" s="774" t="s">
        <v>17</v>
      </c>
      <c r="S33" s="775">
        <f t="shared" si="12"/>
        <v>98</v>
      </c>
      <c r="T33" s="774" t="s">
        <v>17</v>
      </c>
      <c r="U33" s="775">
        <f t="shared" si="13"/>
        <v>98</v>
      </c>
      <c r="V33" s="774" t="s">
        <v>17</v>
      </c>
      <c r="W33" s="775">
        <f t="shared" si="14"/>
        <v>98</v>
      </c>
      <c r="X33" s="3040"/>
      <c r="Y33" s="3252" t="s">
        <v>2563</v>
      </c>
      <c r="Z33" s="3041" t="str">
        <f t="shared" si="15"/>
        <v>建筑类型</v>
      </c>
      <c r="AA33" s="3044">
        <f t="shared" si="3"/>
        <v>1.0204081632653061</v>
      </c>
      <c r="AB33" s="3044">
        <f t="shared" si="4"/>
        <v>1.0204081632653061</v>
      </c>
      <c r="AC33" s="2674">
        <f t="shared" si="5"/>
        <v>1.0204081632653061</v>
      </c>
    </row>
    <row r="34" spans="1:29" s="471" customFormat="1" ht="15" hidden="1">
      <c r="A34" s="468"/>
      <c r="B34" s="3027" t="s">
        <v>2564</v>
      </c>
      <c r="C34" s="469">
        <v>1</v>
      </c>
      <c r="D34" s="136">
        <v>100</v>
      </c>
      <c r="E34" s="430">
        <v>1</v>
      </c>
      <c r="F34" s="425">
        <f>LOOKUP(E34,104:104,105:105)-LOOKUP(C34,104:104,105:105)+100</f>
        <v>100</v>
      </c>
      <c r="G34" s="429">
        <v>1</v>
      </c>
      <c r="H34" s="136">
        <f>LOOKUP(G34,104:104,105:105)-LOOKUP(C34,104:104,105:105)+100</f>
        <v>100</v>
      </c>
      <c r="I34" s="429">
        <v>1</v>
      </c>
      <c r="J34" s="136">
        <f>LOOKUP(I34,104:104,105:105)-LOOKUP(C34,104:104,105:105)+100</f>
        <v>100</v>
      </c>
      <c r="K34" s="613"/>
      <c r="L34" s="1138"/>
      <c r="M34" s="1141"/>
      <c r="N34" s="1141"/>
      <c r="O34" s="1141"/>
      <c r="P34" s="3250"/>
      <c r="Q34" s="776" t="str">
        <f t="shared" si="11"/>
        <v>项目建筑规模</v>
      </c>
      <c r="R34" s="777" t="s">
        <v>17</v>
      </c>
      <c r="S34" s="778">
        <f t="shared" si="12"/>
        <v>100</v>
      </c>
      <c r="T34" s="777" t="s">
        <v>17</v>
      </c>
      <c r="U34" s="778">
        <f t="shared" si="13"/>
        <v>100</v>
      </c>
      <c r="V34" s="777" t="s">
        <v>17</v>
      </c>
      <c r="W34" s="778">
        <f t="shared" si="14"/>
        <v>100</v>
      </c>
      <c r="X34" s="779"/>
      <c r="Y34" s="3252"/>
      <c r="Z34" s="780" t="str">
        <f t="shared" si="15"/>
        <v>项目建筑规模</v>
      </c>
      <c r="AA34" s="3044">
        <f t="shared" si="3"/>
        <v>1</v>
      </c>
      <c r="AB34" s="3044">
        <f t="shared" si="4"/>
        <v>1</v>
      </c>
      <c r="AC34" s="2674">
        <f t="shared" si="5"/>
        <v>1</v>
      </c>
    </row>
    <row r="35" spans="1:29" ht="15">
      <c r="A35" s="472"/>
      <c r="B35" s="3027" t="s">
        <v>2565</v>
      </c>
      <c r="C35" s="460" t="s">
        <v>3248</v>
      </c>
      <c r="D35" s="435">
        <v>100</v>
      </c>
      <c r="E35" s="460" t="s">
        <v>3247</v>
      </c>
      <c r="F35" s="461">
        <f>SUMIF(106:106,E35,107:107)-SUMIF(106:106,C35,107:107)+100</f>
        <v>100</v>
      </c>
      <c r="G35" s="460" t="s">
        <v>3247</v>
      </c>
      <c r="H35" s="435">
        <f>SUMIF(106:106,G35,107:107)-SUMIF(106:106,C35,107:107)+100</f>
        <v>100</v>
      </c>
      <c r="I35" s="460" t="s">
        <v>3247</v>
      </c>
      <c r="J35" s="435">
        <f>SUMIF(106:106,I35,107:107)-SUMIF(106:106,C35,107:107)+100</f>
        <v>100</v>
      </c>
      <c r="K35" s="612"/>
      <c r="L35" s="1140"/>
      <c r="M35" s="1131"/>
      <c r="N35" s="1131"/>
      <c r="O35" s="1131"/>
      <c r="P35" s="3250"/>
      <c r="Q35" s="3043" t="str">
        <f t="shared" si="11"/>
        <v>建筑结构</v>
      </c>
      <c r="R35" s="774" t="s">
        <v>17</v>
      </c>
      <c r="S35" s="775">
        <f t="shared" si="12"/>
        <v>100</v>
      </c>
      <c r="T35" s="774" t="s">
        <v>17</v>
      </c>
      <c r="U35" s="775">
        <f t="shared" si="13"/>
        <v>100</v>
      </c>
      <c r="V35" s="774" t="s">
        <v>17</v>
      </c>
      <c r="W35" s="775">
        <f t="shared" si="14"/>
        <v>100</v>
      </c>
      <c r="X35" s="3040"/>
      <c r="Y35" s="3252"/>
      <c r="Z35" s="3041" t="str">
        <f t="shared" si="15"/>
        <v>建筑结构</v>
      </c>
      <c r="AA35" s="3044">
        <f t="shared" si="3"/>
        <v>1</v>
      </c>
      <c r="AB35" s="3044">
        <f t="shared" si="4"/>
        <v>1</v>
      </c>
      <c r="AC35" s="2674">
        <f t="shared" si="5"/>
        <v>1</v>
      </c>
    </row>
    <row r="36" spans="1:29" ht="15">
      <c r="A36" s="472"/>
      <c r="B36" s="3027" t="s">
        <v>2659</v>
      </c>
      <c r="C36" s="460" t="s">
        <v>3245</v>
      </c>
      <c r="D36" s="435">
        <v>100</v>
      </c>
      <c r="E36" s="460" t="s">
        <v>3245</v>
      </c>
      <c r="F36" s="461">
        <f>SUMIF(108:108,E36,109:109)-SUMIF(108:108,C36,109:109)+100</f>
        <v>100</v>
      </c>
      <c r="G36" s="460" t="s">
        <v>3245</v>
      </c>
      <c r="H36" s="435">
        <f>SUMIF(108:108,G36,109:109)-SUMIF(108:108,C36,109:109)+100</f>
        <v>100</v>
      </c>
      <c r="I36" s="460" t="s">
        <v>3245</v>
      </c>
      <c r="J36" s="435">
        <f>SUMIF(108:108,I36,109:109)-SUMIF(108:108,C36,109:109)+100</f>
        <v>100</v>
      </c>
      <c r="K36" s="612"/>
      <c r="L36" s="1140"/>
      <c r="M36" s="1131"/>
      <c r="N36" s="1131"/>
      <c r="O36" s="1131"/>
      <c r="P36" s="3250"/>
      <c r="Q36" s="3043" t="str">
        <f t="shared" si="11"/>
        <v>公共部分装修</v>
      </c>
      <c r="R36" s="774" t="s">
        <v>17</v>
      </c>
      <c r="S36" s="775">
        <f t="shared" si="12"/>
        <v>100</v>
      </c>
      <c r="T36" s="774" t="s">
        <v>17</v>
      </c>
      <c r="U36" s="775">
        <f t="shared" si="13"/>
        <v>100</v>
      </c>
      <c r="V36" s="774" t="s">
        <v>17</v>
      </c>
      <c r="W36" s="775">
        <f t="shared" si="14"/>
        <v>100</v>
      </c>
      <c r="X36" s="3040"/>
      <c r="Y36" s="3252"/>
      <c r="Z36" s="3041" t="str">
        <f t="shared" si="15"/>
        <v>公共部分装修</v>
      </c>
      <c r="AA36" s="3044">
        <f t="shared" si="3"/>
        <v>1</v>
      </c>
      <c r="AB36" s="3044">
        <f t="shared" si="4"/>
        <v>1</v>
      </c>
      <c r="AC36" s="2674">
        <f t="shared" si="5"/>
        <v>1</v>
      </c>
    </row>
    <row r="37" spans="1:29" ht="15" hidden="1">
      <c r="A37" s="472"/>
      <c r="B37" s="3027" t="s">
        <v>2660</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50"/>
      <c r="Q37" s="3043" t="str">
        <f t="shared" si="11"/>
        <v>成新度</v>
      </c>
      <c r="R37" s="774" t="s">
        <v>17</v>
      </c>
      <c r="S37" s="775">
        <f t="shared" si="12"/>
        <v>100</v>
      </c>
      <c r="T37" s="774" t="s">
        <v>17</v>
      </c>
      <c r="U37" s="775">
        <f t="shared" si="13"/>
        <v>100</v>
      </c>
      <c r="V37" s="774" t="s">
        <v>17</v>
      </c>
      <c r="W37" s="775">
        <f t="shared" si="14"/>
        <v>100</v>
      </c>
      <c r="X37" s="3040"/>
      <c r="Y37" s="3252"/>
      <c r="Z37" s="3041" t="str">
        <f t="shared" si="15"/>
        <v>成新度</v>
      </c>
      <c r="AA37" s="3044">
        <f t="shared" si="3"/>
        <v>1</v>
      </c>
      <c r="AB37" s="3044">
        <f t="shared" si="4"/>
        <v>1</v>
      </c>
      <c r="AC37" s="2674">
        <f t="shared" si="5"/>
        <v>1</v>
      </c>
    </row>
    <row r="38" spans="1:29" s="117" customFormat="1" ht="15" hidden="1">
      <c r="A38" s="473"/>
      <c r="B38" s="3027"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3025" t="str">
        <f t="shared" si="11"/>
        <v>写字楼等级</v>
      </c>
      <c r="R38" s="770" t="s">
        <v>17</v>
      </c>
      <c r="S38" s="771">
        <f t="shared" si="12"/>
        <v>100</v>
      </c>
      <c r="T38" s="770" t="s">
        <v>17</v>
      </c>
      <c r="U38" s="771">
        <f t="shared" si="13"/>
        <v>100</v>
      </c>
      <c r="V38" s="770" t="s">
        <v>17</v>
      </c>
      <c r="W38" s="771">
        <f t="shared" si="14"/>
        <v>100</v>
      </c>
      <c r="X38" s="772"/>
      <c r="Y38" s="3252"/>
      <c r="Z38" s="3026" t="str">
        <f t="shared" si="15"/>
        <v>写字楼等级</v>
      </c>
      <c r="AA38" s="773">
        <f t="shared" si="3"/>
        <v>1</v>
      </c>
      <c r="AB38" s="773">
        <f t="shared" si="4"/>
        <v>1</v>
      </c>
      <c r="AC38" s="2671">
        <f t="shared" si="5"/>
        <v>1</v>
      </c>
    </row>
    <row r="39" spans="1:29" ht="15">
      <c r="A39" s="472"/>
      <c r="B39" s="3027" t="s">
        <v>2693</v>
      </c>
      <c r="C39" s="460" t="s">
        <v>3238</v>
      </c>
      <c r="D39" s="435">
        <v>100</v>
      </c>
      <c r="E39" s="460" t="s">
        <v>3237</v>
      </c>
      <c r="F39" s="461">
        <f>SUMIF(115:115,E39,116:116)-SUMIF(115:115,C39,116:116)+100</f>
        <v>101</v>
      </c>
      <c r="G39" s="460" t="s">
        <v>3237</v>
      </c>
      <c r="H39" s="435">
        <f>SUMIF(115:115,G39,116:116)-SUMIF(115:115,C39,116:116)+100</f>
        <v>101</v>
      </c>
      <c r="I39" s="460" t="s">
        <v>3237</v>
      </c>
      <c r="J39" s="435">
        <f>SUMIF(115:115,I39,116:116)-SUMIF(115:115,C39,116:116)+100</f>
        <v>101</v>
      </c>
      <c r="K39" s="612">
        <v>1</v>
      </c>
      <c r="L39" s="1140"/>
      <c r="M39" s="1131"/>
      <c r="N39" s="1131"/>
      <c r="O39" s="1131"/>
      <c r="P39" s="3250" t="s">
        <v>2563</v>
      </c>
      <c r="Q39" s="3043" t="str">
        <f t="shared" si="11"/>
        <v>物业管理</v>
      </c>
      <c r="R39" s="774" t="s">
        <v>17</v>
      </c>
      <c r="S39" s="775">
        <f t="shared" si="12"/>
        <v>101</v>
      </c>
      <c r="T39" s="774" t="s">
        <v>17</v>
      </c>
      <c r="U39" s="775">
        <f t="shared" si="13"/>
        <v>101</v>
      </c>
      <c r="V39" s="774" t="s">
        <v>17</v>
      </c>
      <c r="W39" s="775">
        <f t="shared" si="14"/>
        <v>101</v>
      </c>
      <c r="X39" s="3040"/>
      <c r="Y39" s="3252" t="s">
        <v>2563</v>
      </c>
      <c r="Z39" s="3041" t="str">
        <f t="shared" si="15"/>
        <v>物业管理</v>
      </c>
      <c r="AA39" s="3044">
        <f t="shared" si="3"/>
        <v>0.99009900990099009</v>
      </c>
      <c r="AB39" s="3044">
        <f t="shared" si="4"/>
        <v>0.99009900990099009</v>
      </c>
      <c r="AC39" s="2674">
        <f t="shared" si="5"/>
        <v>0.99009900990099009</v>
      </c>
    </row>
    <row r="40" spans="1:29" ht="15">
      <c r="A40" s="472"/>
      <c r="B40" s="3027" t="s">
        <v>2661</v>
      </c>
      <c r="C40" s="460" t="s">
        <v>3240</v>
      </c>
      <c r="D40" s="435">
        <v>100</v>
      </c>
      <c r="E40" s="460" t="s">
        <v>3240</v>
      </c>
      <c r="F40" s="461">
        <f>SUMIF(117:117,E40,118:118)-SUMIF(117:117,C40,118:118)+100</f>
        <v>100</v>
      </c>
      <c r="G40" s="460" t="s">
        <v>3240</v>
      </c>
      <c r="H40" s="435">
        <f>SUMIF(117:117,G40,118:118)-SUMIF(117:117,C40,118:118)+100</f>
        <v>100</v>
      </c>
      <c r="I40" s="460" t="s">
        <v>3240</v>
      </c>
      <c r="J40" s="435">
        <f>SUMIF(117:117,I40,118:118)-SUMIF(117:117,C40,118:118)+100</f>
        <v>100</v>
      </c>
      <c r="K40" s="612"/>
      <c r="L40" s="1140"/>
      <c r="M40" s="1131"/>
      <c r="N40" s="1131"/>
      <c r="O40" s="1131"/>
      <c r="P40" s="3250"/>
      <c r="Q40" s="3043" t="str">
        <f t="shared" si="11"/>
        <v>市政基础设施</v>
      </c>
      <c r="R40" s="774" t="s">
        <v>17</v>
      </c>
      <c r="S40" s="775">
        <f t="shared" si="12"/>
        <v>100</v>
      </c>
      <c r="T40" s="774" t="s">
        <v>17</v>
      </c>
      <c r="U40" s="775">
        <f t="shared" si="13"/>
        <v>100</v>
      </c>
      <c r="V40" s="774" t="s">
        <v>17</v>
      </c>
      <c r="W40" s="775">
        <f t="shared" si="14"/>
        <v>100</v>
      </c>
      <c r="X40" s="3040"/>
      <c r="Y40" s="3252"/>
      <c r="Z40" s="3041" t="str">
        <f t="shared" si="15"/>
        <v>市政基础设施</v>
      </c>
      <c r="AA40" s="3044">
        <f t="shared" si="3"/>
        <v>1</v>
      </c>
      <c r="AB40" s="3044">
        <f t="shared" si="4"/>
        <v>1</v>
      </c>
      <c r="AC40" s="2674">
        <f t="shared" si="5"/>
        <v>1</v>
      </c>
    </row>
    <row r="41" spans="1:29" ht="15" hidden="1">
      <c r="A41" s="472"/>
      <c r="B41" s="3027"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3043" t="str">
        <f t="shared" si="11"/>
        <v>层高</v>
      </c>
      <c r="R41" s="774" t="s">
        <v>17</v>
      </c>
      <c r="S41" s="775">
        <f t="shared" si="12"/>
        <v>100</v>
      </c>
      <c r="T41" s="774" t="s">
        <v>17</v>
      </c>
      <c r="U41" s="775">
        <f t="shared" si="13"/>
        <v>100</v>
      </c>
      <c r="V41" s="774" t="s">
        <v>17</v>
      </c>
      <c r="W41" s="775">
        <f t="shared" si="14"/>
        <v>100</v>
      </c>
      <c r="X41" s="3040"/>
      <c r="Y41" s="3252"/>
      <c r="Z41" s="3041" t="str">
        <f t="shared" si="15"/>
        <v>层高</v>
      </c>
      <c r="AA41" s="3044">
        <f t="shared" si="3"/>
        <v>1</v>
      </c>
      <c r="AB41" s="3044">
        <f t="shared" si="4"/>
        <v>1</v>
      </c>
      <c r="AC41" s="2674">
        <f t="shared" si="5"/>
        <v>1</v>
      </c>
    </row>
    <row r="42" spans="1:29" s="471" customFormat="1" ht="15">
      <c r="A42" s="468"/>
      <c r="B42" s="3042" t="s">
        <v>2694</v>
      </c>
      <c r="C42" s="434">
        <v>3393.06</v>
      </c>
      <c r="D42" s="435">
        <v>100</v>
      </c>
      <c r="E42" s="434">
        <v>46</v>
      </c>
      <c r="F42" s="461">
        <f>SUMIF(121:121,E42,122:122)-SUMIF(121:121,C42,122:122)+100</f>
        <v>102.5</v>
      </c>
      <c r="G42" s="434">
        <v>76.16</v>
      </c>
      <c r="H42" s="435">
        <f>SUMIF(121:121,G42,122:122)-SUMIF(121:121,C42,122:122)+100</f>
        <v>102.5</v>
      </c>
      <c r="I42" s="434">
        <v>41</v>
      </c>
      <c r="J42" s="435">
        <f>SUMIF(121:121,I42,122:122)-SUMIF(121:121,C42,122:122)+100</f>
        <v>102.5</v>
      </c>
      <c r="K42" s="613"/>
      <c r="L42" s="1138"/>
      <c r="M42" s="1141"/>
      <c r="N42" s="1141"/>
      <c r="O42" s="1141"/>
      <c r="P42" s="3250"/>
      <c r="Q42" s="776" t="str">
        <f t="shared" si="11"/>
        <v>单套建筑面积</v>
      </c>
      <c r="R42" s="777" t="s">
        <v>17</v>
      </c>
      <c r="S42" s="778">
        <f t="shared" si="12"/>
        <v>102.5</v>
      </c>
      <c r="T42" s="777" t="s">
        <v>17</v>
      </c>
      <c r="U42" s="778">
        <f t="shared" si="13"/>
        <v>102.5</v>
      </c>
      <c r="V42" s="777" t="s">
        <v>17</v>
      </c>
      <c r="W42" s="778">
        <f t="shared" si="14"/>
        <v>102.5</v>
      </c>
      <c r="X42" s="779"/>
      <c r="Y42" s="3252"/>
      <c r="Z42" s="780" t="str">
        <f t="shared" si="15"/>
        <v>单套建筑面积</v>
      </c>
      <c r="AA42" s="3044">
        <f t="shared" si="3"/>
        <v>0.97560975609756095</v>
      </c>
      <c r="AB42" s="3044">
        <f t="shared" si="4"/>
        <v>0.97560975609756095</v>
      </c>
      <c r="AC42" s="2674">
        <f t="shared" si="5"/>
        <v>0.97560975609756095</v>
      </c>
    </row>
    <row r="43" spans="1:29" ht="15">
      <c r="A43" s="472"/>
      <c r="B43" s="3027" t="s">
        <v>2666</v>
      </c>
      <c r="C43" s="460" t="s">
        <v>3245</v>
      </c>
      <c r="D43" s="435">
        <v>100</v>
      </c>
      <c r="E43" s="460" t="s">
        <v>3245</v>
      </c>
      <c r="F43" s="461">
        <f>SUMIF(123:123,E43,124:124)-SUMIF(123:123,C43,124:124)+100</f>
        <v>100</v>
      </c>
      <c r="G43" s="460" t="s">
        <v>3245</v>
      </c>
      <c r="H43" s="435">
        <f>SUMIF(123:123,G43,124:124)-SUMIF(123:123,C43,124:124)+100</f>
        <v>100</v>
      </c>
      <c r="I43" s="460" t="s">
        <v>3245</v>
      </c>
      <c r="J43" s="435">
        <f>SUMIF(123:123,I43,124:124)-SUMIF(123:123,C43,124:124)+100</f>
        <v>100</v>
      </c>
      <c r="K43" s="612"/>
      <c r="L43" s="1140"/>
      <c r="M43" s="1131"/>
      <c r="N43" s="1131"/>
      <c r="O43" s="1131"/>
      <c r="P43" s="3250"/>
      <c r="Q43" s="3043" t="str">
        <f t="shared" si="11"/>
        <v>内部装修</v>
      </c>
      <c r="R43" s="774" t="s">
        <v>17</v>
      </c>
      <c r="S43" s="775">
        <f t="shared" si="12"/>
        <v>100</v>
      </c>
      <c r="T43" s="774" t="s">
        <v>17</v>
      </c>
      <c r="U43" s="775">
        <f t="shared" si="13"/>
        <v>100</v>
      </c>
      <c r="V43" s="774" t="s">
        <v>17</v>
      </c>
      <c r="W43" s="775">
        <f t="shared" si="14"/>
        <v>100</v>
      </c>
      <c r="X43" s="3040"/>
      <c r="Y43" s="3252"/>
      <c r="Z43" s="3041" t="str">
        <f t="shared" si="15"/>
        <v>内部装修</v>
      </c>
      <c r="AA43" s="3044">
        <f t="shared" si="3"/>
        <v>1</v>
      </c>
      <c r="AB43" s="3044">
        <f t="shared" si="4"/>
        <v>1</v>
      </c>
      <c r="AC43" s="2674">
        <f t="shared" si="5"/>
        <v>1</v>
      </c>
    </row>
    <row r="44" spans="1:29" ht="15">
      <c r="A44" s="472"/>
      <c r="B44" s="3027" t="s">
        <v>2574</v>
      </c>
      <c r="C44" s="460" t="s">
        <v>3215</v>
      </c>
      <c r="D44" s="435">
        <v>100</v>
      </c>
      <c r="E44" s="2613" t="s">
        <v>3217</v>
      </c>
      <c r="F44" s="461">
        <f>SUMIF(125:125,E44,126:126)-SUMIF(125:125,C44,126:126)+100</f>
        <v>102</v>
      </c>
      <c r="G44" s="2613" t="s">
        <v>3217</v>
      </c>
      <c r="H44" s="435">
        <f>SUMIF(125:125,G44,126:126)-SUMIF(125:125,C44,126:126)+100</f>
        <v>102</v>
      </c>
      <c r="I44" s="2613" t="s">
        <v>3217</v>
      </c>
      <c r="J44" s="435">
        <f>SUMIF(125:125,I44,126:126)-SUMIF(125:125,C44,126:126)+100</f>
        <v>102</v>
      </c>
      <c r="K44" s="612">
        <v>1</v>
      </c>
      <c r="L44" s="1140"/>
      <c r="M44" s="1131"/>
      <c r="N44" s="1131"/>
      <c r="O44" s="1131"/>
      <c r="P44" s="3250"/>
      <c r="Q44" s="3043" t="str">
        <f t="shared" si="11"/>
        <v>内部装修维护情况</v>
      </c>
      <c r="R44" s="774" t="s">
        <v>17</v>
      </c>
      <c r="S44" s="775">
        <f t="shared" si="12"/>
        <v>102</v>
      </c>
      <c r="T44" s="774" t="s">
        <v>17</v>
      </c>
      <c r="U44" s="775">
        <f t="shared" si="13"/>
        <v>102</v>
      </c>
      <c r="V44" s="774" t="s">
        <v>17</v>
      </c>
      <c r="W44" s="775">
        <f t="shared" si="14"/>
        <v>102</v>
      </c>
      <c r="X44" s="3040"/>
      <c r="Y44" s="3252"/>
      <c r="Z44" s="3041" t="str">
        <f t="shared" si="15"/>
        <v>内部装修维护情况</v>
      </c>
      <c r="AA44" s="3044">
        <f t="shared" si="3"/>
        <v>0.98039215686274506</v>
      </c>
      <c r="AB44" s="3044">
        <f t="shared" si="4"/>
        <v>0.98039215686274506</v>
      </c>
      <c r="AC44" s="2674">
        <f t="shared" si="5"/>
        <v>0.98039215686274506</v>
      </c>
    </row>
    <row r="45" spans="1:29" s="117" customFormat="1" ht="15">
      <c r="A45" s="473"/>
      <c r="B45" s="1386" t="s">
        <v>3261</v>
      </c>
      <c r="C45" s="469">
        <v>2004</v>
      </c>
      <c r="D45" s="136">
        <v>100</v>
      </c>
      <c r="E45" s="432">
        <v>2015</v>
      </c>
      <c r="F45" s="425">
        <f>SUMIF(127:127,E45,128:128)-SUMIF(127:127,C45,128:128)+100</f>
        <v>101.1</v>
      </c>
      <c r="G45" s="432">
        <v>2007</v>
      </c>
      <c r="H45" s="136">
        <f>SUMIF(127:127,G45,128:128)-SUMIF(127:127,C45,128:128)+100</f>
        <v>100.3</v>
      </c>
      <c r="I45" s="432">
        <v>2019</v>
      </c>
      <c r="J45" s="136">
        <f>SUMIF(127:127,I45,128:128)-SUMIF(127:127,C45,128:128)+100</f>
        <v>101.5</v>
      </c>
      <c r="K45" s="613"/>
      <c r="L45" s="1132"/>
      <c r="M45" s="1133"/>
      <c r="N45" s="1133"/>
      <c r="O45" s="1133"/>
      <c r="P45" s="3250"/>
      <c r="Q45" s="3025" t="str">
        <f t="shared" si="11"/>
        <v>建成年代</v>
      </c>
      <c r="R45" s="770" t="s">
        <v>17</v>
      </c>
      <c r="S45" s="771">
        <f t="shared" si="12"/>
        <v>101.1</v>
      </c>
      <c r="T45" s="770" t="s">
        <v>17</v>
      </c>
      <c r="U45" s="771">
        <f t="shared" si="13"/>
        <v>100.3</v>
      </c>
      <c r="V45" s="770" t="s">
        <v>17</v>
      </c>
      <c r="W45" s="771">
        <f t="shared" si="14"/>
        <v>101.5</v>
      </c>
      <c r="X45" s="772"/>
      <c r="Y45" s="3252"/>
      <c r="Z45" s="3026" t="str">
        <f t="shared" si="15"/>
        <v>建成年代</v>
      </c>
      <c r="AA45" s="773">
        <f t="shared" si="3"/>
        <v>0.98911968348170132</v>
      </c>
      <c r="AB45" s="773">
        <f t="shared" si="4"/>
        <v>0.99700897308075775</v>
      </c>
      <c r="AC45" s="2671">
        <f t="shared" si="5"/>
        <v>0.98522167487684731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3043">
        <f t="shared" si="11"/>
        <v>111</v>
      </c>
      <c r="R46" s="774" t="s">
        <v>17</v>
      </c>
      <c r="S46" s="775">
        <f t="shared" si="12"/>
        <v>100</v>
      </c>
      <c r="T46" s="774" t="s">
        <v>17</v>
      </c>
      <c r="U46" s="775">
        <f t="shared" si="13"/>
        <v>100</v>
      </c>
      <c r="V46" s="774" t="s">
        <v>17</v>
      </c>
      <c r="W46" s="775">
        <f t="shared" si="14"/>
        <v>100</v>
      </c>
      <c r="X46" s="3040"/>
      <c r="Y46" s="3252"/>
      <c r="Z46" s="3041">
        <f t="shared" si="15"/>
        <v>111</v>
      </c>
      <c r="AA46" s="3044">
        <f t="shared" si="3"/>
        <v>1</v>
      </c>
      <c r="AB46" s="304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3043">
        <f t="shared" si="11"/>
        <v>111</v>
      </c>
      <c r="R47" s="774" t="s">
        <v>17</v>
      </c>
      <c r="S47" s="775">
        <f t="shared" si="12"/>
        <v>100</v>
      </c>
      <c r="T47" s="774" t="s">
        <v>17</v>
      </c>
      <c r="U47" s="775">
        <f t="shared" si="13"/>
        <v>100</v>
      </c>
      <c r="V47" s="774" t="s">
        <v>17</v>
      </c>
      <c r="W47" s="775">
        <f t="shared" si="14"/>
        <v>100</v>
      </c>
      <c r="X47" s="3040"/>
      <c r="Y47" s="3253"/>
      <c r="Z47" s="3041">
        <f t="shared" si="15"/>
        <v>111</v>
      </c>
      <c r="AA47" s="3044">
        <f t="shared" si="3"/>
        <v>1</v>
      </c>
      <c r="AB47" s="3044">
        <f t="shared" si="4"/>
        <v>1</v>
      </c>
      <c r="AC47" s="2674">
        <f t="shared" si="5"/>
        <v>1</v>
      </c>
    </row>
    <row r="48" spans="1:29" ht="15">
      <c r="A48" s="479" t="s">
        <v>2575</v>
      </c>
      <c r="B48" s="480"/>
      <c r="C48" s="1407" t="s">
        <v>1</v>
      </c>
      <c r="D48" s="1408"/>
      <c r="E48" s="1409">
        <f>ROUND(2.03*C72/100,2)</f>
        <v>1.91</v>
      </c>
      <c r="F48" s="1410"/>
      <c r="G48" s="1411">
        <f>ROUND(2*C72/100,2)</f>
        <v>1.88</v>
      </c>
      <c r="H48" s="1412"/>
      <c r="I48" s="1409">
        <f>ROUND(2.2*C72/100,2)</f>
        <v>2.0699999999999998</v>
      </c>
      <c r="J48" s="485"/>
      <c r="K48" s="783"/>
      <c r="L48" s="1143"/>
      <c r="M48" s="1131"/>
      <c r="N48" s="1131"/>
      <c r="O48" s="1131"/>
      <c r="P48" s="3239" t="str">
        <f>A48</f>
        <v>成交单价（元/平方米）</v>
      </c>
      <c r="Q48" s="3240"/>
      <c r="R48" s="3241">
        <f>E48</f>
        <v>1.91</v>
      </c>
      <c r="S48" s="3241"/>
      <c r="T48" s="3241">
        <f>G48</f>
        <v>1.88</v>
      </c>
      <c r="U48" s="3241"/>
      <c r="V48" s="3241">
        <f>I48</f>
        <v>2.0699999999999998</v>
      </c>
      <c r="W48" s="3241"/>
      <c r="X48" s="446"/>
      <c r="Y48" s="781"/>
      <c r="Z48" s="446"/>
      <c r="AA48" s="446"/>
      <c r="AB48" s="446"/>
      <c r="AC48" s="630"/>
    </row>
    <row r="49" spans="1:29" ht="15.75" thickBot="1">
      <c r="A49" s="486" t="s">
        <v>2576</v>
      </c>
      <c r="B49" s="487"/>
      <c r="C49" s="1413">
        <f>R50</f>
        <v>1.9</v>
      </c>
      <c r="D49" s="1414"/>
      <c r="E49" s="1415">
        <f>R49</f>
        <v>1.8</v>
      </c>
      <c r="F49" s="1415"/>
      <c r="G49" s="1413">
        <f>T49</f>
        <v>1.9</v>
      </c>
      <c r="H49" s="1414"/>
      <c r="I49" s="1415">
        <f>V49</f>
        <v>2.1</v>
      </c>
      <c r="J49" s="489"/>
      <c r="K49" s="784"/>
      <c r="L49" s="1143"/>
      <c r="M49" s="1131"/>
      <c r="N49" s="1131"/>
      <c r="O49" s="1131"/>
      <c r="P49" s="3239" t="str">
        <f>A49</f>
        <v>比较价值（元/平方米）</v>
      </c>
      <c r="Q49" s="3240"/>
      <c r="R49" s="3241">
        <f>IF(F1="售价",ROUND(PRODUCT(R48,AA7:AA47),0),ROUND(PRODUCT(R48,AA7:AA47),1))</f>
        <v>1.8</v>
      </c>
      <c r="S49" s="3241"/>
      <c r="T49" s="3241">
        <f>IF(F1="售价",ROUND(PRODUCT(T48,AB7:AB47),0),ROUND(PRODUCT(T48,AB7:AB47),1))</f>
        <v>1.9</v>
      </c>
      <c r="U49" s="3241"/>
      <c r="V49" s="3241">
        <f>IF(F1="售价",ROUND(PRODUCT(V48,AC7:AC47),0),ROUND(PRODUCT(V48,AC7:AC47),1))</f>
        <v>2.1</v>
      </c>
      <c r="W49" s="3241"/>
      <c r="X49" s="446"/>
      <c r="Y49" s="446"/>
      <c r="Z49" s="446"/>
      <c r="AA49" s="446"/>
      <c r="AB49" s="446"/>
      <c r="AC49" s="630"/>
    </row>
    <row r="50" spans="1:29" ht="15.75" thickBot="1">
      <c r="A50" s="492" t="s">
        <v>2577</v>
      </c>
      <c r="B50" s="493"/>
      <c r="C50" s="1417">
        <f>R50</f>
        <v>1.9</v>
      </c>
      <c r="D50" s="1417"/>
      <c r="E50" s="1417"/>
      <c r="F50" s="1417"/>
      <c r="G50" s="1417"/>
      <c r="H50" s="1417"/>
      <c r="I50" s="1417"/>
      <c r="J50" s="494"/>
      <c r="K50" s="785"/>
      <c r="L50" s="1143"/>
      <c r="M50" s="1131"/>
      <c r="N50" s="1131"/>
      <c r="O50" s="1131"/>
      <c r="P50" s="3242" t="str">
        <f>A50</f>
        <v>估价对象XX用房的比较价值（楼面单价，元/平方米）</v>
      </c>
      <c r="Q50" s="3243"/>
      <c r="R50" s="3244">
        <f>IF(F1="售价",ROUND(AVERAGE(R49:V49),0),ROUND(AVERAGE(R49:V49),1))</f>
        <v>1.9</v>
      </c>
      <c r="S50" s="3244"/>
      <c r="T50" s="3244"/>
      <c r="U50" s="3244"/>
      <c r="V50" s="3244"/>
      <c r="W50" s="324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6.1111111111111116E-2</v>
      </c>
      <c r="F53" s="500" t="str">
        <f>IF(OR(E53&gt;=0.3,E53&lt;=-0.3),"超过30%","")</f>
        <v/>
      </c>
      <c r="G53" s="499">
        <f>IF(G48&lt;G49,G49/G48-1,G48/G49-1)</f>
        <v>1.0638297872340496E-2</v>
      </c>
      <c r="H53" s="500" t="str">
        <f>IF(OR(G53&gt;=0.3,G53&lt;=-0.3),"超过30%","")</f>
        <v/>
      </c>
      <c r="I53" s="499">
        <f>IF(I48&lt;I49,I49/I48-1,I48/I49-1)</f>
        <v>1.449275362318847E-2</v>
      </c>
      <c r="J53" s="500" t="str">
        <f>IF(OR(I53&gt;=0.3,I53&lt;=-0.3),"超过30%","")</f>
        <v/>
      </c>
      <c r="K53" s="1105"/>
      <c r="L53" s="1106"/>
      <c r="M53" s="1144"/>
      <c r="N53" s="1144"/>
      <c r="O53" s="1144"/>
    </row>
    <row r="54" spans="1:29" ht="13.5" customHeight="1">
      <c r="A54" s="1144"/>
      <c r="B54" s="1144"/>
      <c r="C54" s="497" t="s">
        <v>2579</v>
      </c>
      <c r="D54" s="501"/>
      <c r="E54" s="499">
        <f>IF(E49&lt;G49,G49/E49-1,E49/G49-1)</f>
        <v>5.555555555555558E-2</v>
      </c>
      <c r="F54" s="500" t="str">
        <f>IF(OR(E54&gt;=0.2,E54&lt;=-0.2),"超过20%","")</f>
        <v/>
      </c>
      <c r="G54" s="499">
        <f>IF(G49&lt;I49,I49/G49-1,G49/I49-1)</f>
        <v>0.10526315789473695</v>
      </c>
      <c r="H54" s="500" t="str">
        <f>IF(OR(G54&gt;=0.2,G54&lt;=-0.2),"超过20%","")</f>
        <v/>
      </c>
      <c r="I54" s="499">
        <f>IF(I49&lt;E49,E49/I49-1,I49/E49-1)</f>
        <v>0.16666666666666674</v>
      </c>
      <c r="J54" s="500" t="str">
        <f>IF(OR(I54&gt;=0.2,I54&lt;=-0.2),"超过20%","")</f>
        <v/>
      </c>
      <c r="K54" s="1105"/>
      <c r="L54" s="1106"/>
      <c r="M54" s="1144"/>
      <c r="N54" s="1144"/>
      <c r="O54" s="1144"/>
    </row>
    <row r="55" spans="1:29" s="502" customFormat="1" ht="13.5" customHeight="1">
      <c r="A55" s="1145"/>
      <c r="B55" s="1145"/>
      <c r="C55" s="497" t="s">
        <v>2580</v>
      </c>
      <c r="D55" s="501"/>
      <c r="E55" s="499">
        <f>IF(E48&lt;G48,G48/E48-1,E48/G48-1)</f>
        <v>1.5957446808510634E-2</v>
      </c>
      <c r="F55" s="500" t="str">
        <f>IF(OR(E55&gt;=0.3,E55&lt;=-0.3),"超过30%","")</f>
        <v/>
      </c>
      <c r="G55" s="499">
        <f>IF(G48&lt;I48,I48/G48-1,G48/I48-1)</f>
        <v>0.10106382978723394</v>
      </c>
      <c r="H55" s="500" t="str">
        <f>IF(OR(G55&gt;=0.3,G55&lt;=-0.3),"超过30%","")</f>
        <v/>
      </c>
      <c r="I55" s="499">
        <f>IF(I48&lt;E48,E48/I48-1,I48/E48-1)</f>
        <v>8.3769633507853269E-2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2585</v>
      </c>
      <c r="D62" s="523" t="s">
        <v>3225</v>
      </c>
      <c r="E62" s="523"/>
      <c r="F62" s="523"/>
      <c r="G62" s="523"/>
      <c r="H62" s="523"/>
      <c r="I62" s="523"/>
      <c r="J62" s="523"/>
      <c r="K62" s="523"/>
      <c r="L62" s="524"/>
      <c r="M62" s="525"/>
      <c r="N62" s="1151"/>
      <c r="O62" s="1151"/>
      <c r="P62" s="2683"/>
      <c r="Q62" s="504"/>
    </row>
    <row r="63" spans="1:29" s="117" customFormat="1" ht="15.75" thickBot="1">
      <c r="A63" s="521"/>
      <c r="B63" s="510"/>
      <c r="C63" s="511">
        <v>100</v>
      </c>
      <c r="D63" s="512">
        <v>101</v>
      </c>
      <c r="E63" s="512"/>
      <c r="F63" s="512"/>
      <c r="G63" s="512"/>
      <c r="H63" s="512"/>
      <c r="I63" s="512"/>
      <c r="J63" s="512"/>
      <c r="K63" s="512"/>
      <c r="L63" s="512"/>
      <c r="M63" s="514"/>
      <c r="N63" s="1151"/>
      <c r="O63" s="1151"/>
      <c r="P63" s="2682"/>
      <c r="Q63" s="504"/>
    </row>
    <row r="64" spans="1:29">
      <c r="A64" s="527" t="s">
        <v>2586</v>
      </c>
      <c r="B64" s="528" t="s">
        <v>2552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24</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2556</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t="str">
        <f>B12</f>
        <v>权属是否完整</v>
      </c>
      <c r="C71" s="3051" t="s">
        <v>3268</v>
      </c>
      <c r="D71" s="3051" t="s">
        <v>3269</v>
      </c>
      <c r="E71" s="554"/>
      <c r="F71" s="554"/>
      <c r="G71" s="554"/>
      <c r="H71" s="555"/>
      <c r="I71" s="555"/>
      <c r="J71" s="555"/>
      <c r="K71" s="555"/>
      <c r="L71" s="556"/>
      <c r="M71" s="557"/>
      <c r="N71" s="1154"/>
      <c r="O71" s="1154"/>
      <c r="P71" s="2685"/>
      <c r="Q71" s="559"/>
    </row>
    <row r="72" spans="1:17" s="471" customFormat="1" ht="15.75" thickBot="1">
      <c r="A72" s="553"/>
      <c r="B72" s="543"/>
      <c r="C72" s="560">
        <v>94</v>
      </c>
      <c r="D72" s="536">
        <f>C72</f>
        <v>94</v>
      </c>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2697</v>
      </c>
      <c r="C87" s="554" t="s">
        <v>3232</v>
      </c>
      <c r="D87" s="554" t="s">
        <v>3233</v>
      </c>
      <c r="E87" s="554" t="s">
        <v>3234</v>
      </c>
      <c r="F87" s="554" t="s">
        <v>3235</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t="str">
        <f>B29</f>
        <v>经营模式</v>
      </c>
      <c r="C93" s="554" t="s">
        <v>3251</v>
      </c>
      <c r="D93" s="554" t="s">
        <v>3252</v>
      </c>
      <c r="E93" s="554"/>
      <c r="F93" s="554"/>
      <c r="G93" s="554"/>
      <c r="H93" s="554"/>
      <c r="I93" s="554"/>
      <c r="J93" s="554"/>
      <c r="K93" s="554"/>
      <c r="L93" s="580"/>
      <c r="M93" s="581"/>
      <c r="N93" s="1152"/>
      <c r="O93" s="1152"/>
      <c r="P93" s="2684"/>
      <c r="Q93" s="504"/>
    </row>
    <row r="94" spans="1:17" ht="15.75" thickBot="1">
      <c r="A94" s="534"/>
      <c r="B94" s="543"/>
      <c r="C94" s="560">
        <v>100</v>
      </c>
      <c r="D94" s="536">
        <v>95</v>
      </c>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t="s">
        <v>3254</v>
      </c>
      <c r="D101" s="530" t="s">
        <v>3255</v>
      </c>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2611</v>
      </c>
      <c r="C103" s="578" t="str">
        <f>C104&amp;"(含)"&amp;"-"&amp;D104</f>
        <v>0(含)-2000</v>
      </c>
      <c r="D103" s="578" t="str">
        <f t="shared" ref="D103:L103" si="23">D104&amp;"(含)"&amp;"-"&amp;E104</f>
        <v>2000(含)-4000</v>
      </c>
      <c r="E103" s="578" t="str">
        <f t="shared" si="23"/>
        <v>4000(含)-6000</v>
      </c>
      <c r="F103" s="578" t="str">
        <f t="shared" si="23"/>
        <v>6000(含)-10000</v>
      </c>
      <c r="G103" s="578" t="str">
        <f t="shared" si="23"/>
        <v>10000(含)-12000</v>
      </c>
      <c r="H103" s="578" t="str">
        <f t="shared" si="23"/>
        <v>12000(含)-14000</v>
      </c>
      <c r="I103" s="578" t="str">
        <f t="shared" si="23"/>
        <v>14000(含)-16000</v>
      </c>
      <c r="J103" s="578" t="str">
        <f t="shared" si="23"/>
        <v>16000(含)-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2000</v>
      </c>
      <c r="E104" s="595">
        <v>4000</v>
      </c>
      <c r="F104" s="595">
        <v>6000</v>
      </c>
      <c r="G104" s="595">
        <v>10000</v>
      </c>
      <c r="H104" s="595">
        <v>12000</v>
      </c>
      <c r="I104" s="595">
        <v>14000</v>
      </c>
      <c r="J104" s="596">
        <v>16000</v>
      </c>
      <c r="K104" s="596"/>
      <c r="L104" s="597"/>
      <c r="M104" s="598"/>
      <c r="N104" s="1154"/>
      <c r="O104" s="1154"/>
      <c r="P104" s="2685"/>
      <c r="Q104" s="559"/>
    </row>
    <row r="105" spans="1:17" s="471" customFormat="1" ht="15.75" thickBot="1">
      <c r="A105" s="553"/>
      <c r="B105" s="543"/>
      <c r="C105" s="560">
        <v>100</v>
      </c>
      <c r="D105" s="536">
        <v>101</v>
      </c>
      <c r="E105" s="536">
        <v>102</v>
      </c>
      <c r="F105" s="536">
        <v>103</v>
      </c>
      <c r="G105" s="536">
        <v>104</v>
      </c>
      <c r="H105" s="536">
        <v>105</v>
      </c>
      <c r="I105" s="536">
        <v>106</v>
      </c>
      <c r="J105" s="536">
        <v>107</v>
      </c>
      <c r="K105" s="536"/>
      <c r="L105" s="536"/>
      <c r="M105" s="537"/>
      <c r="N105" s="1153"/>
      <c r="O105" s="1153"/>
      <c r="P105" s="2685"/>
      <c r="Q105" s="559"/>
    </row>
    <row r="106" spans="1:17" ht="15" thickTop="1">
      <c r="A106" s="599"/>
      <c r="B106" s="538" t="s">
        <v>2612</v>
      </c>
      <c r="C106" s="554" t="s">
        <v>3247</v>
      </c>
      <c r="D106" s="554" t="s">
        <v>3248</v>
      </c>
      <c r="E106" s="583" t="s">
        <v>3249</v>
      </c>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t="s">
        <v>3244</v>
      </c>
      <c r="D108" s="554" t="s">
        <v>3245</v>
      </c>
      <c r="E108" s="554" t="s">
        <v>3246</v>
      </c>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t="s">
        <v>3236</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t="s">
        <v>3237</v>
      </c>
      <c r="D115" s="554" t="s">
        <v>3238</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4"/>
      <c r="Q116" s="504"/>
    </row>
    <row r="117" spans="1:17" ht="15" thickTop="1">
      <c r="A117" s="599"/>
      <c r="B117" s="538" t="s">
        <v>2616</v>
      </c>
      <c r="C117" s="554" t="s">
        <v>3239</v>
      </c>
      <c r="D117" s="554" t="s">
        <v>3240</v>
      </c>
      <c r="E117" s="554" t="s">
        <v>3241</v>
      </c>
      <c r="F117" s="554" t="s">
        <v>3242</v>
      </c>
      <c r="G117" s="554" t="s">
        <v>3243</v>
      </c>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v>3393.06</v>
      </c>
      <c r="D121" s="554">
        <v>46</v>
      </c>
      <c r="E121" s="554">
        <v>76.16</v>
      </c>
      <c r="F121" s="583">
        <v>41</v>
      </c>
      <c r="G121" s="555"/>
      <c r="H121" s="555"/>
      <c r="I121" s="555"/>
      <c r="J121" s="555"/>
      <c r="K121" s="555"/>
      <c r="L121" s="556"/>
      <c r="M121" s="557"/>
      <c r="N121" s="1154"/>
      <c r="O121" s="1154"/>
      <c r="P121" s="2685"/>
      <c r="Q121" s="559"/>
    </row>
    <row r="122" spans="1:17" s="471" customFormat="1" ht="15.75" thickBot="1">
      <c r="A122" s="553"/>
      <c r="B122" s="535"/>
      <c r="C122" s="560">
        <v>100</v>
      </c>
      <c r="D122" s="560">
        <v>102.5</v>
      </c>
      <c r="E122" s="560">
        <v>102.5</v>
      </c>
      <c r="F122" s="560">
        <v>102.5</v>
      </c>
      <c r="G122" s="560"/>
      <c r="H122" s="560"/>
      <c r="I122" s="560"/>
      <c r="J122" s="560"/>
      <c r="K122" s="560"/>
      <c r="L122" s="560"/>
      <c r="M122" s="560"/>
      <c r="N122" s="1154"/>
      <c r="O122" s="1154"/>
      <c r="P122" s="2685"/>
      <c r="Q122" s="559"/>
    </row>
    <row r="123" spans="1:17" ht="15" thickTop="1">
      <c r="A123" s="599"/>
      <c r="B123" s="538" t="s">
        <v>2618</v>
      </c>
      <c r="C123" s="554" t="s">
        <v>3244</v>
      </c>
      <c r="D123" s="554" t="s">
        <v>3245</v>
      </c>
      <c r="E123" s="554" t="s">
        <v>3246</v>
      </c>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4"/>
      <c r="Q126" s="504"/>
    </row>
    <row r="127" spans="1:17" s="471" customFormat="1" ht="15" thickTop="1">
      <c r="A127" s="593"/>
      <c r="B127" s="538" t="str">
        <f>B45</f>
        <v>建成年代</v>
      </c>
      <c r="C127" s="554">
        <v>2004</v>
      </c>
      <c r="D127" s="554">
        <v>2007</v>
      </c>
      <c r="E127" s="554">
        <v>2015</v>
      </c>
      <c r="F127" s="554">
        <v>2019</v>
      </c>
      <c r="G127" s="554"/>
      <c r="H127" s="555"/>
      <c r="I127" s="555"/>
      <c r="J127" s="555"/>
      <c r="K127" s="555"/>
      <c r="L127" s="556"/>
      <c r="M127" s="557"/>
      <c r="N127" s="1154"/>
      <c r="O127" s="1154"/>
      <c r="P127" s="2685"/>
      <c r="Q127" s="559"/>
    </row>
    <row r="128" spans="1:17" s="471" customFormat="1" ht="15.75" thickBot="1">
      <c r="A128" s="553"/>
      <c r="B128" s="543"/>
      <c r="C128" s="560">
        <v>100</v>
      </c>
      <c r="D128" s="536">
        <v>100.3</v>
      </c>
      <c r="E128" s="536">
        <v>101.1</v>
      </c>
      <c r="F128" s="536">
        <v>101.5</v>
      </c>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view="pageBreakPreview" topLeftCell="A25" zoomScale="130" zoomScaleSheetLayoutView="130" workbookViewId="0">
      <selection activeCell="I33" sqref="I33"/>
    </sheetView>
  </sheetViews>
  <sheetFormatPr defaultColWidth="9" defaultRowHeight="13.5"/>
  <cols>
    <col min="1" max="1" width="6.375" style="2956" customWidth="1"/>
    <col min="2" max="2" width="19.375" style="3020" customWidth="1"/>
    <col min="3" max="3" width="6.125" style="3021" customWidth="1"/>
    <col min="4" max="4" width="6.375" style="3021" customWidth="1"/>
    <col min="5" max="5" width="7.375" style="3021" customWidth="1"/>
    <col min="6" max="6" width="3.5" style="3021" customWidth="1"/>
    <col min="7" max="7" width="19.375" style="3022" customWidth="1"/>
    <col min="8" max="8" width="19.5" style="2956" customWidth="1"/>
    <col min="9" max="9" width="8.625" style="2956" customWidth="1"/>
    <col min="10" max="10" width="10.5" style="2953" customWidth="1"/>
    <col min="11" max="11" width="4.875" style="2984" customWidth="1"/>
    <col min="12" max="12" width="16.375" style="2984" customWidth="1"/>
    <col min="13" max="16" width="8.125" style="2956" customWidth="1"/>
    <col min="17" max="16384" width="9" style="2956"/>
  </cols>
  <sheetData>
    <row r="1" spans="1:16">
      <c r="A1" s="3290" t="s">
        <v>3054</v>
      </c>
      <c r="B1" s="3290"/>
      <c r="C1" s="3290"/>
      <c r="D1" s="3290"/>
      <c r="E1" s="3290"/>
      <c r="F1" s="3290"/>
      <c r="G1" s="3290"/>
      <c r="H1" s="3290"/>
      <c r="I1" s="3290"/>
      <c r="K1" s="3291" t="s">
        <v>3055</v>
      </c>
      <c r="L1" s="2954" t="s">
        <v>3056</v>
      </c>
      <c r="M1" s="2955">
        <v>0</v>
      </c>
      <c r="N1" s="1635"/>
      <c r="O1" s="1635"/>
    </row>
    <row r="2" spans="1:16" ht="15.75" customHeight="1">
      <c r="A2" s="2957" t="s">
        <v>608</v>
      </c>
      <c r="B2" s="2958" t="s">
        <v>3057</v>
      </c>
      <c r="C2" s="3292" t="s">
        <v>3058</v>
      </c>
      <c r="D2" s="3293"/>
      <c r="E2" s="3293"/>
      <c r="F2" s="3294"/>
      <c r="G2" s="2959" t="s">
        <v>3059</v>
      </c>
      <c r="H2" s="3295" t="s">
        <v>1076</v>
      </c>
      <c r="I2" s="3295"/>
      <c r="K2" s="3291"/>
      <c r="L2" s="2954" t="s">
        <v>3060</v>
      </c>
      <c r="M2" s="2960" t="s">
        <v>3263</v>
      </c>
      <c r="N2" s="2961"/>
      <c r="O2" s="2961"/>
    </row>
    <row r="3" spans="1:16">
      <c r="A3" s="2962" t="s">
        <v>3061</v>
      </c>
      <c r="B3" s="2963" t="s">
        <v>3062</v>
      </c>
      <c r="C3" s="3292">
        <f ca="1">'成本法-综合楼（2004年）'!B2*10000</f>
        <v>46990000</v>
      </c>
      <c r="D3" s="3293"/>
      <c r="E3" s="3293"/>
      <c r="F3" s="3294"/>
      <c r="G3" s="2962" t="s">
        <v>3063</v>
      </c>
      <c r="H3" s="2964" t="s">
        <v>3064</v>
      </c>
      <c r="I3" s="2965">
        <f>'数据-汇总表'!F20</f>
        <v>3393.06</v>
      </c>
      <c r="K3" s="3291"/>
      <c r="L3" s="2954" t="s">
        <v>3065</v>
      </c>
      <c r="M3" s="2960" t="s">
        <v>3066</v>
      </c>
      <c r="N3" s="2961"/>
      <c r="O3" s="2966"/>
    </row>
    <row r="4" spans="1:16">
      <c r="A4" s="3296" t="s">
        <v>3067</v>
      </c>
      <c r="B4" s="3297" t="s">
        <v>3068</v>
      </c>
      <c r="C4" s="3298">
        <f ca="1">ROUND(C3*(I4-I6)/(1-((1+I6)/(1+I4))^I5),0)</f>
        <v>2018201</v>
      </c>
      <c r="D4" s="3299"/>
      <c r="E4" s="3299"/>
      <c r="F4" s="3300"/>
      <c r="G4" s="3296" t="s">
        <v>3069</v>
      </c>
      <c r="H4" s="2967" t="s">
        <v>3070</v>
      </c>
      <c r="I4" s="2968">
        <v>5.5E-2</v>
      </c>
      <c r="K4" s="3291"/>
      <c r="L4" s="2954" t="s">
        <v>1077</v>
      </c>
      <c r="M4" s="2969">
        <f>ROUND(1-(1-M1)*M2/M3,2)</f>
        <v>0.73</v>
      </c>
      <c r="N4" s="2961"/>
      <c r="O4" s="2961"/>
    </row>
    <row r="5" spans="1:16" s="2973" customFormat="1" ht="18" customHeight="1">
      <c r="A5" s="3296"/>
      <c r="B5" s="3297"/>
      <c r="C5" s="3301"/>
      <c r="D5" s="3302"/>
      <c r="E5" s="3302"/>
      <c r="F5" s="3303"/>
      <c r="G5" s="3296"/>
      <c r="H5" s="2963" t="s">
        <v>3071</v>
      </c>
      <c r="I5" s="2970">
        <v>50</v>
      </c>
      <c r="J5" s="2971"/>
      <c r="K5" s="3291"/>
      <c r="L5" s="2954" t="s">
        <v>3072</v>
      </c>
      <c r="M5" s="2972">
        <v>0.5</v>
      </c>
      <c r="N5" s="2961"/>
      <c r="O5" s="2961"/>
    </row>
    <row r="6" spans="1:16" s="2973" customFormat="1" ht="18" customHeight="1">
      <c r="A6" s="3296"/>
      <c r="B6" s="3297"/>
      <c r="C6" s="3304"/>
      <c r="D6" s="3305"/>
      <c r="E6" s="3305"/>
      <c r="F6" s="3306"/>
      <c r="G6" s="3296"/>
      <c r="H6" s="2963" t="s">
        <v>3073</v>
      </c>
      <c r="I6" s="2968">
        <v>0.02</v>
      </c>
      <c r="J6" s="2974"/>
      <c r="K6" s="3307" t="s">
        <v>3074</v>
      </c>
      <c r="L6" s="2975" t="s">
        <v>3075</v>
      </c>
      <c r="M6" s="2976" t="s">
        <v>3076</v>
      </c>
      <c r="N6" s="2976" t="s">
        <v>3077</v>
      </c>
      <c r="O6" s="2976" t="s">
        <v>3078</v>
      </c>
      <c r="P6" s="2976" t="s">
        <v>3079</v>
      </c>
    </row>
    <row r="7" spans="1:16" s="2973" customFormat="1" ht="17.25" customHeight="1">
      <c r="A7" s="2962" t="s">
        <v>3080</v>
      </c>
      <c r="B7" s="2963" t="s">
        <v>3081</v>
      </c>
      <c r="C7" s="3292">
        <f>ROUND(C23*I7,0)</f>
        <v>11373919</v>
      </c>
      <c r="D7" s="3293"/>
      <c r="E7" s="3293"/>
      <c r="F7" s="3294"/>
      <c r="G7" s="2959" t="s">
        <v>3082</v>
      </c>
      <c r="H7" s="2963" t="s">
        <v>3083</v>
      </c>
      <c r="I7" s="2977">
        <f>'数据-取费表'!N7</f>
        <v>0.7</v>
      </c>
      <c r="K7" s="3307"/>
      <c r="L7" s="2975" t="s">
        <v>3084</v>
      </c>
      <c r="M7" s="2976">
        <v>100</v>
      </c>
      <c r="N7" s="2976" t="s">
        <v>3085</v>
      </c>
      <c r="O7" s="2976">
        <v>70</v>
      </c>
      <c r="P7" s="2978">
        <v>0.3</v>
      </c>
    </row>
    <row r="8" spans="1:16" s="2973" customFormat="1" ht="18" customHeight="1">
      <c r="A8" s="2957" t="s">
        <v>3086</v>
      </c>
      <c r="B8" s="2963" t="s">
        <v>3087</v>
      </c>
      <c r="C8" s="3292">
        <f>ROUND(I8*I3,0)</f>
        <v>10857792</v>
      </c>
      <c r="D8" s="3293"/>
      <c r="E8" s="3293"/>
      <c r="F8" s="3294"/>
      <c r="G8" s="2959" t="s">
        <v>3088</v>
      </c>
      <c r="H8" s="2963" t="s">
        <v>3089</v>
      </c>
      <c r="I8" s="2959">
        <f>'数据-取费表'!L7</f>
        <v>3200</v>
      </c>
      <c r="J8" s="2979">
        <f>D36</f>
        <v>1.9</v>
      </c>
      <c r="K8" s="3307"/>
      <c r="L8" s="2975" t="s">
        <v>3090</v>
      </c>
      <c r="M8" s="2976">
        <v>100</v>
      </c>
      <c r="N8" s="2976" t="s">
        <v>3085</v>
      </c>
      <c r="O8" s="2976">
        <v>70</v>
      </c>
      <c r="P8" s="2978">
        <v>0.5</v>
      </c>
    </row>
    <row r="9" spans="1:16" s="2973" customFormat="1" ht="18" customHeight="1">
      <c r="A9" s="2957" t="s">
        <v>3091</v>
      </c>
      <c r="B9" s="2963" t="s">
        <v>3092</v>
      </c>
      <c r="C9" s="3292">
        <f>ROUND(C8*H9,0)</f>
        <v>325734</v>
      </c>
      <c r="D9" s="3293"/>
      <c r="E9" s="3293"/>
      <c r="F9" s="3294"/>
      <c r="G9" s="2959" t="s">
        <v>3093</v>
      </c>
      <c r="H9" s="3308">
        <v>0.03</v>
      </c>
      <c r="I9" s="3308"/>
      <c r="J9" s="2979">
        <f ca="1">D37</f>
        <v>2.5</v>
      </c>
      <c r="K9" s="3307"/>
      <c r="L9" s="2975" t="s">
        <v>3094</v>
      </c>
      <c r="M9" s="2976">
        <v>100</v>
      </c>
      <c r="N9" s="2976" t="s">
        <v>3085</v>
      </c>
      <c r="O9" s="2976">
        <v>70</v>
      </c>
      <c r="P9" s="2978">
        <f>1-P7-P8</f>
        <v>0.19999999999999996</v>
      </c>
    </row>
    <row r="10" spans="1:16" s="2973" customFormat="1" ht="18" customHeight="1">
      <c r="A10" s="2957" t="s">
        <v>3095</v>
      </c>
      <c r="B10" s="2963" t="s">
        <v>3096</v>
      </c>
      <c r="C10" s="3292">
        <f>ROUND(C8*H10,0)</f>
        <v>0</v>
      </c>
      <c r="D10" s="3293"/>
      <c r="E10" s="3293"/>
      <c r="F10" s="3294"/>
      <c r="G10" s="2959" t="s">
        <v>3093</v>
      </c>
      <c r="H10" s="3308">
        <v>0</v>
      </c>
      <c r="I10" s="3308"/>
      <c r="J10" s="2979">
        <f ca="1">D38</f>
        <v>2.2000000000000002</v>
      </c>
      <c r="K10" s="3307"/>
      <c r="L10" s="2980" t="s">
        <v>3072</v>
      </c>
      <c r="M10" s="2981">
        <f>1-M5</f>
        <v>0.5</v>
      </c>
      <c r="N10" s="2976" t="s">
        <v>1077</v>
      </c>
      <c r="O10" s="2982">
        <f>ROUND((O7*P7+O8*P8+O9*P9)/100,2)</f>
        <v>0.7</v>
      </c>
      <c r="P10" s="2983"/>
    </row>
    <row r="11" spans="1:16" s="2973" customFormat="1" ht="29.25" customHeight="1">
      <c r="A11" s="2957" t="s">
        <v>3097</v>
      </c>
      <c r="B11" s="2963" t="s">
        <v>3098</v>
      </c>
      <c r="C11" s="3292">
        <f>ROUND(I11*I3,0)</f>
        <v>678612</v>
      </c>
      <c r="D11" s="3293"/>
      <c r="E11" s="3293"/>
      <c r="F11" s="3294"/>
      <c r="G11" s="2959" t="s">
        <v>3099</v>
      </c>
      <c r="H11" s="2963" t="s">
        <v>3100</v>
      </c>
      <c r="I11" s="2959">
        <v>200</v>
      </c>
      <c r="J11" s="2971"/>
      <c r="K11" s="2984"/>
      <c r="L11" s="2984"/>
    </row>
    <row r="12" spans="1:16" s="2973" customFormat="1" ht="18" customHeight="1">
      <c r="A12" s="2957" t="s">
        <v>3101</v>
      </c>
      <c r="B12" s="2963" t="s">
        <v>3102</v>
      </c>
      <c r="C12" s="3292">
        <f>ROUND(C8*H12,0)</f>
        <v>162867</v>
      </c>
      <c r="D12" s="3293"/>
      <c r="E12" s="3293"/>
      <c r="F12" s="3294"/>
      <c r="G12" s="2959" t="s">
        <v>3093</v>
      </c>
      <c r="H12" s="3308">
        <v>1.4999999999999999E-2</v>
      </c>
      <c r="I12" s="3308"/>
      <c r="J12" s="2985" t="s">
        <v>3103</v>
      </c>
      <c r="L12" s="2986"/>
    </row>
    <row r="13" spans="1:16" s="2973" customFormat="1" ht="18" customHeight="1">
      <c r="A13" s="2957" t="s">
        <v>1131</v>
      </c>
      <c r="B13" s="2963" t="s">
        <v>3104</v>
      </c>
      <c r="C13" s="3292">
        <f>SUM(C8:F12)</f>
        <v>12025005</v>
      </c>
      <c r="D13" s="3293"/>
      <c r="E13" s="3293"/>
      <c r="F13" s="3294"/>
      <c r="G13" s="3295" t="s">
        <v>3105</v>
      </c>
      <c r="H13" s="3295"/>
      <c r="I13" s="3295"/>
      <c r="J13" s="2985" t="s">
        <v>3106</v>
      </c>
      <c r="L13" s="2986"/>
    </row>
    <row r="14" spans="1:16" s="2973" customFormat="1" ht="18" customHeight="1">
      <c r="A14" s="2957" t="s">
        <v>3107</v>
      </c>
      <c r="B14" s="2963" t="s">
        <v>3108</v>
      </c>
      <c r="C14" s="3292">
        <f>ROUND(C13*H14,0)</f>
        <v>240500</v>
      </c>
      <c r="D14" s="3293"/>
      <c r="E14" s="3293"/>
      <c r="F14" s="3294"/>
      <c r="G14" s="2959" t="s">
        <v>3109</v>
      </c>
      <c r="H14" s="3308">
        <v>0.02</v>
      </c>
      <c r="I14" s="3308"/>
      <c r="J14" s="2971"/>
      <c r="L14" s="2986"/>
    </row>
    <row r="15" spans="1:16" s="2973" customFormat="1" ht="18" customHeight="1">
      <c r="A15" s="2957" t="s">
        <v>1026</v>
      </c>
      <c r="B15" s="2963" t="s">
        <v>3110</v>
      </c>
      <c r="C15" s="3313">
        <f>H15</f>
        <v>0.02</v>
      </c>
      <c r="D15" s="3314"/>
      <c r="E15" s="3311" t="str">
        <f>E18</f>
        <v>V</v>
      </c>
      <c r="F15" s="3312"/>
      <c r="G15" s="2959" t="s">
        <v>3111</v>
      </c>
      <c r="H15" s="3308">
        <v>0.02</v>
      </c>
      <c r="I15" s="3308"/>
      <c r="J15" s="2987"/>
      <c r="K15" s="2988"/>
    </row>
    <row r="16" spans="1:16" s="2973" customFormat="1" ht="18" customHeight="1">
      <c r="A16" s="2989" t="s">
        <v>1027</v>
      </c>
      <c r="B16" s="2990" t="s">
        <v>3112</v>
      </c>
      <c r="C16" s="2991">
        <f>C17</f>
        <v>266775</v>
      </c>
      <c r="D16" s="2992" t="s">
        <v>3113</v>
      </c>
      <c r="E16" s="2993">
        <f>C18</f>
        <v>4.35E-4</v>
      </c>
      <c r="F16" s="2994" t="str">
        <f>E18</f>
        <v>V</v>
      </c>
      <c r="G16" s="3292" t="s">
        <v>3114</v>
      </c>
      <c r="H16" s="3293"/>
      <c r="I16" s="3294"/>
      <c r="J16" s="2971"/>
      <c r="K16" s="2984"/>
    </row>
    <row r="17" spans="1:12" s="2973" customFormat="1" ht="18" customHeight="1">
      <c r="A17" s="2957" t="s">
        <v>3115</v>
      </c>
      <c r="B17" s="2963" t="s">
        <v>3116</v>
      </c>
      <c r="C17" s="3292">
        <f>ROUND((C13+C14)*I18*(I17/2),0)</f>
        <v>266775</v>
      </c>
      <c r="D17" s="3293"/>
      <c r="E17" s="3293"/>
      <c r="F17" s="3294"/>
      <c r="G17" s="2991" t="s">
        <v>3117</v>
      </c>
      <c r="H17" s="2963" t="s">
        <v>3118</v>
      </c>
      <c r="I17" s="2995">
        <f>'数据-取费表'!B20</f>
        <v>1</v>
      </c>
      <c r="J17" s="2985" t="s">
        <v>3119</v>
      </c>
      <c r="K17" s="2984"/>
      <c r="L17" s="2984"/>
    </row>
    <row r="18" spans="1:12" s="2973" customFormat="1" ht="18" customHeight="1">
      <c r="A18" s="2957" t="s">
        <v>3120</v>
      </c>
      <c r="B18" s="2963" t="s">
        <v>3121</v>
      </c>
      <c r="C18" s="3309">
        <f>H15*I18*I17/2</f>
        <v>4.35E-4</v>
      </c>
      <c r="D18" s="3310"/>
      <c r="E18" s="3311" t="s">
        <v>3122</v>
      </c>
      <c r="F18" s="3312"/>
      <c r="G18" s="2991" t="s">
        <v>3123</v>
      </c>
      <c r="H18" s="2963" t="s">
        <v>3124</v>
      </c>
      <c r="I18" s="2996">
        <v>4.3499999999999997E-2</v>
      </c>
      <c r="J18" s="2985" t="s">
        <v>3125</v>
      </c>
      <c r="K18" s="2984"/>
      <c r="L18" s="2984"/>
    </row>
    <row r="19" spans="1:12" s="2973" customFormat="1" ht="27" customHeight="1">
      <c r="A19" s="2957" t="s">
        <v>1028</v>
      </c>
      <c r="B19" s="2963" t="s">
        <v>3126</v>
      </c>
      <c r="C19" s="2991">
        <f>C20</f>
        <v>2453101</v>
      </c>
      <c r="D19" s="2992" t="s">
        <v>3113</v>
      </c>
      <c r="E19" s="2992">
        <f>C21</f>
        <v>4.0000000000000001E-3</v>
      </c>
      <c r="F19" s="2994" t="str">
        <f>E21</f>
        <v>V</v>
      </c>
      <c r="G19" s="3292" t="s">
        <v>3127</v>
      </c>
      <c r="H19" s="3293"/>
      <c r="I19" s="3294"/>
      <c r="J19" s="2971"/>
      <c r="K19" s="2984"/>
      <c r="L19" s="2984"/>
    </row>
    <row r="20" spans="1:12" s="2973" customFormat="1" ht="26.25" customHeight="1">
      <c r="A20" s="2957" t="s">
        <v>3128</v>
      </c>
      <c r="B20" s="2963" t="s">
        <v>3129</v>
      </c>
      <c r="C20" s="3292">
        <f>ROUND((C13+C14)*I20,0)</f>
        <v>2453101</v>
      </c>
      <c r="D20" s="3293"/>
      <c r="E20" s="3293"/>
      <c r="F20" s="3294"/>
      <c r="G20" s="2959" t="s">
        <v>3130</v>
      </c>
      <c r="H20" s="3317" t="s">
        <v>3131</v>
      </c>
      <c r="I20" s="3319">
        <f>'数据-取费表'!Q7</f>
        <v>0.2</v>
      </c>
      <c r="J20" s="2985" t="s">
        <v>3132</v>
      </c>
      <c r="K20" s="2984"/>
      <c r="L20" s="2984"/>
    </row>
    <row r="21" spans="1:12" s="2973" customFormat="1" ht="27" customHeight="1">
      <c r="A21" s="2957" t="s">
        <v>3128</v>
      </c>
      <c r="B21" s="2963" t="s">
        <v>3133</v>
      </c>
      <c r="C21" s="3320">
        <f>H15*I20</f>
        <v>4.0000000000000001E-3</v>
      </c>
      <c r="D21" s="3321"/>
      <c r="E21" s="3311" t="s">
        <v>3122</v>
      </c>
      <c r="F21" s="3312"/>
      <c r="G21" s="2959" t="s">
        <v>3134</v>
      </c>
      <c r="H21" s="3318"/>
      <c r="I21" s="3319"/>
      <c r="J21" s="2971"/>
      <c r="K21" s="2984"/>
      <c r="L21" s="2984"/>
    </row>
    <row r="22" spans="1:12" s="2973" customFormat="1" ht="18" customHeight="1">
      <c r="A22" s="2957" t="s">
        <v>1029</v>
      </c>
      <c r="B22" s="2963" t="s">
        <v>3135</v>
      </c>
      <c r="C22" s="3320">
        <f>ROUND(H22/1.05,4)</f>
        <v>5.33E-2</v>
      </c>
      <c r="D22" s="3321"/>
      <c r="E22" s="3311" t="s">
        <v>3122</v>
      </c>
      <c r="F22" s="3312"/>
      <c r="G22" s="2959" t="s">
        <v>3136</v>
      </c>
      <c r="H22" s="3308">
        <v>5.6000000000000001E-2</v>
      </c>
      <c r="I22" s="3308"/>
      <c r="J22" s="2997"/>
      <c r="K22" s="2984"/>
      <c r="L22" s="2984"/>
    </row>
    <row r="23" spans="1:12" s="2973" customFormat="1" ht="18" customHeight="1">
      <c r="A23" s="2957" t="s">
        <v>3137</v>
      </c>
      <c r="B23" s="2963" t="s">
        <v>3138</v>
      </c>
      <c r="C23" s="3292">
        <f>ROUND((C13+C14+C17+C20)/(1-H15-C18-C21-C22),0)</f>
        <v>16248455</v>
      </c>
      <c r="D23" s="3293"/>
      <c r="E23" s="3293"/>
      <c r="F23" s="3294"/>
      <c r="G23" s="3292" t="s">
        <v>3139</v>
      </c>
      <c r="H23" s="3293"/>
      <c r="I23" s="3294"/>
      <c r="J23" s="2997"/>
      <c r="K23" s="2984"/>
      <c r="L23" s="2984"/>
    </row>
    <row r="24" spans="1:12" s="2973" customFormat="1" ht="18" customHeight="1">
      <c r="A24" s="2957" t="s">
        <v>3140</v>
      </c>
      <c r="B24" s="2963" t="s">
        <v>3141</v>
      </c>
      <c r="C24" s="2998">
        <f>C27+C28</f>
        <v>347717</v>
      </c>
      <c r="D24" s="2999" t="s">
        <v>3142</v>
      </c>
      <c r="E24" s="3315">
        <f>H29+E26+H25</f>
        <v>0.19599999999999998</v>
      </c>
      <c r="F24" s="3316"/>
      <c r="G24" s="3295" t="s">
        <v>3143</v>
      </c>
      <c r="H24" s="3295"/>
      <c r="I24" s="3295"/>
      <c r="J24" s="2997"/>
      <c r="K24" s="2984"/>
      <c r="L24" s="2984"/>
    </row>
    <row r="25" spans="1:12" s="2973" customFormat="1" ht="18" customHeight="1">
      <c r="A25" s="2957" t="s">
        <v>1131</v>
      </c>
      <c r="B25" s="2963" t="s">
        <v>3144</v>
      </c>
      <c r="C25" s="3313" t="s">
        <v>3145</v>
      </c>
      <c r="D25" s="3314"/>
      <c r="E25" s="3322">
        <f>ROUND(H25/1.05,4)</f>
        <v>5.33E-2</v>
      </c>
      <c r="F25" s="3323"/>
      <c r="G25" s="2959" t="s">
        <v>3146</v>
      </c>
      <c r="H25" s="3324">
        <v>5.6000000000000001E-2</v>
      </c>
      <c r="I25" s="3324"/>
      <c r="J25" s="2987"/>
      <c r="K25" s="2984"/>
      <c r="L25" s="2984"/>
    </row>
    <row r="26" spans="1:12" s="2973" customFormat="1" ht="18" customHeight="1">
      <c r="A26" s="2957" t="s">
        <v>3107</v>
      </c>
      <c r="B26" s="2963" t="s">
        <v>3147</v>
      </c>
      <c r="C26" s="3313" t="s">
        <v>3145</v>
      </c>
      <c r="D26" s="3314"/>
      <c r="E26" s="3325">
        <v>0.12</v>
      </c>
      <c r="F26" s="3316"/>
      <c r="G26" s="2959"/>
      <c r="H26" s="3326">
        <v>0.12</v>
      </c>
      <c r="I26" s="3327"/>
      <c r="J26" s="2987"/>
      <c r="K26" s="2984"/>
      <c r="L26" s="2984"/>
    </row>
    <row r="27" spans="1:12" s="2973" customFormat="1" ht="18" customHeight="1">
      <c r="A27" s="2957" t="s">
        <v>1026</v>
      </c>
      <c r="B27" s="2963" t="s">
        <v>1128</v>
      </c>
      <c r="C27" s="3292">
        <f>ROUND(C23*H27,0)</f>
        <v>324969</v>
      </c>
      <c r="D27" s="3293"/>
      <c r="E27" s="3293"/>
      <c r="F27" s="3294"/>
      <c r="G27" s="2959" t="s">
        <v>3148</v>
      </c>
      <c r="H27" s="3324">
        <f>'数据-取费表'!AK7</f>
        <v>0.02</v>
      </c>
      <c r="I27" s="3324"/>
      <c r="J27" s="2987"/>
      <c r="K27" s="2984"/>
      <c r="L27" s="2984"/>
    </row>
    <row r="28" spans="1:12" s="2973" customFormat="1" ht="18" customHeight="1">
      <c r="A28" s="2957" t="s">
        <v>1027</v>
      </c>
      <c r="B28" s="2963" t="s">
        <v>3149</v>
      </c>
      <c r="C28" s="3292">
        <f>ROUND(C7*H28,0)</f>
        <v>22748</v>
      </c>
      <c r="D28" s="3293"/>
      <c r="E28" s="3293"/>
      <c r="F28" s="3294"/>
      <c r="G28" s="2959" t="s">
        <v>3150</v>
      </c>
      <c r="H28" s="3328">
        <f>'数据-取费表'!AL7</f>
        <v>2E-3</v>
      </c>
      <c r="I28" s="3328"/>
      <c r="J28" s="2971"/>
      <c r="K28" s="2984"/>
      <c r="L28" s="2984"/>
    </row>
    <row r="29" spans="1:12" s="2973" customFormat="1" ht="18" customHeight="1">
      <c r="A29" s="2957" t="s">
        <v>1028</v>
      </c>
      <c r="B29" s="2963" t="s">
        <v>3151</v>
      </c>
      <c r="C29" s="3313" t="s">
        <v>3145</v>
      </c>
      <c r="D29" s="3314"/>
      <c r="E29" s="3325">
        <f>H29</f>
        <v>0.02</v>
      </c>
      <c r="F29" s="3316"/>
      <c r="G29" s="2959" t="s">
        <v>3152</v>
      </c>
      <c r="H29" s="3324">
        <f>'数据-取费表'!AM7</f>
        <v>0.02</v>
      </c>
      <c r="I29" s="3324"/>
      <c r="J29" s="3000"/>
      <c r="K29" s="2984"/>
      <c r="L29" s="2984"/>
    </row>
    <row r="30" spans="1:12" s="2973" customFormat="1" ht="18" customHeight="1">
      <c r="A30" s="2962" t="s">
        <v>3153</v>
      </c>
      <c r="B30" s="2963" t="s">
        <v>3154</v>
      </c>
      <c r="C30" s="3292">
        <f ca="1">ROUND((C4+C24)/(1-E24),0)</f>
        <v>2942684</v>
      </c>
      <c r="D30" s="3293"/>
      <c r="E30" s="3293"/>
      <c r="F30" s="3294"/>
      <c r="G30" s="3296" t="s">
        <v>3155</v>
      </c>
      <c r="H30" s="3296"/>
      <c r="I30" s="3296"/>
      <c r="J30" s="3001" t="s">
        <v>3156</v>
      </c>
      <c r="K30" s="2984"/>
      <c r="L30" s="2984"/>
    </row>
    <row r="31" spans="1:12" s="2973" customFormat="1" ht="18" customHeight="1">
      <c r="A31" s="3296" t="s">
        <v>3157</v>
      </c>
      <c r="B31" s="3297" t="s">
        <v>3158</v>
      </c>
      <c r="C31" s="3329">
        <f ca="1">ROUND(C30/I31/I32/I3,2)</f>
        <v>2.5</v>
      </c>
      <c r="D31" s="3330"/>
      <c r="E31" s="3330"/>
      <c r="F31" s="3331"/>
      <c r="G31" s="3295" t="s">
        <v>3159</v>
      </c>
      <c r="H31" s="2963" t="s">
        <v>3160</v>
      </c>
      <c r="I31" s="2959">
        <v>365</v>
      </c>
      <c r="J31" s="3002"/>
      <c r="K31" s="2984"/>
      <c r="L31" s="2984"/>
    </row>
    <row r="32" spans="1:12" s="2973" customFormat="1" ht="18" customHeight="1">
      <c r="A32" s="3296"/>
      <c r="B32" s="3297"/>
      <c r="C32" s="3332"/>
      <c r="D32" s="3333"/>
      <c r="E32" s="3333"/>
      <c r="F32" s="3334"/>
      <c r="G32" s="3295"/>
      <c r="H32" s="2963" t="s">
        <v>3161</v>
      </c>
      <c r="I32" s="3003">
        <v>0.95</v>
      </c>
      <c r="J32" s="3004"/>
      <c r="K32" s="2984"/>
      <c r="L32" s="2984"/>
    </row>
    <row r="33" spans="1:13" s="2973" customFormat="1" ht="18" customHeight="1">
      <c r="A33" s="2956"/>
      <c r="B33" s="3005"/>
      <c r="C33" s="3006"/>
      <c r="D33" s="3006"/>
      <c r="E33" s="3006"/>
      <c r="F33" s="3006"/>
      <c r="G33" s="3007"/>
      <c r="H33" s="3"/>
      <c r="I33" s="2956"/>
      <c r="J33" s="3008"/>
      <c r="K33" s="2984"/>
      <c r="L33" s="2984"/>
    </row>
    <row r="34" spans="1:13" s="2973" customFormat="1" ht="18" customHeight="1">
      <c r="A34" s="2956"/>
      <c r="B34" s="3336" t="s">
        <v>3162</v>
      </c>
      <c r="C34" s="3336"/>
      <c r="D34" s="3336"/>
      <c r="E34" s="3336"/>
      <c r="F34" s="3336"/>
      <c r="G34" s="3009"/>
      <c r="H34" s="3010"/>
      <c r="I34" s="2956"/>
      <c r="J34" s="2971"/>
      <c r="K34" s="2984"/>
      <c r="L34" s="2984"/>
      <c r="M34" s="2956"/>
    </row>
    <row r="35" spans="1:13" s="2973" customFormat="1" ht="18" customHeight="1">
      <c r="A35" s="2956"/>
      <c r="B35" s="3011" t="s">
        <v>3163</v>
      </c>
      <c r="C35" s="3012" t="s">
        <v>3079</v>
      </c>
      <c r="D35" s="3337" t="s">
        <v>3164</v>
      </c>
      <c r="E35" s="3337"/>
      <c r="F35" s="3337"/>
      <c r="G35" s="3009"/>
      <c r="H35" s="3010"/>
      <c r="I35" s="2956"/>
      <c r="J35" s="2997"/>
      <c r="K35" s="2956"/>
      <c r="L35" s="2956"/>
      <c r="M35" s="2956"/>
    </row>
    <row r="36" spans="1:13">
      <c r="B36" s="3011" t="s">
        <v>3165</v>
      </c>
      <c r="C36" s="3013">
        <v>0.5</v>
      </c>
      <c r="D36" s="3338">
        <f>'比较法-综合楼'!C49</f>
        <v>1.9</v>
      </c>
      <c r="E36" s="3338"/>
      <c r="F36" s="3338"/>
      <c r="G36" s="3009">
        <f ca="1">(D36-D37)/D37</f>
        <v>-0.24000000000000005</v>
      </c>
      <c r="H36" s="3010"/>
      <c r="K36" s="2956"/>
      <c r="L36" s="2956"/>
    </row>
    <row r="37" spans="1:13" ht="20.100000000000001" customHeight="1">
      <c r="B37" s="3011" t="s">
        <v>3166</v>
      </c>
      <c r="C37" s="3013">
        <f>1-C36</f>
        <v>0.5</v>
      </c>
      <c r="D37" s="3338">
        <f ca="1">C31</f>
        <v>2.5</v>
      </c>
      <c r="E37" s="3338"/>
      <c r="F37" s="3338"/>
      <c r="G37" s="3009"/>
      <c r="H37" s="3010"/>
      <c r="J37" s="2956"/>
      <c r="K37" s="2956"/>
      <c r="L37" s="2956"/>
    </row>
    <row r="38" spans="1:13" ht="22.5" customHeight="1">
      <c r="B38" s="3339" t="s">
        <v>3167</v>
      </c>
      <c r="C38" s="3339"/>
      <c r="D38" s="3335">
        <f ca="1">ROUND(C36*D36+C37*D37,1)</f>
        <v>2.2000000000000002</v>
      </c>
      <c r="E38" s="3335"/>
      <c r="F38" s="3335"/>
      <c r="G38" s="3009"/>
      <c r="H38" s="3010"/>
      <c r="J38" s="2956"/>
      <c r="K38" s="2956"/>
      <c r="L38" s="2956"/>
    </row>
    <row r="39" spans="1:13" ht="22.5" customHeight="1">
      <c r="B39" s="3011" t="s">
        <v>3168</v>
      </c>
      <c r="C39" s="3011">
        <f ca="1">ROUND(D38*0.9,1)</f>
        <v>2</v>
      </c>
      <c r="D39" s="3014" t="s">
        <v>3169</v>
      </c>
      <c r="E39" s="3335">
        <f ca="1">ROUND(D38*1.1,1)</f>
        <v>2.4</v>
      </c>
      <c r="F39" s="3335"/>
      <c r="G39" s="3009" t="s">
        <v>3170</v>
      </c>
      <c r="H39" s="3015">
        <v>11.48</v>
      </c>
      <c r="J39" s="2956"/>
      <c r="K39" s="2956"/>
      <c r="L39" s="2956"/>
    </row>
    <row r="40" spans="1:13" ht="18" customHeight="1">
      <c r="B40" s="3011" t="s">
        <v>3171</v>
      </c>
      <c r="C40" s="3011">
        <f ca="1">ROUND(C39+H40,1)</f>
        <v>2</v>
      </c>
      <c r="D40" s="3014" t="s">
        <v>3169</v>
      </c>
      <c r="E40" s="3335">
        <f ca="1">ROUND(E39+H40,1)</f>
        <v>2.4</v>
      </c>
      <c r="F40" s="3335"/>
      <c r="G40" s="3016" t="s">
        <v>3172</v>
      </c>
      <c r="H40" s="3016"/>
      <c r="J40" s="2956"/>
      <c r="K40" s="2956"/>
      <c r="L40" s="2956"/>
    </row>
    <row r="41" spans="1:13" ht="18" customHeight="1">
      <c r="B41" s="3017"/>
      <c r="C41" s="3018"/>
      <c r="D41" s="3019"/>
      <c r="E41" s="3019"/>
      <c r="F41" s="3019"/>
      <c r="G41" s="3009"/>
      <c r="H41" s="3010"/>
      <c r="J41" s="2956"/>
    </row>
    <row r="42" spans="1:13" ht="18" customHeight="1">
      <c r="B42" s="3009" t="s">
        <v>3173</v>
      </c>
      <c r="C42" s="3019"/>
      <c r="D42" s="3019"/>
      <c r="E42" s="3009" t="s">
        <v>3174</v>
      </c>
      <c r="F42" s="3019"/>
      <c r="G42" s="3009"/>
      <c r="H42" s="3009" t="s">
        <v>3175</v>
      </c>
      <c r="J42" s="2956"/>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3" type="noConversion"/>
  <pageMargins left="0.7" right="0.7" top="0.75" bottom="0.75" header="0.3" footer="0.3"/>
  <pageSetup paperSize="9" scale="80" orientation="portrait" r:id="rId1"/>
  <colBreaks count="1" manualBreakCount="1">
    <brk id="10" max="1048575" man="1"/>
  </col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topLeftCell="A4" workbookViewId="0">
      <selection activeCell="F24" sqref="F24"/>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13</v>
      </c>
      <c r="C2" s="320" t="s">
        <v>2458</v>
      </c>
      <c r="D2" s="320"/>
      <c r="E2" s="320"/>
      <c r="F2" s="320"/>
      <c r="G2" s="320"/>
      <c r="H2" s="320"/>
      <c r="I2" s="320"/>
      <c r="J2" s="320"/>
      <c r="K2" s="320"/>
    </row>
    <row r="3" spans="1:33" ht="18" customHeight="1" thickBot="1">
      <c r="A3" s="247" t="s">
        <v>2327</v>
      </c>
      <c r="B3" s="248">
        <f ca="1">ROUND(B2*10000/IF(C1="",'数据-汇总表'!E3,INDIRECT("'数据-取费表'!K"&amp;$K$1)),0)</f>
        <v>11</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11819.969999999998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11819.969999999998</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-11</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189</v>
      </c>
      <c r="D20" s="1033">
        <f ca="1">IF(C1="",'数据-汇总表'!E6,IF(INDIRECT("'数据-取费表'!c"&amp;$K$1)="住宅",INDIRECT("'数据-取费表'!s"&amp;$K$1),INDIRECT("'数据-取费表'!k"&amp;$K$1)+INDIRECT("'数据-取费表'!s"&amp;$K$1)))</f>
        <v>11819.969999999998</v>
      </c>
      <c r="E20" s="24">
        <f>'数据-取费表'!B28</f>
        <v>160</v>
      </c>
      <c r="F20" s="976"/>
      <c r="G20" s="15"/>
      <c r="H20" s="981"/>
      <c r="I20" s="981"/>
      <c r="J20" s="981"/>
      <c r="K20" s="982"/>
    </row>
    <row r="21" spans="1:33" s="975" customFormat="1" ht="13.5" customHeight="1">
      <c r="A21" s="961" t="s">
        <v>802</v>
      </c>
      <c r="B21" s="985" t="s">
        <v>2494</v>
      </c>
      <c r="C21" s="986">
        <f ca="1">C16+C17+C18</f>
        <v>-11</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-2</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-2</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13</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2324</v>
      </c>
      <c r="B1" s="1936" t="s">
        <v>3207</v>
      </c>
      <c r="C1" s="2553" t="s">
        <v>2426</v>
      </c>
      <c r="D1" s="242"/>
      <c r="E1" s="242"/>
      <c r="F1" s="242"/>
      <c r="G1" s="1379">
        <f>MATCH(B1,'数据-取费表'!A6:A16,0)+5</f>
        <v>6</v>
      </c>
      <c r="H1" s="1282" t="str">
        <f>IF(ISERROR(FIND("住宅",B1)),"非住宅","住宅")</f>
        <v>非住宅</v>
      </c>
    </row>
    <row r="2" spans="1:8" s="244" customFormat="1" ht="18" customHeight="1">
      <c r="A2" s="245" t="s">
        <v>2325</v>
      </c>
      <c r="B2" s="246">
        <f ca="1">ROUND(IF(D2="——",C52/10000,C52/10000-E2),0)</f>
        <v>19489</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23127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121752341.44999997</v>
      </c>
      <c r="D5" s="255" t="s">
        <v>2332</v>
      </c>
      <c r="E5" s="256" t="s">
        <v>2333</v>
      </c>
      <c r="F5" s="256" t="s">
        <v>2334</v>
      </c>
      <c r="G5" s="257"/>
    </row>
    <row r="6" spans="1:8" s="258" customFormat="1" ht="13.5" customHeight="1">
      <c r="A6" s="949" t="s">
        <v>2335</v>
      </c>
      <c r="B6" s="259" t="s">
        <v>2336</v>
      </c>
      <c r="C6" s="260">
        <f ca="1">基准地价修正!C29*基准地价修正!D29</f>
        <v>116840403.44999997</v>
      </c>
      <c r="D6" s="261"/>
      <c r="E6" s="262"/>
      <c r="F6" s="262"/>
      <c r="G6" s="263"/>
    </row>
    <row r="7" spans="1:8" s="258" customFormat="1" ht="13.5" customHeight="1">
      <c r="A7" s="949" t="s">
        <v>2337</v>
      </c>
      <c r="B7" s="259" t="s">
        <v>2338</v>
      </c>
      <c r="C7" s="264">
        <f ca="1">ROUND(C6*F7,0)</f>
        <v>3563632</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1348306</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1348306</v>
      </c>
      <c r="D10" s="1032">
        <f ca="1">IF(B1="",'数据-汇总表'!E6,IF(INDIRECT("'数据-取费表'!c"&amp;$G$1)="住宅",INDIRECT("'数据-取费表'!s"&amp;$G$1),INDIRECT("'数据-取费表'!k"&amp;$G$1)+INDIRECT("'数据-取费表'!s"&amp;$G$1)))</f>
        <v>8426.909999999998</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1685382</v>
      </c>
      <c r="D19" s="1036">
        <f ca="1">D9+D10</f>
        <v>8426.909999999998</v>
      </c>
      <c r="E19" s="255">
        <f>'数据-取费表'!B31</f>
        <v>200</v>
      </c>
      <c r="F19" s="275"/>
      <c r="G19" s="2550"/>
    </row>
    <row r="20" spans="1:7" s="258" customFormat="1" ht="13.5" customHeight="1">
      <c r="A20" s="299" t="s">
        <v>2437</v>
      </c>
      <c r="B20" s="254" t="s">
        <v>2438</v>
      </c>
      <c r="C20" s="276">
        <f ca="1">ROUND((C5+C19)*F20,0)</f>
        <v>2468754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5423236</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5296227</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73314</v>
      </c>
      <c r="D24" s="282"/>
      <c r="E24" s="282"/>
      <c r="F24" s="283"/>
      <c r="G24" s="284" t="s">
        <v>2449</v>
      </c>
    </row>
    <row r="25" spans="1:7" s="258" customFormat="1" ht="24">
      <c r="A25" s="951" t="s">
        <v>2339</v>
      </c>
      <c r="B25" s="259" t="s">
        <v>2450</v>
      </c>
      <c r="C25" s="1381">
        <f ca="1">ROUND(IF('数据-取费表'!B22&lt;=1,C20*F22*'数据-取费表'!B22/2,C20*(POWER((1+F22),'数据-取费表'!B22/2)-1)),0)</f>
        <v>53695</v>
      </c>
      <c r="D25" s="282"/>
      <c r="E25" s="285"/>
      <c r="F25" s="283"/>
      <c r="G25" s="286" t="s">
        <v>2451</v>
      </c>
    </row>
    <row r="26" spans="1:7" s="258" customFormat="1">
      <c r="A26" s="951"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25181295</v>
      </c>
      <c r="D27" s="279">
        <f ca="1">C29</f>
        <v>4.0000000000000001E-3</v>
      </c>
      <c r="E27" s="280" t="s">
        <v>2377</v>
      </c>
      <c r="F27" s="290">
        <f ca="1">IF(B1="",'数据-取费表'!Q16,INDIRECT("'数据-取费表'!q"&amp;$G$1))</f>
        <v>0.2</v>
      </c>
      <c r="G27" s="291" t="s">
        <v>2378</v>
      </c>
    </row>
    <row r="28" spans="1:7" s="258" customFormat="1" ht="13.5" customHeight="1">
      <c r="A28" s="951" t="s">
        <v>791</v>
      </c>
      <c r="B28" s="292" t="s">
        <v>2379</v>
      </c>
      <c r="C28" s="293">
        <f ca="1">ROUND((C5+C19+C20)*F27,0)</f>
        <v>25181295</v>
      </c>
      <c r="D28" s="279"/>
      <c r="E28" s="280"/>
      <c r="F28" s="290"/>
      <c r="G28" s="291"/>
    </row>
    <row r="29" spans="1:7" s="258" customFormat="1" ht="13.5" customHeight="1">
      <c r="A29" s="951"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169530988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29864969</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26966112</v>
      </c>
      <c r="D34" s="261"/>
      <c r="E34" s="264"/>
      <c r="F34" s="301"/>
      <c r="G34" s="263"/>
    </row>
    <row r="35" spans="1:7" ht="13.5" customHeight="1">
      <c r="A35" s="951" t="s">
        <v>796</v>
      </c>
      <c r="B35" s="259" t="s">
        <v>2390</v>
      </c>
      <c r="C35" s="264">
        <f ca="1">ROUND(C34*F35,0)</f>
        <v>808983</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1685382</v>
      </c>
      <c r="D37" s="261">
        <f ca="1">D19</f>
        <v>8426.909999999998</v>
      </c>
      <c r="E37" s="293">
        <f>'数据-取费表'!B35</f>
        <v>200</v>
      </c>
      <c r="F37" s="303"/>
      <c r="G37" s="305"/>
    </row>
    <row r="38" spans="1:7" ht="13.5" customHeight="1">
      <c r="A38" s="951" t="s">
        <v>799</v>
      </c>
      <c r="B38" s="259" t="s">
        <v>2396</v>
      </c>
      <c r="C38" s="264">
        <f ca="1">ROUND(C34*F38,0)</f>
        <v>404492</v>
      </c>
      <c r="D38" s="264"/>
      <c r="E38" s="264"/>
      <c r="F38" s="303">
        <f>'数据-取费表'!B36</f>
        <v>1.4999999999999999E-2</v>
      </c>
      <c r="G38" s="263" t="s">
        <v>2391</v>
      </c>
    </row>
    <row r="39" spans="1:7" s="258" customFormat="1" ht="13.5" customHeight="1">
      <c r="A39" s="299" t="s">
        <v>2397</v>
      </c>
      <c r="B39" s="254" t="s">
        <v>2398</v>
      </c>
      <c r="C39" s="276">
        <f ca="1">ROUND(C33*F20,0)</f>
        <v>597299</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662554</v>
      </c>
      <c r="D41" s="279">
        <f ca="1">C44</f>
        <v>4.0000000000000002E-4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649563</v>
      </c>
      <c r="D42" s="282"/>
      <c r="E42" s="282"/>
      <c r="F42" s="283"/>
      <c r="G42" s="3340" t="s">
        <v>2454</v>
      </c>
    </row>
    <row r="43" spans="1:7" ht="13.5" customHeight="1">
      <c r="A43" s="951" t="s">
        <v>792</v>
      </c>
      <c r="B43" s="259" t="s">
        <v>2408</v>
      </c>
      <c r="C43" s="282">
        <f ca="1">ROUND(IF('数据-取费表'!B22&lt;=1,C39*F22*'数据-取费表'!B20/2,C39*(POWER((1+F22),'数据-取费表'!B20/2)-1)),0)</f>
        <v>12991</v>
      </c>
      <c r="D43" s="282"/>
      <c r="E43" s="282"/>
      <c r="F43" s="283"/>
      <c r="G43" s="3341"/>
    </row>
    <row r="44" spans="1:7" ht="13.5" customHeight="1">
      <c r="A44" s="951" t="s">
        <v>793</v>
      </c>
      <c r="B44" s="259" t="s">
        <v>2409</v>
      </c>
      <c r="C44" s="282">
        <f ca="1">ROUND(IF('数据-取费表'!B22&lt;=1,C40*F22*'数据-取费表'!B20/2,C40*(POWER((1+F22),'数据-取费表'!B20/2)-1)),4)</f>
        <v>4.0000000000000002E-4</v>
      </c>
      <c r="D44" s="282"/>
      <c r="E44" s="282"/>
      <c r="F44" s="283"/>
      <c r="G44" s="3342"/>
    </row>
    <row r="45" spans="1:7" s="258" customFormat="1" ht="13.5" customHeight="1">
      <c r="A45" s="299" t="s">
        <v>2410</v>
      </c>
      <c r="B45" s="288" t="s">
        <v>2376</v>
      </c>
      <c r="C45" s="289">
        <f ca="1">C46</f>
        <v>6092454</v>
      </c>
      <c r="D45" s="279">
        <f ca="1">C47</f>
        <v>4.0000000000000001E-3</v>
      </c>
      <c r="E45" s="280" t="s">
        <v>2402</v>
      </c>
      <c r="F45" s="290"/>
      <c r="G45" s="291" t="s">
        <v>2411</v>
      </c>
    </row>
    <row r="46" spans="1:7" s="258" customFormat="1" ht="13.5" customHeight="1">
      <c r="A46" s="951" t="s">
        <v>791</v>
      </c>
      <c r="B46" s="292" t="s">
        <v>2412</v>
      </c>
      <c r="C46" s="293">
        <f ca="1">ROUND((C33+C39)*F27,0)</f>
        <v>6092454</v>
      </c>
      <c r="D46" s="307"/>
      <c r="E46" s="280"/>
      <c r="F46" s="290"/>
      <c r="G46" s="291"/>
    </row>
    <row r="47" spans="1:7" s="258" customFormat="1" ht="13.5" customHeight="1">
      <c r="A47" s="951"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40313341</v>
      </c>
      <c r="D49" s="276"/>
      <c r="E49" s="276"/>
      <c r="F49" s="308"/>
      <c r="G49" s="278" t="s">
        <v>2417</v>
      </c>
    </row>
    <row r="50" spans="1:7" s="302" customFormat="1">
      <c r="A50" s="299" t="s">
        <v>2418</v>
      </c>
      <c r="B50" s="254" t="s">
        <v>2419</v>
      </c>
      <c r="C50" s="276"/>
      <c r="D50" s="276"/>
      <c r="E50" s="276"/>
      <c r="F50" s="308">
        <f>IF('数据-取费表'!B24=0,'数据-取费表'!N16,1)</f>
        <v>0.629</v>
      </c>
      <c r="G50" s="291"/>
    </row>
    <row r="51" spans="1:7" ht="16.5" customHeight="1">
      <c r="A51" s="299" t="s">
        <v>2421</v>
      </c>
      <c r="B51" s="254" t="s">
        <v>2456</v>
      </c>
      <c r="C51" s="276">
        <f ca="1">ROUND(C49*F50,0)</f>
        <v>25357091</v>
      </c>
      <c r="D51" s="276"/>
      <c r="E51" s="276"/>
      <c r="F51" s="308"/>
      <c r="G51" s="278" t="s">
        <v>2423</v>
      </c>
    </row>
    <row r="52" spans="1:7" s="252" customFormat="1" ht="16.5" thickBot="1">
      <c r="A52" s="309" t="s">
        <v>2424</v>
      </c>
      <c r="B52" s="310"/>
      <c r="C52" s="311">
        <f ca="1">C31+C51</f>
        <v>194888079</v>
      </c>
      <c r="D52" s="310"/>
      <c r="E52" s="310"/>
      <c r="F52" s="310"/>
      <c r="G52" s="312"/>
    </row>
    <row r="55" spans="1:7" ht="15">
      <c r="B55" s="314" t="s">
        <v>2425</v>
      </c>
      <c r="C55" s="315"/>
    </row>
    <row r="56" spans="1:7">
      <c r="B56" s="317" t="s">
        <v>1507</v>
      </c>
      <c r="C56" s="319">
        <f ca="1">1-C57</f>
        <v>0.87</v>
      </c>
    </row>
    <row r="57" spans="1:7">
      <c r="B57" s="317" t="s">
        <v>1508</v>
      </c>
      <c r="C57" s="318">
        <f ca="1">ROUND(C51/C52,3)</f>
        <v>0.13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19" zoomScale="110" zoomScaleNormal="110" workbookViewId="0">
      <selection activeCell="D8" sqref="D8"/>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3209</v>
      </c>
      <c r="C1" s="242"/>
      <c r="D1" s="242"/>
      <c r="E1" s="242"/>
      <c r="F1" s="242"/>
      <c r="G1" s="1379">
        <f>MATCH(B1,'数据-取费表'!A6:A16,0)+5</f>
        <v>7</v>
      </c>
    </row>
    <row r="2" spans="1:9" s="244" customFormat="1" ht="18" customHeight="1">
      <c r="A2" s="245" t="s">
        <v>2325</v>
      </c>
      <c r="B2" s="246">
        <f ca="1">IF(D2="——",C52,C52-E2)</f>
        <v>4699</v>
      </c>
      <c r="C2" s="243" t="s">
        <v>2326</v>
      </c>
      <c r="D2" s="2547" t="s">
        <v>70</v>
      </c>
      <c r="E2" s="1440" t="e">
        <f ca="1">SUMIF(INDIRECT("'"&amp;G2&amp;"'"&amp;"!A:A"),"承租人权益价值",INDIRECT("'"&amp;G2&amp;"'"&amp;"!c:c"))</f>
        <v>#DIV/0!</v>
      </c>
      <c r="F2" s="2548" t="s">
        <v>2326</v>
      </c>
      <c r="G2" s="2549" t="s">
        <v>3166</v>
      </c>
    </row>
    <row r="3" spans="1:9" s="244" customFormat="1" ht="18" customHeight="1" thickBot="1">
      <c r="A3" s="247" t="s">
        <v>2327</v>
      </c>
      <c r="B3" s="248">
        <f ca="1">ROUND(B2*10000/(IF(B1="",'数据-汇总表'!E3,INDIRECT("'数据-取费表'!k"&amp;$G$1))),0)</f>
        <v>13849</v>
      </c>
      <c r="C3" s="243" t="s">
        <v>2328</v>
      </c>
      <c r="D3" s="243"/>
      <c r="E3" s="243"/>
      <c r="F3" s="243"/>
      <c r="G3" s="243"/>
    </row>
    <row r="4" spans="1:9" s="252" customFormat="1" ht="15.75">
      <c r="A4" s="249" t="s">
        <v>2329</v>
      </c>
      <c r="B4" s="250"/>
      <c r="C4" s="250"/>
      <c r="D4" s="250"/>
      <c r="E4" s="250"/>
      <c r="F4" s="250"/>
      <c r="G4" s="251"/>
    </row>
    <row r="5" spans="1:9" s="258" customFormat="1" ht="13.5" customHeight="1">
      <c r="A5" s="299" t="s">
        <v>782</v>
      </c>
      <c r="B5" s="254" t="s">
        <v>2331</v>
      </c>
      <c r="C5" s="255">
        <f ca="1">C6+C7+C8</f>
        <v>2593</v>
      </c>
      <c r="D5" s="255" t="s">
        <v>2332</v>
      </c>
      <c r="E5" s="256" t="s">
        <v>2333</v>
      </c>
      <c r="F5" s="256" t="s">
        <v>2334</v>
      </c>
      <c r="G5" s="257"/>
    </row>
    <row r="6" spans="1:9" s="258" customFormat="1" ht="13.5" customHeight="1">
      <c r="A6" s="949" t="s">
        <v>791</v>
      </c>
      <c r="B6" s="259" t="s">
        <v>2336</v>
      </c>
      <c r="C6" s="260">
        <f ca="1">ROUND(基准地价修正!C29*0.75*'数据-汇总表'!F20/10000,0)</f>
        <v>2516</v>
      </c>
      <c r="D6" s="261"/>
      <c r="E6" s="262"/>
      <c r="F6" s="262"/>
      <c r="G6" s="263"/>
    </row>
    <row r="7" spans="1:9" s="258" customFormat="1" ht="13.5" customHeight="1">
      <c r="A7" s="949" t="s">
        <v>792</v>
      </c>
      <c r="B7" s="259" t="s">
        <v>2338</v>
      </c>
      <c r="C7" s="264">
        <f ca="1">ROUND(C6*F7,0)</f>
        <v>77</v>
      </c>
      <c r="D7" s="264"/>
      <c r="E7" s="262"/>
      <c r="F7" s="265">
        <f>IF(项目基本情况!B8="出让",0,'数据-取费表'!B48+'数据-取费表'!B49)</f>
        <v>3.0499999999999999E-2</v>
      </c>
      <c r="G7" s="263"/>
    </row>
    <row r="8" spans="1:9" s="267" customFormat="1">
      <c r="A8" s="949" t="s">
        <v>793</v>
      </c>
      <c r="B8" s="259" t="s">
        <v>2340</v>
      </c>
      <c r="C8" s="264">
        <f>IF(G8="已包含在土地购买价格中","0",IF(B1="",'数据-取费表'!B29,IF(G9="全部缴纳",C9+C10,H9)))</f>
        <v>0</v>
      </c>
      <c r="D8" s="266"/>
      <c r="E8" s="264"/>
      <c r="F8" s="265"/>
      <c r="G8" s="2550" t="s">
        <v>3220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3221</v>
      </c>
      <c r="H9" s="1390"/>
      <c r="I9" s="2552" t="s">
        <v>2342</v>
      </c>
    </row>
    <row r="10" spans="1:9" s="258" customFormat="1" ht="13.5" customHeight="1">
      <c r="A10" s="950" t="s">
        <v>801</v>
      </c>
      <c r="B10" s="268" t="s">
        <v>2343</v>
      </c>
      <c r="C10" s="269">
        <f ca="1">ROUND(D10*E10/10000,0)</f>
        <v>54</v>
      </c>
      <c r="D10" s="1032">
        <f ca="1">IF(B1="",'数据-汇总表'!E6,IF(INDIRECT("'数据-取费表'!c"&amp;$G$1)="住宅",INDIRECT("'数据-取费表'!s"&amp;$G$1),INDIRECT("'数据-取费表'!k"&amp;$G$1)+INDIRECT("'数据-取费表'!s"&amp;$G$1)))</f>
        <v>3393.06</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2340</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3393.06</v>
      </c>
      <c r="E19" s="255">
        <f>'数据-取费表'!B31</f>
        <v>200</v>
      </c>
      <c r="F19" s="275"/>
      <c r="G19" s="2550" t="s">
        <v>3222</v>
      </c>
    </row>
    <row r="20" spans="1:7" s="258" customFormat="1" ht="13.5" customHeight="1">
      <c r="A20" s="299" t="s">
        <v>2356</v>
      </c>
      <c r="B20" s="254" t="s">
        <v>2357</v>
      </c>
      <c r="C20" s="276">
        <f ca="1">ROUND((C5+C19)*F20,0)</f>
        <v>52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114</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1" t="s">
        <v>791</v>
      </c>
      <c r="B23" s="259" t="s">
        <v>2366</v>
      </c>
      <c r="C23" s="1355">
        <f ca="1">ROUND(IF('数据-取费表'!B22&lt;=1,C5*F22*'数据-取费表'!B23,C5*(POWER((1+F22),'数据-取费表'!B23)-1)),0)</f>
        <v>113</v>
      </c>
      <c r="D23" s="282"/>
      <c r="E23" s="282"/>
      <c r="F23" s="283"/>
      <c r="G23" s="284" t="s">
        <v>2367</v>
      </c>
    </row>
    <row r="24" spans="1:7" s="258" customFormat="1" ht="13.5" customHeight="1">
      <c r="A24" s="951" t="s">
        <v>792</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793</v>
      </c>
      <c r="B25" s="259" t="s">
        <v>2372</v>
      </c>
      <c r="C25" s="1355">
        <f ca="1">ROUND(IF('数据-取费表'!B22&lt;=1,C20*F22*'数据-取费表'!B23/2,C20*(POWER((1+F22),'数据-取费表'!B23/2)-1)),0)</f>
        <v>1</v>
      </c>
      <c r="D25" s="282"/>
      <c r="E25" s="285"/>
      <c r="F25" s="283"/>
      <c r="G25" s="286" t="s">
        <v>2373</v>
      </c>
    </row>
    <row r="26" spans="1:7" s="258" customFormat="1">
      <c r="A26" s="951"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529</v>
      </c>
      <c r="D27" s="279">
        <f ca="1">C29</f>
        <v>4.0000000000000001E-3</v>
      </c>
      <c r="E27" s="280" t="s">
        <v>2361</v>
      </c>
      <c r="F27" s="290">
        <f ca="1">IF(B1="",'数据-取费表'!Q16,INDIRECT("'数据-取费表'!q"&amp;$G$1))</f>
        <v>0.2</v>
      </c>
      <c r="G27" s="291" t="s">
        <v>2378</v>
      </c>
    </row>
    <row r="28" spans="1:7" s="258" customFormat="1" ht="13.5" customHeight="1">
      <c r="A28" s="951" t="s">
        <v>791</v>
      </c>
      <c r="B28" s="292" t="s">
        <v>2379</v>
      </c>
      <c r="C28" s="293">
        <f ca="1">ROUND((C5+C19+C20)*F27*'数据-取费表'!B21/'数据-取费表'!B20,0)</f>
        <v>529</v>
      </c>
      <c r="D28" s="279"/>
      <c r="E28" s="280"/>
      <c r="F28" s="290"/>
      <c r="G28" s="291"/>
    </row>
    <row r="29" spans="1:7" s="258" customFormat="1" ht="13.5" customHeight="1">
      <c r="A29" s="951"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5.2400000000000002E-2</v>
      </c>
      <c r="D30" s="280" t="s">
        <v>2361</v>
      </c>
      <c r="E30" s="285"/>
      <c r="F30" s="281">
        <f>'数据-取费表'!B41</f>
        <v>5.5000000000000007E-2</v>
      </c>
      <c r="G30" s="278" t="s">
        <v>2383</v>
      </c>
    </row>
    <row r="31" spans="1:7" ht="16.5" customHeight="1">
      <c r="A31" s="253">
        <v>1</v>
      </c>
      <c r="B31" s="254" t="s">
        <v>2384</v>
      </c>
      <c r="C31" s="255">
        <f ca="1">ROUND((C5+C19+C20+C22+C27)/(1-C21-D22-D27-C30),0)</f>
        <v>3562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1203</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1086</v>
      </c>
      <c r="D34" s="261"/>
      <c r="E34" s="264"/>
      <c r="F34" s="301">
        <f ca="1">IF('数据-取费表'!B24=0,1,IF(B1="",'数据-取费表'!N16,INDIRECT("'数据-取费表'!n"&amp;$G$1)))</f>
        <v>1</v>
      </c>
      <c r="G34" s="263" t="s">
        <v>2389</v>
      </c>
    </row>
    <row r="35" spans="1:7" ht="13.5" customHeight="1">
      <c r="A35" s="951" t="s">
        <v>796</v>
      </c>
      <c r="B35" s="259" t="s">
        <v>2390</v>
      </c>
      <c r="C35" s="264">
        <f ca="1">ROUND(C34*F35,0)</f>
        <v>33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68</v>
      </c>
      <c r="D37" s="261">
        <f ca="1">D19</f>
        <v>3393.06</v>
      </c>
      <c r="E37" s="293">
        <f>'数据-取费表'!B35</f>
        <v>200</v>
      </c>
      <c r="F37" s="303"/>
      <c r="G37" s="305" t="s">
        <v>2395</v>
      </c>
    </row>
    <row r="38" spans="1:7" ht="13.5" customHeight="1">
      <c r="A38" s="951" t="s">
        <v>799</v>
      </c>
      <c r="B38" s="259" t="s">
        <v>2396</v>
      </c>
      <c r="C38" s="264">
        <f ca="1">ROUND(C34*F38,0)</f>
        <v>16</v>
      </c>
      <c r="D38" s="264"/>
      <c r="E38" s="264"/>
      <c r="F38" s="303">
        <f>'数据-取费表'!B36</f>
        <v>1.4999999999999999E-2</v>
      </c>
      <c r="G38" s="263" t="s">
        <v>2391</v>
      </c>
    </row>
    <row r="39" spans="1:7" s="258" customFormat="1" ht="13.5" customHeight="1">
      <c r="A39" s="299" t="s">
        <v>2354</v>
      </c>
      <c r="B39" s="254" t="s">
        <v>2357</v>
      </c>
      <c r="C39" s="276">
        <f ca="1">ROUND(C33*F20,0)</f>
        <v>24</v>
      </c>
      <c r="D39" s="276"/>
      <c r="E39" s="276"/>
      <c r="F39" s="277"/>
      <c r="G39" s="278" t="s">
        <v>2399</v>
      </c>
    </row>
    <row r="40" spans="1:7" s="258" customFormat="1" ht="13.5" customHeight="1">
      <c r="A40" s="299" t="s">
        <v>2356</v>
      </c>
      <c r="B40" s="254" t="s">
        <v>2360</v>
      </c>
      <c r="C40" s="1728">
        <f>F21</f>
        <v>0.02</v>
      </c>
      <c r="D40" s="280" t="s">
        <v>2402</v>
      </c>
      <c r="E40" s="276"/>
      <c r="F40" s="277"/>
      <c r="G40" s="278" t="s">
        <v>2403</v>
      </c>
    </row>
    <row r="41" spans="1:7" s="258" customFormat="1" ht="13.5" customHeight="1">
      <c r="A41" s="299" t="s">
        <v>2359</v>
      </c>
      <c r="B41" s="254" t="s">
        <v>2364</v>
      </c>
      <c r="C41" s="276">
        <f ca="1">ROUND(SUM(C42:C43),0)</f>
        <v>27</v>
      </c>
      <c r="D41" s="279">
        <f ca="1">C44</f>
        <v>4.0000000000000002E-4</v>
      </c>
      <c r="E41" s="280" t="s">
        <v>2402</v>
      </c>
      <c r="F41" s="281"/>
      <c r="G41" s="278" t="str">
        <f>IF('数据-取费表'!B22&lt;=1,"单利计息","复利计息")</f>
        <v>单利计息</v>
      </c>
    </row>
    <row r="42" spans="1:7" ht="13.5" customHeight="1">
      <c r="A42" s="951" t="s">
        <v>791</v>
      </c>
      <c r="B42" s="259" t="s">
        <v>2366</v>
      </c>
      <c r="C42" s="282">
        <f ca="1">ROUND(IF('数据-取费表'!B22&lt;=1,C33*F22*'数据-取费表'!B21/2,C33*(POWER((1+F22),'数据-取费表'!B21/2)-1)),0)</f>
        <v>26</v>
      </c>
      <c r="D42" s="282"/>
      <c r="E42" s="282"/>
      <c r="F42" s="283"/>
      <c r="G42" s="3340" t="s">
        <v>2407</v>
      </c>
    </row>
    <row r="43" spans="1:7" ht="13.5" customHeight="1">
      <c r="A43" s="951" t="s">
        <v>792</v>
      </c>
      <c r="B43" s="259" t="s">
        <v>2369</v>
      </c>
      <c r="C43" s="282">
        <f ca="1">ROUND(IF('数据-取费表'!B22&lt;=1,C39*F22*'数据-取费表'!B21/2,C39*(POWER((1+F22),'数据-取费表'!B21/2)-1)),0)</f>
        <v>1</v>
      </c>
      <c r="D43" s="282"/>
      <c r="E43" s="282"/>
      <c r="F43" s="283"/>
      <c r="G43" s="3341"/>
    </row>
    <row r="44" spans="1:7" ht="13.5" customHeight="1">
      <c r="A44" s="951" t="s">
        <v>793</v>
      </c>
      <c r="B44" s="259" t="s">
        <v>2372</v>
      </c>
      <c r="C44" s="282">
        <f ca="1">ROUND(IF('数据-取费表'!B22&lt;=1,C40*F22*'数据-取费表'!B21/2,C40*(POWER((1+F22),'数据-取费表'!B21/2)-1)),4)</f>
        <v>4.0000000000000002E-4</v>
      </c>
      <c r="D44" s="282"/>
      <c r="E44" s="282"/>
      <c r="F44" s="283"/>
      <c r="G44" s="3342"/>
    </row>
    <row r="45" spans="1:7" s="258" customFormat="1" ht="13.5" customHeight="1">
      <c r="A45" s="299" t="s">
        <v>2363</v>
      </c>
      <c r="B45" s="288" t="s">
        <v>2376</v>
      </c>
      <c r="C45" s="289">
        <f ca="1">C46</f>
        <v>245</v>
      </c>
      <c r="D45" s="279">
        <f ca="1">C47</f>
        <v>4.0000000000000001E-3</v>
      </c>
      <c r="E45" s="280" t="s">
        <v>2402</v>
      </c>
      <c r="F45" s="290"/>
      <c r="G45" s="291" t="s">
        <v>2411</v>
      </c>
    </row>
    <row r="46" spans="1:7" s="258" customFormat="1" ht="13.5" customHeight="1">
      <c r="A46" s="951" t="s">
        <v>791</v>
      </c>
      <c r="B46" s="292" t="s">
        <v>2412</v>
      </c>
      <c r="C46" s="293">
        <f ca="1">ROUND((C33+C39)*F27,0)</f>
        <v>245</v>
      </c>
      <c r="D46" s="307"/>
      <c r="E46" s="280"/>
      <c r="F46" s="290"/>
      <c r="G46" s="291"/>
    </row>
    <row r="47" spans="1:7" s="258" customFormat="1" ht="13.5" customHeight="1">
      <c r="A47" s="951" t="s">
        <v>792</v>
      </c>
      <c r="B47" s="292" t="s">
        <v>2413</v>
      </c>
      <c r="C47" s="282">
        <f ca="1">ROUND(C40*F27,4)</f>
        <v>4.0000000000000001E-3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1624</v>
      </c>
      <c r="D49" s="276"/>
      <c r="E49" s="276"/>
      <c r="F49" s="308"/>
      <c r="G49" s="278" t="s">
        <v>2417</v>
      </c>
    </row>
    <row r="50" spans="1:7" s="302" customFormat="1" ht="24">
      <c r="A50" s="299" t="s">
        <v>2418</v>
      </c>
      <c r="B50" s="254" t="s">
        <v>2419</v>
      </c>
      <c r="C50" s="276"/>
      <c r="D50" s="276"/>
      <c r="E50" s="276"/>
      <c r="F50" s="308">
        <f>'数据-取费表'!N7</f>
        <v>0.7</v>
      </c>
      <c r="G50" s="291" t="s">
        <v>2420</v>
      </c>
    </row>
    <row r="51" spans="1:7" ht="16.5" customHeight="1">
      <c r="A51" s="299" t="s">
        <v>2421</v>
      </c>
      <c r="B51" s="254" t="s">
        <v>2422</v>
      </c>
      <c r="C51" s="276">
        <f ca="1">ROUND(C49*F50,0)</f>
        <v>1137</v>
      </c>
      <c r="D51" s="276"/>
      <c r="E51" s="276"/>
      <c r="F51" s="308"/>
      <c r="G51" s="278" t="s">
        <v>2423</v>
      </c>
    </row>
    <row r="52" spans="1:7" s="252" customFormat="1" ht="16.5" thickBot="1">
      <c r="A52" s="309" t="s">
        <v>2424</v>
      </c>
      <c r="B52" s="310"/>
      <c r="C52" s="311">
        <f ca="1">C31+C51</f>
        <v>4699</v>
      </c>
      <c r="D52" s="310"/>
      <c r="E52" s="310"/>
      <c r="F52" s="310"/>
      <c r="G52" s="312"/>
    </row>
    <row r="55" spans="1:7" ht="15">
      <c r="B55" s="314" t="s">
        <v>2425</v>
      </c>
      <c r="C55" s="315"/>
    </row>
    <row r="56" spans="1:7">
      <c r="B56" s="317" t="s">
        <v>1507</v>
      </c>
      <c r="C56" s="319">
        <f ca="1">1-C57</f>
        <v>0.75800000000000001</v>
      </c>
    </row>
    <row r="57" spans="1:7">
      <c r="B57" s="317" t="s">
        <v>1508</v>
      </c>
      <c r="C57" s="318">
        <f ca="1">ROUND(C51/C52,3)</f>
        <v>0.24199999999999999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中纪委培训中心：</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中纪委培训中心所有。根据《北京市城市规划管理局征用土地征询意见表》[（93）规地征字249号]，估价对象（分摊）出让国有建设用地使用权面积为21120.11平方米，建筑面积为11819.97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中纪委培训中心开发建设的办公项目，该项目尚在开发建设中。根据《北京市城市规划管理局征用土地征询意见表》[（93）规地征字249号]，估价对象（分摊）出让国有建设用地使用权面积为21120.11平方米，规划建筑面积为11819.97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2020年4月2日（评估专业人员实地查勘之日）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本次估价的“房地产价值”是指在正常市场情况下，在价值时点2020年4月2日，估价对象规划用途为办公，土地取得方式为，假定未设立法定优先受偿款下的房地产市场价值。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办公，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本次评估采用的主估价方法为基准地价系数修正法和基准地价系数修正法。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2" customWidth="1"/>
    <col min="15" max="15" width="5.125" style="1842" customWidth="1"/>
    <col min="16" max="16" width="25.875" style="1842" customWidth="1"/>
    <col min="17" max="17" width="13.875" style="1842" customWidth="1"/>
    <col min="18" max="18" width="20.5" style="1842" customWidth="1"/>
    <col min="19" max="19" width="13.1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368" t="s">
        <v>1397</v>
      </c>
      <c r="C6" s="1296">
        <f ca="1">ROUND(F6*F8*F7*(1-F9)/10000,0)</f>
        <v>0</v>
      </c>
      <c r="D6" s="164" t="s">
        <v>3028</v>
      </c>
      <c r="E6" s="347" t="s">
        <v>1399</v>
      </c>
      <c r="F6" s="348">
        <f ca="1">INDIRECT("'数据-取费表'!u"&amp;$G$1)</f>
        <v>0</v>
      </c>
      <c r="G6" s="1851"/>
      <c r="H6" s="1291" t="s">
        <v>1031</v>
      </c>
      <c r="I6" s="3368" t="s">
        <v>1397</v>
      </c>
      <c r="J6" s="346">
        <f ca="1">ROUND(M6*M8*M7*(1-M9)/10000,0)</f>
        <v>0</v>
      </c>
      <c r="K6" s="164" t="s">
        <v>3027</v>
      </c>
      <c r="L6" s="347" t="s">
        <v>1399</v>
      </c>
      <c r="M6" s="348">
        <f ca="1">INDIRECT("'数据-取费表'!z"&amp;$G$1)</f>
        <v>0</v>
      </c>
    </row>
    <row r="7" spans="1:37" ht="18" customHeight="1">
      <c r="A7" s="1295"/>
      <c r="B7" s="3369"/>
      <c r="C7" s="1297"/>
      <c r="D7" s="352"/>
      <c r="E7" s="1298" t="s">
        <v>1400</v>
      </c>
      <c r="F7" s="348">
        <f ca="1">IF(INDIRECT("'数据-取费表'!ah"&amp;$G$1)="",INDIRECT("'数据-取费表'!k"&amp;$G$1),INDIRECT("'数据-取费表'!ah"&amp;$G$1))</f>
        <v>0</v>
      </c>
      <c r="G7" s="1851"/>
      <c r="H7" s="349"/>
      <c r="I7" s="3369"/>
      <c r="J7" s="351"/>
      <c r="K7" s="352"/>
      <c r="L7" s="347" t="s">
        <v>1400</v>
      </c>
      <c r="M7" s="348">
        <f ca="1">F7</f>
        <v>0</v>
      </c>
    </row>
    <row r="8" spans="1:37" ht="18" customHeight="1">
      <c r="A8" s="349"/>
      <c r="B8" s="3369"/>
      <c r="C8" s="351"/>
      <c r="D8" s="352"/>
      <c r="E8" s="347" t="s">
        <v>1401</v>
      </c>
      <c r="F8" s="348">
        <f ca="1">INDIRECT("'数据-取费表'!ai"&amp;$G$1)</f>
        <v>0</v>
      </c>
      <c r="G8" s="1851"/>
      <c r="H8" s="349"/>
      <c r="I8" s="3369"/>
      <c r="J8" s="351"/>
      <c r="K8" s="352"/>
      <c r="L8" s="347" t="s">
        <v>1401</v>
      </c>
      <c r="M8" s="348">
        <f ca="1">INDIRECT("'数据-取费表'!ai"&amp;$G$1)</f>
        <v>0</v>
      </c>
    </row>
    <row r="9" spans="1:37" ht="18" customHeight="1">
      <c r="A9" s="349"/>
      <c r="B9" s="3370"/>
      <c r="C9" s="351"/>
      <c r="D9" s="352"/>
      <c r="E9" s="347" t="s">
        <v>1402</v>
      </c>
      <c r="F9" s="357">
        <f ca="1">INDIRECT("'数据-取费表'!w"&amp;$G$1)</f>
        <v>0</v>
      </c>
      <c r="G9" s="1851"/>
      <c r="H9" s="349"/>
      <c r="I9" s="337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0">
        <f ca="1">IF(M47="住宅",IF(D1="——",MAX(J51,L48),MAX(J51,L48-'数据-取费表'!B24)),IF(D1="——",MIN(J51,L48),MIN(J51,L48-'数据-取费表'!B24)))</f>
        <v>0</v>
      </c>
      <c r="K53" s="3366" t="s">
        <v>1542</v>
      </c>
      <c r="L53" s="3367"/>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4" customWidth="1"/>
    <col min="12" max="12" width="16.375" style="302" customWidth="1"/>
    <col min="13" max="13" width="13" style="302" customWidth="1"/>
    <col min="14" max="14" width="13.875" style="1842" customWidth="1"/>
    <col min="15" max="15" width="5.125" style="1842" customWidth="1"/>
    <col min="16" max="16" width="25.875" style="1842" customWidth="1"/>
    <col min="17" max="17" width="13.875" style="1842" customWidth="1"/>
    <col min="18" max="18" width="20.5" style="1842" customWidth="1"/>
    <col min="19" max="19" width="13.1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368" t="s">
        <v>1397</v>
      </c>
      <c r="C6" s="1296">
        <f ca="1">ROUND(F6*F8*F7*(1-F9),0)</f>
        <v>0</v>
      </c>
      <c r="D6" s="164" t="s">
        <v>3025</v>
      </c>
      <c r="E6" s="347" t="s">
        <v>1399</v>
      </c>
      <c r="F6" s="348">
        <f ca="1">INDIRECT("'数据-取费表'!u"&amp;$G$1)</f>
        <v>0</v>
      </c>
      <c r="G6" s="1851"/>
      <c r="H6" s="1291" t="s">
        <v>1031</v>
      </c>
      <c r="I6" s="3368" t="s">
        <v>1397</v>
      </c>
      <c r="J6" s="346">
        <f ca="1">ROUND(M6*M8*M7*(1-M9),0)</f>
        <v>0</v>
      </c>
      <c r="K6" s="1834" t="s">
        <v>3026</v>
      </c>
      <c r="L6" s="347" t="s">
        <v>1399</v>
      </c>
      <c r="M6" s="348">
        <f ca="1">INDIRECT("'数据-取费表'!z"&amp;$G$1)</f>
        <v>0</v>
      </c>
    </row>
    <row r="7" spans="1:37" ht="18" customHeight="1">
      <c r="A7" s="1295"/>
      <c r="B7" s="3369"/>
      <c r="C7" s="1297"/>
      <c r="D7" s="352"/>
      <c r="E7" s="1298" t="s">
        <v>1400</v>
      </c>
      <c r="F7" s="348">
        <f ca="1">IF(INDIRECT("'数据-取费表'!ah"&amp;$G$1)="",INDIRECT("'数据-取费表'!k"&amp;$G$1),INDIRECT("'数据-取费表'!ah"&amp;$G$1))</f>
        <v>0</v>
      </c>
      <c r="G7" s="1851"/>
      <c r="H7" s="349"/>
      <c r="I7" s="3369"/>
      <c r="J7" s="351"/>
      <c r="K7" s="352"/>
      <c r="L7" s="347" t="s">
        <v>1400</v>
      </c>
      <c r="M7" s="348">
        <f ca="1">F7</f>
        <v>0</v>
      </c>
    </row>
    <row r="8" spans="1:37" ht="18" customHeight="1">
      <c r="A8" s="349"/>
      <c r="B8" s="3369"/>
      <c r="C8" s="351"/>
      <c r="D8" s="352"/>
      <c r="E8" s="347" t="s">
        <v>1401</v>
      </c>
      <c r="F8" s="348">
        <f ca="1">INDIRECT("'数据-取费表'!ai"&amp;$G$1)</f>
        <v>0</v>
      </c>
      <c r="G8" s="1851"/>
      <c r="H8" s="349"/>
      <c r="I8" s="3369"/>
      <c r="J8" s="351"/>
      <c r="K8" s="352"/>
      <c r="L8" s="347" t="s">
        <v>1401</v>
      </c>
      <c r="M8" s="348">
        <f ca="1">INDIRECT("'数据-取费表'!ai"&amp;$G$1)</f>
        <v>0</v>
      </c>
    </row>
    <row r="9" spans="1:37" ht="18" customHeight="1">
      <c r="A9" s="349"/>
      <c r="B9" s="3370"/>
      <c r="C9" s="351"/>
      <c r="D9" s="352"/>
      <c r="E9" s="347" t="s">
        <v>1402</v>
      </c>
      <c r="F9" s="357">
        <f ca="1">INDIRECT("'数据-取费表'!w"&amp;$G$1)</f>
        <v>0</v>
      </c>
      <c r="G9" s="1851"/>
      <c r="H9" s="349"/>
      <c r="I9" s="337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0">
        <f ca="1">IF(M47="住宅",IF(D1="——",MAX(J51,L48),MAX(J51,L48-'数据-取费表'!B24)),IF(D1="——",MIN(J51,L48),MIN(J51,L48-'数据-取费表'!B24)))</f>
        <v>0</v>
      </c>
      <c r="K53" s="3366" t="s">
        <v>1542</v>
      </c>
      <c r="L53" s="336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2325</v>
      </c>
      <c r="B2" s="2565" t="e">
        <f ca="1">SUMIF(B6:B13,"&lt;&gt;#ref!",B6:B13)</f>
        <v>#DIV/0!</v>
      </c>
      <c r="C2" s="2566" t="s">
        <v>2517</v>
      </c>
      <c r="D2" s="2567" t="s">
        <v>2518</v>
      </c>
      <c r="E2" s="2568">
        <f>SUM(E6:E13)</f>
        <v>11819.969999999998</v>
      </c>
    </row>
    <row r="3" spans="1:6" ht="15.75">
      <c r="A3" s="2564" t="s">
        <v>1389</v>
      </c>
      <c r="B3" s="2565" t="e">
        <f ca="1">ROUND(B2*10000/E2,0)</f>
        <v>#DIV/0!</v>
      </c>
      <c r="C3" s="2566" t="s">
        <v>2525</v>
      </c>
      <c r="D3" s="2569"/>
      <c r="E3" s="2570"/>
    </row>
    <row r="4" spans="1:6" ht="15.75">
      <c r="A4" s="2571"/>
      <c r="B4" s="2569"/>
      <c r="C4" s="2569"/>
      <c r="D4" s="2569"/>
      <c r="E4" s="2570"/>
    </row>
    <row r="5" spans="1:6" ht="15">
      <c r="A5" s="2572" t="s">
        <v>2519</v>
      </c>
      <c r="B5" s="3371" t="s">
        <v>2520</v>
      </c>
      <c r="C5" s="3371"/>
      <c r="D5" s="2573"/>
      <c r="E5" s="2574" t="s">
        <v>2521</v>
      </c>
      <c r="F5" s="2575" t="s">
        <v>2522</v>
      </c>
    </row>
    <row r="6" spans="1:6">
      <c r="A6" s="2576" t="str">
        <f>'数据-取费表'!AN6</f>
        <v>收益法</v>
      </c>
      <c r="B6" s="2575" t="e">
        <f ca="1">IF(F6="是",'数据-取费表'!AO6,0)</f>
        <v>#DIV/0!</v>
      </c>
      <c r="C6" s="2566" t="s">
        <v>2517</v>
      </c>
      <c r="D6" s="2569"/>
      <c r="E6" s="2577">
        <f>IF(OR(A6=0,F6="否"),0,'数据-取费表'!K6+'数据-取费表'!S6)</f>
        <v>8426.909999999998</v>
      </c>
      <c r="F6" s="2578" t="s">
        <v>2523</v>
      </c>
    </row>
    <row r="7" spans="1:6">
      <c r="A7" s="2576" t="str">
        <f>'数据-取费表'!AN7</f>
        <v>收益法</v>
      </c>
      <c r="B7" s="2575" t="e">
        <f ca="1">IF(F7="是",'数据-取费表'!AO7,0)</f>
        <v>#DIV/0!</v>
      </c>
      <c r="C7" s="2566" t="s">
        <v>2517</v>
      </c>
      <c r="D7" s="2569"/>
      <c r="E7" s="2577">
        <f>IF(OR(A7=0,F7="否"),0,'数据-取费表'!K7+'数据-取费表'!S7)</f>
        <v>3393.06</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388" t="s">
        <v>1072</v>
      </c>
      <c r="B1" s="3389"/>
      <c r="C1" s="3390"/>
      <c r="D1" s="3391">
        <f>SUM(I10,I15,I20,I21,I23)</f>
        <v>0</v>
      </c>
      <c r="E1" s="3391"/>
      <c r="F1" s="3391"/>
      <c r="G1" s="3391"/>
      <c r="H1" s="3391"/>
      <c r="I1" s="3392"/>
    </row>
    <row r="2" spans="1:9">
      <c r="A2" s="3378" t="s">
        <v>1073</v>
      </c>
      <c r="B2" s="3379" t="s">
        <v>1074</v>
      </c>
      <c r="C2" s="3379"/>
      <c r="D2" s="1301" t="s">
        <v>1075</v>
      </c>
      <c r="E2" s="1301" t="s">
        <v>1076</v>
      </c>
      <c r="F2" s="1301" t="s">
        <v>1077</v>
      </c>
      <c r="G2" s="1301" t="s">
        <v>1078</v>
      </c>
      <c r="H2" s="1301" t="s">
        <v>1079</v>
      </c>
      <c r="I2" s="1302" t="s">
        <v>1080</v>
      </c>
    </row>
    <row r="3" spans="1:9">
      <c r="A3" s="3378"/>
      <c r="B3" s="3379" t="s">
        <v>1081</v>
      </c>
      <c r="C3" s="3379"/>
      <c r="D3" s="1303"/>
      <c r="E3" s="1301"/>
      <c r="F3" s="1304"/>
      <c r="G3" s="1304"/>
      <c r="H3" s="1305"/>
      <c r="I3" s="1306">
        <f>ROUND(D3*E3*F3*G3*H3/10000,0)</f>
        <v>0</v>
      </c>
    </row>
    <row r="4" spans="1:9">
      <c r="A4" s="3378"/>
      <c r="B4" s="3379" t="s">
        <v>1082</v>
      </c>
      <c r="C4" s="3379"/>
      <c r="D4" s="1303"/>
      <c r="E4" s="1301"/>
      <c r="F4" s="1304"/>
      <c r="G4" s="1304"/>
      <c r="H4" s="1305"/>
      <c r="I4" s="1306">
        <f t="shared" ref="I4:I9" si="0">ROUND(D4*E4*F4*G4*H4/10000,0)</f>
        <v>0</v>
      </c>
    </row>
    <row r="5" spans="1:9">
      <c r="A5" s="3378"/>
      <c r="B5" s="3379" t="s">
        <v>1083</v>
      </c>
      <c r="C5" s="3379"/>
      <c r="D5" s="1303"/>
      <c r="E5" s="1301"/>
      <c r="F5" s="1304"/>
      <c r="G5" s="1304"/>
      <c r="H5" s="1305"/>
      <c r="I5" s="1306">
        <f t="shared" si="0"/>
        <v>0</v>
      </c>
    </row>
    <row r="6" spans="1:9">
      <c r="A6" s="3378"/>
      <c r="B6" s="3379" t="s">
        <v>1084</v>
      </c>
      <c r="C6" s="3379"/>
      <c r="D6" s="1303"/>
      <c r="E6" s="1301"/>
      <c r="F6" s="1304"/>
      <c r="G6" s="1304"/>
      <c r="H6" s="1305"/>
      <c r="I6" s="1306">
        <f t="shared" si="0"/>
        <v>0</v>
      </c>
    </row>
    <row r="7" spans="1:9">
      <c r="A7" s="3378"/>
      <c r="B7" s="3379" t="s">
        <v>1085</v>
      </c>
      <c r="C7" s="3379"/>
      <c r="D7" s="1303"/>
      <c r="E7" s="1301"/>
      <c r="F7" s="1304"/>
      <c r="G7" s="1304"/>
      <c r="H7" s="1305"/>
      <c r="I7" s="1306">
        <f t="shared" si="0"/>
        <v>0</v>
      </c>
    </row>
    <row r="8" spans="1:9">
      <c r="A8" s="3378"/>
      <c r="B8" s="3379" t="s">
        <v>1086</v>
      </c>
      <c r="C8" s="3379"/>
      <c r="D8" s="1303"/>
      <c r="E8" s="1301"/>
      <c r="F8" s="1304"/>
      <c r="G8" s="1304"/>
      <c r="H8" s="1305"/>
      <c r="I8" s="1306">
        <f t="shared" si="0"/>
        <v>0</v>
      </c>
    </row>
    <row r="9" spans="1:9">
      <c r="A9" s="3378"/>
      <c r="B9" s="3379" t="s">
        <v>1087</v>
      </c>
      <c r="C9" s="3379"/>
      <c r="D9" s="1303"/>
      <c r="E9" s="1301"/>
      <c r="F9" s="1304"/>
      <c r="G9" s="1304"/>
      <c r="H9" s="1305"/>
      <c r="I9" s="1306">
        <f t="shared" si="0"/>
        <v>0</v>
      </c>
    </row>
    <row r="10" spans="1:9">
      <c r="A10" s="3378"/>
      <c r="B10" s="3380" t="s">
        <v>1088</v>
      </c>
      <c r="C10" s="3380"/>
      <c r="D10" s="1307"/>
      <c r="E10" s="1307" t="e">
        <f>ROUND(D1*10000/D10/H9,0)</f>
        <v>#DIV/0!</v>
      </c>
      <c r="F10" s="1308"/>
      <c r="G10" s="1308"/>
      <c r="H10" s="1309"/>
      <c r="I10" s="1310">
        <f>SUM(I3:I9)</f>
        <v>0</v>
      </c>
    </row>
    <row r="11" spans="1:9" ht="14.25">
      <c r="A11" s="3378" t="s">
        <v>1089</v>
      </c>
      <c r="B11" s="3379" t="s">
        <v>1090</v>
      </c>
      <c r="C11" s="3379"/>
      <c r="D11" s="1303" t="s">
        <v>1091</v>
      </c>
      <c r="E11" s="1303" t="s">
        <v>1092</v>
      </c>
      <c r="F11" s="1304" t="s">
        <v>1093</v>
      </c>
      <c r="G11" s="1304" t="s">
        <v>1079</v>
      </c>
      <c r="H11" s="1311" t="s">
        <v>1094</v>
      </c>
      <c r="I11" s="1302" t="s">
        <v>1080</v>
      </c>
    </row>
    <row r="12" spans="1:9">
      <c r="A12" s="3378"/>
      <c r="B12" s="3379" t="s">
        <v>1095</v>
      </c>
      <c r="C12" s="3379"/>
      <c r="D12" s="1303"/>
      <c r="E12" s="1303"/>
      <c r="F12" s="1304"/>
      <c r="G12" s="1305"/>
      <c r="H12" s="1312"/>
      <c r="I12" s="1302">
        <f>ROUND(D12*E12*F12*G12/10000,0)</f>
        <v>0</v>
      </c>
    </row>
    <row r="13" spans="1:9">
      <c r="A13" s="3378"/>
      <c r="B13" s="3379" t="s">
        <v>1096</v>
      </c>
      <c r="C13" s="3379"/>
      <c r="D13" s="1303"/>
      <c r="E13" s="1303"/>
      <c r="F13" s="1304"/>
      <c r="G13" s="1305"/>
      <c r="H13" s="1312"/>
      <c r="I13" s="1302">
        <f>ROUND(D13*E13*F13*G13/10000,0)</f>
        <v>0</v>
      </c>
    </row>
    <row r="14" spans="1:9">
      <c r="A14" s="3378"/>
      <c r="B14" s="3379" t="s">
        <v>1097</v>
      </c>
      <c r="C14" s="3379"/>
      <c r="D14" s="1303"/>
      <c r="E14" s="1303"/>
      <c r="F14" s="1304"/>
      <c r="G14" s="1305"/>
      <c r="H14" s="1312"/>
      <c r="I14" s="1302">
        <f>ROUND(D14*E14*F14*G14/10000,0)</f>
        <v>0</v>
      </c>
    </row>
    <row r="15" spans="1:9">
      <c r="A15" s="3378"/>
      <c r="B15" s="3380" t="s">
        <v>1088</v>
      </c>
      <c r="C15" s="3380"/>
      <c r="D15" s="1307"/>
      <c r="E15" s="1307">
        <f>SUM(E12:E14)</f>
        <v>0</v>
      </c>
      <c r="F15" s="1308"/>
      <c r="G15" s="1305"/>
      <c r="H15" s="1312"/>
      <c r="I15" s="1313">
        <f>SUM(I12:I14)</f>
        <v>0</v>
      </c>
    </row>
    <row r="16" spans="1:9" ht="24">
      <c r="A16" s="3378" t="s">
        <v>1098</v>
      </c>
      <c r="B16" s="3379" t="s">
        <v>1099</v>
      </c>
      <c r="C16" s="3379"/>
      <c r="D16" s="1303" t="s">
        <v>1075</v>
      </c>
      <c r="E16" s="1314" t="s">
        <v>1100</v>
      </c>
      <c r="F16" s="1304" t="s">
        <v>1101</v>
      </c>
      <c r="G16" s="1305" t="s">
        <v>1079</v>
      </c>
      <c r="H16" s="1311" t="s">
        <v>1094</v>
      </c>
      <c r="I16" s="1302" t="s">
        <v>1080</v>
      </c>
    </row>
    <row r="17" spans="1:9" ht="14.25">
      <c r="A17" s="3378"/>
      <c r="B17" s="3379" t="s">
        <v>1102</v>
      </c>
      <c r="C17" s="3379"/>
      <c r="D17" s="1303"/>
      <c r="E17" s="1303"/>
      <c r="F17" s="1304"/>
      <c r="G17" s="1305"/>
      <c r="H17" s="1315"/>
      <c r="I17" s="1316">
        <f>ROUND(D17*E17*F17*G17/10000,0)</f>
        <v>0</v>
      </c>
    </row>
    <row r="18" spans="1:9" ht="14.25">
      <c r="A18" s="3378"/>
      <c r="B18" s="3379" t="s">
        <v>1103</v>
      </c>
      <c r="C18" s="3379"/>
      <c r="D18" s="1303"/>
      <c r="E18" s="1303"/>
      <c r="F18" s="1304"/>
      <c r="G18" s="1305"/>
      <c r="H18" s="1315"/>
      <c r="I18" s="1316">
        <f>ROUND(D18*E18*F18*G18/10000,0)</f>
        <v>0</v>
      </c>
    </row>
    <row r="19" spans="1:9" ht="14.25">
      <c r="A19" s="3378"/>
      <c r="B19" s="3379" t="s">
        <v>1104</v>
      </c>
      <c r="C19" s="3379"/>
      <c r="D19" s="1303"/>
      <c r="E19" s="1303"/>
      <c r="F19" s="1304"/>
      <c r="G19" s="1305"/>
      <c r="H19" s="1315"/>
      <c r="I19" s="1316">
        <f>ROUND(D19*E19*F19*G19/10000,0)</f>
        <v>0</v>
      </c>
    </row>
    <row r="20" spans="1:9">
      <c r="A20" s="3378"/>
      <c r="B20" s="3380" t="s">
        <v>1088</v>
      </c>
      <c r="C20" s="3380"/>
      <c r="D20" s="1307">
        <f>SUM(D17:D19)</f>
        <v>0</v>
      </c>
      <c r="E20" s="1307"/>
      <c r="F20" s="1308"/>
      <c r="G20" s="1305"/>
      <c r="H20" s="1312"/>
      <c r="I20" s="1313">
        <f>SUM(I17:I19)</f>
        <v>0</v>
      </c>
    </row>
    <row r="21" spans="1:9">
      <c r="A21" s="3378" t="s">
        <v>1105</v>
      </c>
      <c r="B21" s="3381"/>
      <c r="C21" s="3381"/>
      <c r="D21" s="3381"/>
      <c r="E21" s="3381"/>
      <c r="F21" s="3381"/>
      <c r="G21" s="3381"/>
      <c r="H21" s="1765">
        <v>0.1</v>
      </c>
      <c r="I21" s="1310">
        <f>ROUND(I10*H21,0)</f>
        <v>0</v>
      </c>
    </row>
    <row r="22" spans="1:9" ht="14.25">
      <c r="A22" s="3382" t="s">
        <v>1106</v>
      </c>
      <c r="B22" s="3383"/>
      <c r="C22" s="3384"/>
      <c r="D22" s="1317" t="s">
        <v>1107</v>
      </c>
      <c r="E22" s="1317" t="s">
        <v>1108</v>
      </c>
      <c r="F22" s="1318" t="s">
        <v>1109</v>
      </c>
      <c r="G22" s="1318" t="s">
        <v>1110</v>
      </c>
      <c r="H22" s="1311" t="s">
        <v>1111</v>
      </c>
      <c r="I22" s="1302" t="s">
        <v>1112</v>
      </c>
    </row>
    <row r="23" spans="1:9" ht="14.25" thickBot="1">
      <c r="A23" s="3385"/>
      <c r="B23" s="3386"/>
      <c r="C23" s="3387"/>
      <c r="D23" s="1319"/>
      <c r="E23" s="1319"/>
      <c r="F23" s="1319"/>
      <c r="G23" s="1320"/>
      <c r="H23" s="1321"/>
      <c r="I23" s="1322">
        <f>ROUND(E23*D23*F23*(1-G23)/10000,0)</f>
        <v>0</v>
      </c>
    </row>
    <row r="26" spans="1:9">
      <c r="A26" s="1323" t="s">
        <v>1113</v>
      </c>
      <c r="B26" s="1323"/>
      <c r="C26" s="1323"/>
      <c r="D26" s="1323"/>
      <c r="E26" s="3375">
        <f>C27-C30-C31-C32</f>
        <v>0</v>
      </c>
      <c r="F26" s="3375"/>
      <c r="G26" s="3375"/>
      <c r="H26" s="1737" t="s">
        <v>1335</v>
      </c>
    </row>
    <row r="27" spans="1:9">
      <c r="A27" s="1324">
        <v>1</v>
      </c>
      <c r="B27" s="1325" t="s">
        <v>1114</v>
      </c>
      <c r="C27" s="1325">
        <f>C28+C29</f>
        <v>0</v>
      </c>
      <c r="D27" s="1325"/>
      <c r="E27" s="3376"/>
      <c r="F27" s="3376"/>
      <c r="G27" s="3376"/>
    </row>
    <row r="28" spans="1:9">
      <c r="A28" s="1326" t="s">
        <v>1115</v>
      </c>
      <c r="B28" s="1325" t="s">
        <v>1116</v>
      </c>
      <c r="C28" s="1325"/>
      <c r="D28" s="1325"/>
      <c r="E28" s="3376"/>
      <c r="F28" s="3376"/>
      <c r="G28" s="337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77"/>
      <c r="F32" s="3377"/>
      <c r="G32" s="3377"/>
    </row>
    <row r="33" spans="1:7" hidden="1">
      <c r="A33" s="3372" t="s">
        <v>1125</v>
      </c>
      <c r="B33" s="3373"/>
      <c r="C33" s="3373"/>
      <c r="D33" s="3374"/>
      <c r="E33" s="3375"/>
      <c r="F33" s="3375"/>
      <c r="G33" s="3375"/>
    </row>
    <row r="34" spans="1:7" hidden="1">
      <c r="A34" s="1328">
        <v>1</v>
      </c>
      <c r="B34" s="1325" t="s">
        <v>1126</v>
      </c>
      <c r="C34" s="1325"/>
      <c r="D34" s="1325"/>
      <c r="E34" s="3376"/>
      <c r="F34" s="3376"/>
      <c r="G34" s="3376"/>
    </row>
    <row r="35" spans="1:7" hidden="1">
      <c r="A35" s="1328">
        <v>2</v>
      </c>
      <c r="B35" s="1325" t="s">
        <v>1127</v>
      </c>
      <c r="C35" s="1325"/>
      <c r="D35" s="1325"/>
      <c r="E35" s="3376"/>
      <c r="F35" s="3376"/>
      <c r="G35" s="3376"/>
    </row>
    <row r="36" spans="1:7" hidden="1">
      <c r="A36" s="1328">
        <v>3</v>
      </c>
      <c r="B36" s="1325" t="s">
        <v>1128</v>
      </c>
      <c r="C36" s="1325"/>
      <c r="D36" s="1325"/>
      <c r="E36" s="3376"/>
      <c r="F36" s="3376"/>
      <c r="G36" s="3376"/>
    </row>
    <row r="37" spans="1:7" hidden="1">
      <c r="A37" s="1328">
        <v>4</v>
      </c>
      <c r="B37" s="1325" t="s">
        <v>1129</v>
      </c>
      <c r="C37" s="1325"/>
      <c r="D37" s="1325"/>
      <c r="E37" s="3376"/>
      <c r="F37" s="3376"/>
      <c r="G37" s="3376"/>
    </row>
    <row r="38" spans="1:7" hidden="1">
      <c r="A38" s="3372" t="s">
        <v>1130</v>
      </c>
      <c r="B38" s="3373"/>
      <c r="C38" s="3373"/>
      <c r="D38" s="3374"/>
      <c r="E38" s="3375"/>
      <c r="F38" s="3375"/>
      <c r="G38" s="33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11819.969999999998</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257" t="s">
        <v>2534</v>
      </c>
      <c r="D4" s="3258"/>
      <c r="E4" s="3259" t="s">
        <v>2535</v>
      </c>
      <c r="F4" s="3260"/>
      <c r="G4" s="3257" t="s">
        <v>2536</v>
      </c>
      <c r="H4" s="3258"/>
      <c r="I4" s="3257" t="s">
        <v>2537</v>
      </c>
      <c r="J4" s="3258"/>
      <c r="K4" s="2596" t="s">
        <v>2538</v>
      </c>
      <c r="L4" s="1130"/>
      <c r="M4" s="1131"/>
      <c r="N4" s="1131"/>
      <c r="O4" s="1131"/>
      <c r="P4" s="3397" t="s">
        <v>2539</v>
      </c>
      <c r="Q4" s="3398"/>
      <c r="R4" s="3401" t="s">
        <v>2535</v>
      </c>
      <c r="S4" s="3402"/>
      <c r="T4" s="3401" t="s">
        <v>2536</v>
      </c>
      <c r="U4" s="3402"/>
      <c r="V4" s="3274" t="s">
        <v>2537</v>
      </c>
      <c r="W4" s="3274"/>
      <c r="X4" s="1813"/>
      <c r="Y4" s="3401" t="s">
        <v>2539</v>
      </c>
      <c r="Z4" s="3402"/>
      <c r="AA4" s="3396" t="s">
        <v>2535</v>
      </c>
      <c r="AB4" s="3396" t="s">
        <v>2536</v>
      </c>
      <c r="AC4" s="3396" t="s">
        <v>2537</v>
      </c>
    </row>
    <row r="5" spans="1:29" ht="15">
      <c r="A5" s="404"/>
      <c r="B5" s="405"/>
      <c r="C5" s="3403" t="s">
        <v>2540</v>
      </c>
      <c r="D5" s="3278"/>
      <c r="E5" s="3404" t="s">
        <v>2541</v>
      </c>
      <c r="F5" s="3289"/>
      <c r="G5" s="3403" t="s">
        <v>2542</v>
      </c>
      <c r="H5" s="3278"/>
      <c r="I5" s="3403" t="s">
        <v>2543</v>
      </c>
      <c r="J5" s="3278"/>
      <c r="K5" s="2597"/>
      <c r="L5" s="1130"/>
      <c r="M5" s="1131"/>
      <c r="N5" s="1131"/>
      <c r="O5" s="1131"/>
      <c r="P5" s="3399"/>
      <c r="Q5" s="3264"/>
      <c r="R5" s="3269"/>
      <c r="S5" s="3270"/>
      <c r="T5" s="3269"/>
      <c r="U5" s="3270"/>
      <c r="V5" s="3274"/>
      <c r="W5" s="3274"/>
      <c r="X5" s="1813"/>
      <c r="Y5" s="3269"/>
      <c r="Z5" s="3270"/>
      <c r="AA5" s="3286"/>
      <c r="AB5" s="3286"/>
      <c r="AC5" s="3286"/>
    </row>
    <row r="6" spans="1:29" ht="15.75" thickBot="1">
      <c r="A6" s="406"/>
      <c r="B6" s="407"/>
      <c r="C6" s="3275" t="s">
        <v>2544</v>
      </c>
      <c r="D6" s="3276"/>
      <c r="E6" s="3283" t="s">
        <v>2544</v>
      </c>
      <c r="F6" s="3284"/>
      <c r="G6" s="3275" t="s">
        <v>2544</v>
      </c>
      <c r="H6" s="3276"/>
      <c r="I6" s="3275" t="s">
        <v>2544</v>
      </c>
      <c r="J6" s="3276"/>
      <c r="K6" s="2597" t="s">
        <v>2545</v>
      </c>
      <c r="L6" s="1130"/>
      <c r="M6" s="1131"/>
      <c r="N6" s="1131"/>
      <c r="O6" s="1131"/>
      <c r="P6" s="3400"/>
      <c r="Q6" s="3266"/>
      <c r="R6" s="3269"/>
      <c r="S6" s="3270"/>
      <c r="T6" s="3271"/>
      <c r="U6" s="3272"/>
      <c r="V6" s="3274"/>
      <c r="W6" s="3274"/>
      <c r="X6" s="1813"/>
      <c r="Y6" s="3271"/>
      <c r="Z6" s="3272"/>
      <c r="AA6" s="3287"/>
      <c r="AB6" s="3287"/>
      <c r="AC6" s="3287"/>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81" t="s">
        <v>2547</v>
      </c>
      <c r="Q7" s="3282"/>
      <c r="R7" s="770" t="s">
        <v>23</v>
      </c>
      <c r="S7" s="771">
        <f t="shared" ref="S7:S15" si="0">F7</f>
        <v>0</v>
      </c>
      <c r="T7" s="770" t="s">
        <v>23</v>
      </c>
      <c r="U7" s="771">
        <f t="shared" ref="U7:U15" si="1">H7</f>
        <v>0</v>
      </c>
      <c r="V7" s="770" t="s">
        <v>23</v>
      </c>
      <c r="W7" s="771">
        <f t="shared" ref="W7:W15" si="2">J7</f>
        <v>0</v>
      </c>
      <c r="X7" s="772"/>
      <c r="Y7" s="3281" t="s">
        <v>2547</v>
      </c>
      <c r="Z7" s="3280"/>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81" t="s">
        <v>2550</v>
      </c>
      <c r="Q8" s="3280"/>
      <c r="R8" s="770" t="s">
        <v>23</v>
      </c>
      <c r="S8" s="771">
        <f t="shared" si="0"/>
        <v>0</v>
      </c>
      <c r="T8" s="770" t="s">
        <v>23</v>
      </c>
      <c r="U8" s="771">
        <f t="shared" si="1"/>
        <v>0</v>
      </c>
      <c r="V8" s="770" t="s">
        <v>23</v>
      </c>
      <c r="W8" s="771">
        <f t="shared" si="2"/>
        <v>0</v>
      </c>
      <c r="X8" s="772"/>
      <c r="Y8" s="3281" t="s">
        <v>2550</v>
      </c>
      <c r="Z8" s="328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39" t="s">
        <v>2553</v>
      </c>
      <c r="Q9" s="1795" t="str">
        <f t="shared" ref="Q9:Q15" si="6">B9</f>
        <v>用途</v>
      </c>
      <c r="R9" s="770" t="s">
        <v>17</v>
      </c>
      <c r="S9" s="771">
        <f t="shared" si="0"/>
        <v>100</v>
      </c>
      <c r="T9" s="770" t="s">
        <v>17</v>
      </c>
      <c r="U9" s="771">
        <f t="shared" si="1"/>
        <v>100</v>
      </c>
      <c r="V9" s="770" t="s">
        <v>17</v>
      </c>
      <c r="W9" s="771">
        <f t="shared" si="2"/>
        <v>100</v>
      </c>
      <c r="X9" s="772"/>
      <c r="Y9" s="30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9"/>
      <c r="Q11" s="1795" t="str">
        <f t="shared" si="6"/>
        <v>容积率</v>
      </c>
      <c r="R11" s="770" t="s">
        <v>21</v>
      </c>
      <c r="S11" s="771" t="e">
        <f t="shared" si="0"/>
        <v>#N/A</v>
      </c>
      <c r="T11" s="770" t="s">
        <v>21</v>
      </c>
      <c r="U11" s="771" t="e">
        <f t="shared" si="1"/>
        <v>#N/A</v>
      </c>
      <c r="V11" s="770" t="s">
        <v>21</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9"/>
      <c r="Q12" s="1795">
        <f t="shared" si="6"/>
        <v>111</v>
      </c>
      <c r="R12" s="770" t="s">
        <v>21</v>
      </c>
      <c r="S12" s="771">
        <f t="shared" si="0"/>
        <v>100</v>
      </c>
      <c r="T12" s="770" t="s">
        <v>21</v>
      </c>
      <c r="U12" s="771">
        <f t="shared" si="1"/>
        <v>100</v>
      </c>
      <c r="V12" s="770" t="s">
        <v>21</v>
      </c>
      <c r="W12" s="771">
        <f t="shared" si="2"/>
        <v>100</v>
      </c>
      <c r="X12" s="772"/>
      <c r="Y12" s="30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9"/>
      <c r="Q13" s="1795">
        <f t="shared" si="6"/>
        <v>111</v>
      </c>
      <c r="R13" s="770" t="s">
        <v>21</v>
      </c>
      <c r="S13" s="771">
        <f t="shared" si="0"/>
        <v>100</v>
      </c>
      <c r="T13" s="770" t="s">
        <v>21</v>
      </c>
      <c r="U13" s="771">
        <f t="shared" si="1"/>
        <v>100</v>
      </c>
      <c r="V13" s="770" t="s">
        <v>21</v>
      </c>
      <c r="W13" s="771">
        <f t="shared" si="2"/>
        <v>100</v>
      </c>
      <c r="X13" s="772"/>
      <c r="Y13" s="309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9"/>
      <c r="Q14" s="1795">
        <f t="shared" si="6"/>
        <v>111</v>
      </c>
      <c r="R14" s="770" t="s">
        <v>21</v>
      </c>
      <c r="S14" s="771">
        <f t="shared" si="0"/>
        <v>100</v>
      </c>
      <c r="T14" s="770" t="s">
        <v>21</v>
      </c>
      <c r="U14" s="771">
        <f t="shared" si="1"/>
        <v>100</v>
      </c>
      <c r="V14" s="770" t="s">
        <v>21</v>
      </c>
      <c r="W14" s="771">
        <f t="shared" si="2"/>
        <v>100</v>
      </c>
      <c r="X14" s="772"/>
      <c r="Y14" s="3097"/>
      <c r="Z14" s="55">
        <f t="shared" si="7"/>
        <v>111</v>
      </c>
      <c r="AA14" s="773">
        <f t="shared" si="3"/>
        <v>1</v>
      </c>
      <c r="AB14" s="773">
        <f t="shared" si="4"/>
        <v>1</v>
      </c>
      <c r="AC14" s="773">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2558</v>
      </c>
      <c r="Q15" s="1810" t="str">
        <f t="shared" si="6"/>
        <v>居住社区成熟度</v>
      </c>
      <c r="R15" s="774" t="s">
        <v>21</v>
      </c>
      <c r="S15" s="775">
        <f t="shared" si="0"/>
        <v>100</v>
      </c>
      <c r="T15" s="774" t="s">
        <v>21</v>
      </c>
      <c r="U15" s="775">
        <f t="shared" si="1"/>
        <v>100</v>
      </c>
      <c r="V15" s="774" t="s">
        <v>21</v>
      </c>
      <c r="W15" s="775">
        <f t="shared" si="2"/>
        <v>100</v>
      </c>
      <c r="X15" s="1813"/>
      <c r="Y15" s="3247"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46"/>
      <c r="Q16" s="1810"/>
      <c r="R16" s="774"/>
      <c r="S16" s="775"/>
      <c r="T16" s="774"/>
      <c r="U16" s="775"/>
      <c r="V16" s="774"/>
      <c r="W16" s="775"/>
      <c r="X16" s="1813"/>
      <c r="Y16" s="3248"/>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10" t="str">
        <f>B17</f>
        <v>交通便捷度</v>
      </c>
      <c r="R17" s="774" t="s">
        <v>21</v>
      </c>
      <c r="S17" s="775">
        <f>F17</f>
        <v>100</v>
      </c>
      <c r="T17" s="774" t="s">
        <v>21</v>
      </c>
      <c r="U17" s="775">
        <f>H17</f>
        <v>100</v>
      </c>
      <c r="V17" s="774" t="s">
        <v>21</v>
      </c>
      <c r="W17" s="775">
        <f>J17</f>
        <v>100</v>
      </c>
      <c r="X17" s="1813"/>
      <c r="Y17" s="3248"/>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46"/>
      <c r="Q18" s="1810"/>
      <c r="R18" s="774"/>
      <c r="S18" s="775"/>
      <c r="T18" s="774"/>
      <c r="U18" s="775"/>
      <c r="V18" s="774"/>
      <c r="W18" s="775"/>
      <c r="X18" s="1813"/>
      <c r="Y18" s="3248"/>
      <c r="Z18" s="1814"/>
      <c r="AA18" s="1811">
        <v>1</v>
      </c>
      <c r="AB18" s="1811">
        <v>1</v>
      </c>
      <c r="AC18" s="1811">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10" t="str">
        <f>B19</f>
        <v>公共配套设施</v>
      </c>
      <c r="R19" s="774" t="s">
        <v>21</v>
      </c>
      <c r="S19" s="775">
        <f>F19</f>
        <v>100</v>
      </c>
      <c r="T19" s="774" t="s">
        <v>21</v>
      </c>
      <c r="U19" s="775">
        <f>H19</f>
        <v>100</v>
      </c>
      <c r="V19" s="774" t="s">
        <v>21</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46"/>
      <c r="Q20" s="1810"/>
      <c r="R20" s="774"/>
      <c r="S20" s="775"/>
      <c r="T20" s="774"/>
      <c r="U20" s="775"/>
      <c r="V20" s="774"/>
      <c r="W20" s="775"/>
      <c r="X20" s="1813"/>
      <c r="Y20" s="3248"/>
      <c r="Z20" s="1814"/>
      <c r="AA20" s="1811">
        <v>1</v>
      </c>
      <c r="AB20" s="1811">
        <v>1</v>
      </c>
      <c r="AC20" s="1811">
        <v>1</v>
      </c>
    </row>
    <row r="21" spans="1:29" ht="28.5">
      <c r="A21" s="428"/>
      <c r="B21" s="1384"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46"/>
      <c r="Q22" s="1810"/>
      <c r="R22" s="774"/>
      <c r="S22" s="775"/>
      <c r="T22" s="774"/>
      <c r="U22" s="775"/>
      <c r="V22" s="774"/>
      <c r="W22" s="775"/>
      <c r="X22" s="1813"/>
      <c r="Y22" s="3248"/>
      <c r="Z22" s="1814"/>
      <c r="AA22" s="1811">
        <v>1</v>
      </c>
      <c r="AB22" s="1811">
        <v>1</v>
      </c>
      <c r="AC22" s="1811">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10" t="str">
        <f>B23</f>
        <v>自然及人文环境</v>
      </c>
      <c r="R23" s="774" t="s">
        <v>21</v>
      </c>
      <c r="S23" s="775">
        <f>F23</f>
        <v>100</v>
      </c>
      <c r="T23" s="774" t="s">
        <v>21</v>
      </c>
      <c r="U23" s="775">
        <f>H23</f>
        <v>100</v>
      </c>
      <c r="V23" s="774" t="s">
        <v>21</v>
      </c>
      <c r="W23" s="775">
        <f>J23</f>
        <v>100</v>
      </c>
      <c r="X23" s="1813"/>
      <c r="Y23" s="3248"/>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46"/>
      <c r="Q24" s="1810"/>
      <c r="R24" s="774"/>
      <c r="S24" s="775"/>
      <c r="T24" s="774"/>
      <c r="U24" s="775"/>
      <c r="V24" s="774"/>
      <c r="W24" s="775"/>
      <c r="X24" s="1813"/>
      <c r="Y24" s="3248"/>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8"/>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6"/>
      <c r="Q26" s="1810" t="str">
        <f t="shared" si="11"/>
        <v>朝向</v>
      </c>
      <c r="R26" s="774" t="s">
        <v>21</v>
      </c>
      <c r="S26" s="775">
        <f t="shared" si="12"/>
        <v>100</v>
      </c>
      <c r="T26" s="774" t="s">
        <v>21</v>
      </c>
      <c r="U26" s="775">
        <f t="shared" si="13"/>
        <v>100</v>
      </c>
      <c r="V26" s="774" t="s">
        <v>21</v>
      </c>
      <c r="W26" s="775">
        <f t="shared" si="14"/>
        <v>100</v>
      </c>
      <c r="X26" s="1813"/>
      <c r="Y26" s="324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6"/>
      <c r="Q27" s="1795">
        <f t="shared" si="11"/>
        <v>111</v>
      </c>
      <c r="R27" s="770" t="s">
        <v>21</v>
      </c>
      <c r="S27" s="771">
        <f t="shared" si="12"/>
        <v>100</v>
      </c>
      <c r="T27" s="770" t="s">
        <v>21</v>
      </c>
      <c r="U27" s="771">
        <f t="shared" si="13"/>
        <v>100</v>
      </c>
      <c r="V27" s="770" t="s">
        <v>21</v>
      </c>
      <c r="W27" s="771">
        <f t="shared" si="14"/>
        <v>100</v>
      </c>
      <c r="X27" s="772"/>
      <c r="Y27" s="324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6"/>
      <c r="Q28" s="1810">
        <f t="shared" si="11"/>
        <v>111</v>
      </c>
      <c r="R28" s="774" t="s">
        <v>21</v>
      </c>
      <c r="S28" s="775">
        <f t="shared" si="12"/>
        <v>100</v>
      </c>
      <c r="T28" s="774" t="s">
        <v>21</v>
      </c>
      <c r="U28" s="775">
        <f t="shared" si="13"/>
        <v>100</v>
      </c>
      <c r="V28" s="774" t="s">
        <v>21</v>
      </c>
      <c r="W28" s="775">
        <f t="shared" si="14"/>
        <v>100</v>
      </c>
      <c r="X28" s="1813"/>
      <c r="Y28" s="324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6"/>
      <c r="Q29" s="1810">
        <f t="shared" si="11"/>
        <v>111</v>
      </c>
      <c r="R29" s="774" t="s">
        <v>21</v>
      </c>
      <c r="S29" s="775">
        <f t="shared" si="12"/>
        <v>100</v>
      </c>
      <c r="T29" s="774" t="s">
        <v>21</v>
      </c>
      <c r="U29" s="775">
        <f t="shared" si="13"/>
        <v>100</v>
      </c>
      <c r="V29" s="774" t="s">
        <v>21</v>
      </c>
      <c r="W29" s="775">
        <f t="shared" si="14"/>
        <v>100</v>
      </c>
      <c r="X29" s="1813"/>
      <c r="Y29" s="324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6"/>
      <c r="Q30" s="1810">
        <f t="shared" si="11"/>
        <v>111</v>
      </c>
      <c r="R30" s="774" t="s">
        <v>21</v>
      </c>
      <c r="S30" s="775">
        <f t="shared" si="12"/>
        <v>100</v>
      </c>
      <c r="T30" s="774" t="s">
        <v>21</v>
      </c>
      <c r="U30" s="775">
        <f t="shared" si="13"/>
        <v>100</v>
      </c>
      <c r="V30" s="774" t="s">
        <v>21</v>
      </c>
      <c r="W30" s="775">
        <f t="shared" si="14"/>
        <v>100</v>
      </c>
      <c r="X30" s="1813"/>
      <c r="Y30" s="324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6"/>
      <c r="Q31" s="1810">
        <f t="shared" si="11"/>
        <v>111</v>
      </c>
      <c r="R31" s="774" t="s">
        <v>21</v>
      </c>
      <c r="S31" s="775">
        <f t="shared" si="12"/>
        <v>100</v>
      </c>
      <c r="T31" s="774" t="s">
        <v>21</v>
      </c>
      <c r="U31" s="775">
        <f t="shared" si="13"/>
        <v>100</v>
      </c>
      <c r="V31" s="774" t="s">
        <v>21</v>
      </c>
      <c r="W31" s="775">
        <f t="shared" si="14"/>
        <v>100</v>
      </c>
      <c r="X31" s="1813"/>
      <c r="Y31" s="3248"/>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9" t="s">
        <v>2563</v>
      </c>
      <c r="Q32" s="1810" t="str">
        <f t="shared" si="11"/>
        <v>建筑类型</v>
      </c>
      <c r="R32" s="774" t="s">
        <v>21</v>
      </c>
      <c r="S32" s="775">
        <f t="shared" si="12"/>
        <v>100</v>
      </c>
      <c r="T32" s="774" t="s">
        <v>21</v>
      </c>
      <c r="U32" s="775">
        <f t="shared" si="13"/>
        <v>100</v>
      </c>
      <c r="V32" s="774" t="s">
        <v>21</v>
      </c>
      <c r="W32" s="775">
        <f t="shared" si="14"/>
        <v>100</v>
      </c>
      <c r="X32" s="1813"/>
      <c r="Y32" s="3252"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0"/>
      <c r="Q33" s="776" t="str">
        <f t="shared" si="11"/>
        <v>项目建筑规模</v>
      </c>
      <c r="R33" s="777" t="s">
        <v>21</v>
      </c>
      <c r="S33" s="778" t="e">
        <f t="shared" si="12"/>
        <v>#N/A</v>
      </c>
      <c r="T33" s="777" t="s">
        <v>21</v>
      </c>
      <c r="U33" s="778" t="e">
        <f t="shared" si="13"/>
        <v>#N/A</v>
      </c>
      <c r="V33" s="777" t="s">
        <v>21</v>
      </c>
      <c r="W33" s="778" t="e">
        <f t="shared" si="14"/>
        <v>#N/A</v>
      </c>
      <c r="X33" s="779"/>
      <c r="Y33" s="3252"/>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0"/>
      <c r="Q34" s="1810" t="str">
        <f t="shared" si="11"/>
        <v>建筑结构</v>
      </c>
      <c r="R34" s="774" t="s">
        <v>21</v>
      </c>
      <c r="S34" s="775">
        <f t="shared" si="12"/>
        <v>100</v>
      </c>
      <c r="T34" s="774" t="s">
        <v>21</v>
      </c>
      <c r="U34" s="775">
        <f t="shared" si="13"/>
        <v>100</v>
      </c>
      <c r="V34" s="774" t="s">
        <v>21</v>
      </c>
      <c r="W34" s="775">
        <f t="shared" si="14"/>
        <v>100</v>
      </c>
      <c r="X34" s="1813"/>
      <c r="Y34" s="3252"/>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0"/>
      <c r="Q35" s="1810" t="str">
        <f t="shared" si="11"/>
        <v>建筑品质</v>
      </c>
      <c r="R35" s="774" t="s">
        <v>21</v>
      </c>
      <c r="S35" s="775">
        <f t="shared" si="12"/>
        <v>100</v>
      </c>
      <c r="T35" s="774" t="s">
        <v>21</v>
      </c>
      <c r="U35" s="775">
        <f t="shared" si="13"/>
        <v>100</v>
      </c>
      <c r="V35" s="774" t="s">
        <v>21</v>
      </c>
      <c r="W35" s="775">
        <f t="shared" si="14"/>
        <v>100</v>
      </c>
      <c r="X35" s="1813"/>
      <c r="Y35" s="3252"/>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0"/>
      <c r="Q36" s="1810" t="str">
        <f t="shared" si="11"/>
        <v>公共部分装修</v>
      </c>
      <c r="R36" s="774" t="s">
        <v>21</v>
      </c>
      <c r="S36" s="775">
        <f t="shared" si="12"/>
        <v>100</v>
      </c>
      <c r="T36" s="774" t="s">
        <v>21</v>
      </c>
      <c r="U36" s="775">
        <f t="shared" si="13"/>
        <v>100</v>
      </c>
      <c r="V36" s="774" t="s">
        <v>21</v>
      </c>
      <c r="W36" s="775">
        <f t="shared" si="14"/>
        <v>100</v>
      </c>
      <c r="X36" s="1813"/>
      <c r="Y36" s="3252"/>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0"/>
      <c r="Q37" s="1795" t="str">
        <f t="shared" si="11"/>
        <v>成新度</v>
      </c>
      <c r="R37" s="770" t="s">
        <v>21</v>
      </c>
      <c r="S37" s="771" t="e">
        <f t="shared" si="12"/>
        <v>#N/A</v>
      </c>
      <c r="T37" s="770" t="s">
        <v>21</v>
      </c>
      <c r="U37" s="771" t="e">
        <f t="shared" si="13"/>
        <v>#N/A</v>
      </c>
      <c r="V37" s="770" t="s">
        <v>21</v>
      </c>
      <c r="W37" s="771" t="e">
        <f t="shared" si="14"/>
        <v>#N/A</v>
      </c>
      <c r="X37" s="772"/>
      <c r="Y37" s="3252"/>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0" t="s">
        <v>2563</v>
      </c>
      <c r="Q38" s="1810" t="str">
        <f t="shared" si="11"/>
        <v>物业管理</v>
      </c>
      <c r="R38" s="774" t="s">
        <v>21</v>
      </c>
      <c r="S38" s="775">
        <f t="shared" si="12"/>
        <v>100</v>
      </c>
      <c r="T38" s="774" t="s">
        <v>21</v>
      </c>
      <c r="U38" s="775">
        <f t="shared" si="13"/>
        <v>100</v>
      </c>
      <c r="V38" s="774" t="s">
        <v>21</v>
      </c>
      <c r="W38" s="775">
        <f t="shared" si="14"/>
        <v>100</v>
      </c>
      <c r="X38" s="1813"/>
      <c r="Y38" s="3252"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0"/>
      <c r="Q39" s="1810" t="str">
        <f t="shared" si="11"/>
        <v>市政基础设施</v>
      </c>
      <c r="R39" s="774" t="s">
        <v>21</v>
      </c>
      <c r="S39" s="775">
        <f t="shared" si="12"/>
        <v>100</v>
      </c>
      <c r="T39" s="774" t="s">
        <v>21</v>
      </c>
      <c r="U39" s="775">
        <f t="shared" si="13"/>
        <v>100</v>
      </c>
      <c r="V39" s="774" t="s">
        <v>21</v>
      </c>
      <c r="W39" s="775">
        <f t="shared" si="14"/>
        <v>100</v>
      </c>
      <c r="X39" s="1813"/>
      <c r="Y39" s="3252"/>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0"/>
      <c r="Q40" s="1810" t="str">
        <f t="shared" si="11"/>
        <v>房型</v>
      </c>
      <c r="R40" s="774" t="s">
        <v>21</v>
      </c>
      <c r="S40" s="775">
        <f t="shared" si="12"/>
        <v>100</v>
      </c>
      <c r="T40" s="774" t="s">
        <v>21</v>
      </c>
      <c r="U40" s="775">
        <f t="shared" si="13"/>
        <v>100</v>
      </c>
      <c r="V40" s="774" t="s">
        <v>21</v>
      </c>
      <c r="W40" s="775">
        <f t="shared" si="14"/>
        <v>100</v>
      </c>
      <c r="X40" s="1813"/>
      <c r="Y40" s="3252"/>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0"/>
      <c r="Q41" s="776" t="str">
        <f t="shared" si="11"/>
        <v>单套/主力户型建筑面积</v>
      </c>
      <c r="R41" s="777" t="s">
        <v>21</v>
      </c>
      <c r="S41" s="778">
        <f t="shared" si="12"/>
        <v>100</v>
      </c>
      <c r="T41" s="777" t="s">
        <v>21</v>
      </c>
      <c r="U41" s="778">
        <f t="shared" si="13"/>
        <v>100</v>
      </c>
      <c r="V41" s="777" t="s">
        <v>21</v>
      </c>
      <c r="W41" s="778">
        <f t="shared" si="14"/>
        <v>100</v>
      </c>
      <c r="X41" s="779"/>
      <c r="Y41" s="3252"/>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0"/>
      <c r="Q42" s="1810" t="str">
        <f t="shared" si="11"/>
        <v>内部装修</v>
      </c>
      <c r="R42" s="774" t="s">
        <v>21</v>
      </c>
      <c r="S42" s="775">
        <f t="shared" si="12"/>
        <v>100</v>
      </c>
      <c r="T42" s="774" t="s">
        <v>21</v>
      </c>
      <c r="U42" s="775">
        <f t="shared" si="13"/>
        <v>100</v>
      </c>
      <c r="V42" s="774" t="s">
        <v>21</v>
      </c>
      <c r="W42" s="775">
        <f t="shared" si="14"/>
        <v>100</v>
      </c>
      <c r="X42" s="1813"/>
      <c r="Y42" s="3252"/>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0"/>
      <c r="Q43" s="1810" t="str">
        <f t="shared" si="11"/>
        <v>内部装修维护情况</v>
      </c>
      <c r="R43" s="774" t="s">
        <v>21</v>
      </c>
      <c r="S43" s="775">
        <f t="shared" si="12"/>
        <v>100</v>
      </c>
      <c r="T43" s="774" t="s">
        <v>21</v>
      </c>
      <c r="U43" s="775">
        <f t="shared" si="13"/>
        <v>100</v>
      </c>
      <c r="V43" s="774" t="s">
        <v>21</v>
      </c>
      <c r="W43" s="775">
        <f t="shared" si="14"/>
        <v>100</v>
      </c>
      <c r="X43" s="1813"/>
      <c r="Y43" s="325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0"/>
      <c r="Q44" s="1795">
        <f t="shared" si="11"/>
        <v>111</v>
      </c>
      <c r="R44" s="770" t="s">
        <v>21</v>
      </c>
      <c r="S44" s="771">
        <f t="shared" si="12"/>
        <v>100</v>
      </c>
      <c r="T44" s="770" t="s">
        <v>21</v>
      </c>
      <c r="U44" s="771">
        <f t="shared" si="13"/>
        <v>100</v>
      </c>
      <c r="V44" s="770" t="s">
        <v>21</v>
      </c>
      <c r="W44" s="771">
        <f t="shared" si="14"/>
        <v>100</v>
      </c>
      <c r="X44" s="772"/>
      <c r="Y44" s="325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0"/>
      <c r="Q45" s="1810">
        <f t="shared" si="11"/>
        <v>111</v>
      </c>
      <c r="R45" s="774" t="s">
        <v>21</v>
      </c>
      <c r="S45" s="775">
        <f t="shared" si="12"/>
        <v>100</v>
      </c>
      <c r="T45" s="774" t="s">
        <v>21</v>
      </c>
      <c r="U45" s="775">
        <f t="shared" si="13"/>
        <v>100</v>
      </c>
      <c r="V45" s="774" t="s">
        <v>21</v>
      </c>
      <c r="W45" s="775">
        <f t="shared" si="14"/>
        <v>100</v>
      </c>
      <c r="X45" s="1813"/>
      <c r="Y45" s="3252"/>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1"/>
      <c r="Q46" s="1810">
        <f t="shared" si="11"/>
        <v>111</v>
      </c>
      <c r="R46" s="774" t="s">
        <v>20</v>
      </c>
      <c r="S46" s="775">
        <f t="shared" si="12"/>
        <v>100</v>
      </c>
      <c r="T46" s="774" t="s">
        <v>20</v>
      </c>
      <c r="U46" s="775">
        <f t="shared" si="13"/>
        <v>100</v>
      </c>
      <c r="V46" s="774" t="s">
        <v>20</v>
      </c>
      <c r="W46" s="775">
        <f t="shared" si="14"/>
        <v>100</v>
      </c>
      <c r="X46" s="1813"/>
      <c r="Y46" s="3253"/>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240" t="str">
        <f>A47</f>
        <v>成交单价（元/平方米）</v>
      </c>
      <c r="Q47" s="3240"/>
      <c r="R47" s="3241">
        <f>E47</f>
        <v>0</v>
      </c>
      <c r="S47" s="3241"/>
      <c r="T47" s="3241">
        <f>G47</f>
        <v>0</v>
      </c>
      <c r="U47" s="3241"/>
      <c r="V47" s="3241">
        <f>I47</f>
        <v>0</v>
      </c>
      <c r="W47" s="3241"/>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393" t="str">
        <f>A49</f>
        <v>估价对象XX用房的比较价值（楼面单价，元/平方米）</v>
      </c>
      <c r="Q49" s="3394"/>
      <c r="R49" s="3395" t="e">
        <f>IF(F1="售价",ROUND(AVERAGE(R48:V48),0),ROUND(AVERAGE(R48:V48),1))</f>
        <v>#DIV/0!</v>
      </c>
      <c r="S49" s="3395"/>
      <c r="T49" s="3395"/>
      <c r="U49" s="3395"/>
      <c r="V49" s="3395"/>
      <c r="W49" s="33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t="e">
        <f ca="1">IF(C2="——",ROUND(C49*D3/10000,0),ROUND(C49*D3/10000,0)-D2)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t="e">
        <f ca="1">IF(C2="——",C49,ROUND(B2*10000/D3,0))</f>
        <v>#DIV/0!</v>
      </c>
      <c r="C3" s="400" t="s">
        <v>2642</v>
      </c>
      <c r="D3" s="399">
        <f>IF(D1="",'数据-汇总表'!E3,SUMIF('数据-汇总表'!$C19:$C33,D1,'数据-汇总表'!$E19:$E33))</f>
        <v>11819.969999999998</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257" t="s">
        <v>2644</v>
      </c>
      <c r="D4" s="3258"/>
      <c r="E4" s="3259" t="s">
        <v>2645</v>
      </c>
      <c r="F4" s="3260"/>
      <c r="G4" s="3257" t="s">
        <v>2646</v>
      </c>
      <c r="H4" s="3258"/>
      <c r="I4" s="3257" t="s">
        <v>2647</v>
      </c>
      <c r="J4" s="3258"/>
      <c r="K4" s="610" t="s">
        <v>2648</v>
      </c>
      <c r="L4" s="1130"/>
      <c r="M4" s="1131"/>
      <c r="N4" s="1131"/>
      <c r="O4" s="1131"/>
      <c r="P4" s="3397" t="s">
        <v>2649</v>
      </c>
      <c r="Q4" s="3398"/>
      <c r="R4" s="3401" t="s">
        <v>2645</v>
      </c>
      <c r="S4" s="3402"/>
      <c r="T4" s="3401" t="s">
        <v>2646</v>
      </c>
      <c r="U4" s="3402"/>
      <c r="V4" s="3274" t="s">
        <v>2647</v>
      </c>
      <c r="W4" s="3274"/>
      <c r="X4" s="1813"/>
      <c r="Y4" s="3401" t="s">
        <v>2649</v>
      </c>
      <c r="Z4" s="3402"/>
      <c r="AA4" s="3396" t="s">
        <v>2645</v>
      </c>
      <c r="AB4" s="3274" t="s">
        <v>2646</v>
      </c>
      <c r="AC4" s="3396" t="s">
        <v>2647</v>
      </c>
    </row>
    <row r="5" spans="1:29" ht="15">
      <c r="A5" s="404"/>
      <c r="B5" s="405"/>
      <c r="C5" s="3403" t="s">
        <v>2540</v>
      </c>
      <c r="D5" s="3278"/>
      <c r="E5" s="3404" t="s">
        <v>2541</v>
      </c>
      <c r="F5" s="3289"/>
      <c r="G5" s="3403" t="s">
        <v>2542</v>
      </c>
      <c r="H5" s="3278"/>
      <c r="I5" s="3403" t="s">
        <v>2543</v>
      </c>
      <c r="J5" s="3278"/>
      <c r="K5" s="610"/>
      <c r="L5" s="1130"/>
      <c r="M5" s="1131"/>
      <c r="N5" s="1131"/>
      <c r="O5" s="1131"/>
      <c r="P5" s="3399"/>
      <c r="Q5" s="3264"/>
      <c r="R5" s="3269"/>
      <c r="S5" s="3270"/>
      <c r="T5" s="3269"/>
      <c r="U5" s="3270"/>
      <c r="V5" s="3274"/>
      <c r="W5" s="3274"/>
      <c r="X5" s="1813"/>
      <c r="Y5" s="3269"/>
      <c r="Z5" s="3270"/>
      <c r="AA5" s="3286"/>
      <c r="AB5" s="3274"/>
      <c r="AC5" s="3286"/>
    </row>
    <row r="6" spans="1:29" ht="15.75" thickBot="1">
      <c r="A6" s="406"/>
      <c r="B6" s="407"/>
      <c r="C6" s="3275" t="s">
        <v>2544</v>
      </c>
      <c r="D6" s="3276"/>
      <c r="E6" s="3283" t="s">
        <v>2544</v>
      </c>
      <c r="F6" s="3284"/>
      <c r="G6" s="3275" t="s">
        <v>2544</v>
      </c>
      <c r="H6" s="3276"/>
      <c r="I6" s="3275" t="s">
        <v>2544</v>
      </c>
      <c r="J6" s="3276"/>
      <c r="K6" s="610" t="s">
        <v>2545</v>
      </c>
      <c r="L6" s="1130"/>
      <c r="M6" s="1131"/>
      <c r="N6" s="1131"/>
      <c r="O6" s="1131"/>
      <c r="P6" s="3400"/>
      <c r="Q6" s="3266"/>
      <c r="R6" s="3269"/>
      <c r="S6" s="3270"/>
      <c r="T6" s="3271"/>
      <c r="U6" s="3272"/>
      <c r="V6" s="3274"/>
      <c r="W6" s="3274"/>
      <c r="X6" s="1813"/>
      <c r="Y6" s="3271"/>
      <c r="Z6" s="3272"/>
      <c r="AA6" s="3287"/>
      <c r="AB6" s="3274"/>
      <c r="AC6" s="3287"/>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1" t="s">
        <v>2547</v>
      </c>
      <c r="Q7" s="3282"/>
      <c r="R7" s="770" t="s">
        <v>17</v>
      </c>
      <c r="S7" s="771">
        <f t="shared" ref="S7:S15" si="0">F7</f>
        <v>0</v>
      </c>
      <c r="T7" s="770" t="s">
        <v>17</v>
      </c>
      <c r="U7" s="771">
        <f t="shared" ref="U7:U15" si="1">H7</f>
        <v>0</v>
      </c>
      <c r="V7" s="770" t="s">
        <v>17</v>
      </c>
      <c r="W7" s="771">
        <f t="shared" ref="W7:W15" si="2">J7</f>
        <v>0</v>
      </c>
      <c r="X7" s="772"/>
      <c r="Y7" s="3281" t="s">
        <v>2547</v>
      </c>
      <c r="Z7" s="328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1" t="s">
        <v>2550</v>
      </c>
      <c r="Q8" s="3280"/>
      <c r="R8" s="770" t="s">
        <v>17</v>
      </c>
      <c r="S8" s="771">
        <f t="shared" si="0"/>
        <v>0</v>
      </c>
      <c r="T8" s="770" t="s">
        <v>17</v>
      </c>
      <c r="U8" s="771">
        <f t="shared" si="1"/>
        <v>0</v>
      </c>
      <c r="V8" s="770" t="s">
        <v>17</v>
      </c>
      <c r="W8" s="771">
        <f t="shared" si="2"/>
        <v>0</v>
      </c>
      <c r="X8" s="772"/>
      <c r="Y8" s="3281" t="s">
        <v>2550</v>
      </c>
      <c r="Z8" s="328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9" t="s">
        <v>2553</v>
      </c>
      <c r="Q9" s="1795" t="str">
        <f t="shared" ref="Q9:Q15" si="6">B9</f>
        <v>用途</v>
      </c>
      <c r="R9" s="770" t="s">
        <v>17</v>
      </c>
      <c r="S9" s="771">
        <f t="shared" si="0"/>
        <v>100</v>
      </c>
      <c r="T9" s="770" t="s">
        <v>17</v>
      </c>
      <c r="U9" s="771">
        <f t="shared" si="1"/>
        <v>100</v>
      </c>
      <c r="V9" s="770" t="s">
        <v>17</v>
      </c>
      <c r="W9" s="771">
        <f t="shared" si="2"/>
        <v>100</v>
      </c>
      <c r="X9" s="772"/>
      <c r="Y9" s="30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9"/>
      <c r="Q11" s="1795"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9"/>
      <c r="Q12" s="1795">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9"/>
      <c r="Q13" s="1795">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9"/>
      <c r="Q14" s="1795">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2558</v>
      </c>
      <c r="Q15" s="1810" t="str">
        <f t="shared" si="6"/>
        <v>商业繁华度</v>
      </c>
      <c r="R15" s="774" t="s">
        <v>17</v>
      </c>
      <c r="S15" s="775">
        <f t="shared" si="0"/>
        <v>100</v>
      </c>
      <c r="T15" s="774" t="s">
        <v>17</v>
      </c>
      <c r="U15" s="775">
        <f t="shared" si="1"/>
        <v>100</v>
      </c>
      <c r="V15" s="774" t="s">
        <v>17</v>
      </c>
      <c r="W15" s="775">
        <f t="shared" si="2"/>
        <v>100</v>
      </c>
      <c r="X15" s="1813"/>
      <c r="Y15" s="3247"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6"/>
      <c r="Q16" s="1810"/>
      <c r="R16" s="774"/>
      <c r="S16" s="775"/>
      <c r="T16" s="774"/>
      <c r="U16" s="775"/>
      <c r="V16" s="774"/>
      <c r="W16" s="775"/>
      <c r="X16" s="1813"/>
      <c r="Y16" s="3248"/>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46"/>
      <c r="Q18" s="1810"/>
      <c r="R18" s="774"/>
      <c r="S18" s="775"/>
      <c r="T18" s="774"/>
      <c r="U18" s="775"/>
      <c r="V18" s="774"/>
      <c r="W18" s="775"/>
      <c r="X18" s="1813"/>
      <c r="Y18" s="3248"/>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46"/>
      <c r="Q20" s="1810"/>
      <c r="R20" s="774"/>
      <c r="S20" s="775"/>
      <c r="T20" s="774"/>
      <c r="U20" s="775"/>
      <c r="V20" s="774"/>
      <c r="W20" s="775"/>
      <c r="X20" s="1813"/>
      <c r="Y20" s="3248"/>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46"/>
      <c r="Q22" s="1810"/>
      <c r="R22" s="774"/>
      <c r="S22" s="775"/>
      <c r="T22" s="774"/>
      <c r="U22" s="775"/>
      <c r="V22" s="774"/>
      <c r="W22" s="775"/>
      <c r="X22" s="1813"/>
      <c r="Y22" s="3248"/>
      <c r="Z22" s="1814"/>
      <c r="AA22" s="1811">
        <v>1</v>
      </c>
      <c r="AB22" s="1811">
        <v>1</v>
      </c>
      <c r="AC22" s="1811">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10" t="str">
        <f>B23</f>
        <v>自然及人文环境</v>
      </c>
      <c r="R23" s="774" t="s">
        <v>17</v>
      </c>
      <c r="S23" s="775">
        <f>F23</f>
        <v>100</v>
      </c>
      <c r="T23" s="774" t="s">
        <v>17</v>
      </c>
      <c r="U23" s="775">
        <f>H23</f>
        <v>100</v>
      </c>
      <c r="V23" s="774" t="s">
        <v>17</v>
      </c>
      <c r="W23" s="775">
        <f>J23</f>
        <v>100</v>
      </c>
      <c r="X23" s="1813"/>
      <c r="Y23" s="3248"/>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46"/>
      <c r="Q24" s="1810"/>
      <c r="R24" s="774"/>
      <c r="S24" s="775"/>
      <c r="T24" s="774"/>
      <c r="U24" s="775"/>
      <c r="V24" s="774"/>
      <c r="W24" s="775"/>
      <c r="X24" s="1813"/>
      <c r="Y24" s="3248"/>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10" t="str">
        <f t="shared" ref="Q25:Q46" si="11">B25</f>
        <v>临街状况</v>
      </c>
      <c r="R25" s="774" t="s">
        <v>17</v>
      </c>
      <c r="S25" s="775">
        <f>F25</f>
        <v>100</v>
      </c>
      <c r="T25" s="774" t="s">
        <v>17</v>
      </c>
      <c r="U25" s="775">
        <f>H25</f>
        <v>100</v>
      </c>
      <c r="V25" s="774" t="s">
        <v>17</v>
      </c>
      <c r="W25" s="775">
        <f>J25</f>
        <v>100</v>
      </c>
      <c r="X25" s="1813"/>
      <c r="Y25" s="3248"/>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10" t="str">
        <f t="shared" si="11"/>
        <v>平面位置/可视性</v>
      </c>
      <c r="R26" s="774" t="s">
        <v>17</v>
      </c>
      <c r="S26" s="775">
        <f>F26</f>
        <v>100</v>
      </c>
      <c r="T26" s="774" t="s">
        <v>17</v>
      </c>
      <c r="U26" s="775">
        <f>H26</f>
        <v>100</v>
      </c>
      <c r="V26" s="774" t="s">
        <v>17</v>
      </c>
      <c r="W26" s="775">
        <f>J26</f>
        <v>100</v>
      </c>
      <c r="X26" s="1813"/>
      <c r="Y26" s="3248"/>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6"/>
      <c r="Q27" s="1795" t="str">
        <f t="shared" si="11"/>
        <v>人流量</v>
      </c>
      <c r="R27" s="770" t="s">
        <v>17</v>
      </c>
      <c r="S27" s="771">
        <f>F27</f>
        <v>100</v>
      </c>
      <c r="T27" s="770" t="s">
        <v>17</v>
      </c>
      <c r="U27" s="771">
        <f>H27</f>
        <v>100</v>
      </c>
      <c r="V27" s="770" t="s">
        <v>17</v>
      </c>
      <c r="W27" s="771">
        <f>J27</f>
        <v>100</v>
      </c>
      <c r="X27" s="772"/>
      <c r="Y27" s="3248"/>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10">
        <f t="shared" si="11"/>
        <v>111</v>
      </c>
      <c r="R29" s="774" t="s">
        <v>17</v>
      </c>
      <c r="S29" s="775">
        <f t="shared" si="12"/>
        <v>100</v>
      </c>
      <c r="T29" s="774" t="s">
        <v>17</v>
      </c>
      <c r="U29" s="775">
        <f t="shared" si="13"/>
        <v>100</v>
      </c>
      <c r="V29" s="774" t="s">
        <v>17</v>
      </c>
      <c r="W29" s="775">
        <f t="shared" si="14"/>
        <v>100</v>
      </c>
      <c r="X29" s="1813"/>
      <c r="Y29" s="324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4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48"/>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9" t="s">
        <v>2563</v>
      </c>
      <c r="Q32" s="1810" t="str">
        <f t="shared" si="11"/>
        <v>商业类型</v>
      </c>
      <c r="R32" s="774" t="s">
        <v>17</v>
      </c>
      <c r="S32" s="775">
        <f t="shared" si="12"/>
        <v>100</v>
      </c>
      <c r="T32" s="774" t="s">
        <v>17</v>
      </c>
      <c r="U32" s="775">
        <f t="shared" si="13"/>
        <v>100</v>
      </c>
      <c r="V32" s="774" t="s">
        <v>17</v>
      </c>
      <c r="W32" s="775">
        <f t="shared" si="14"/>
        <v>100</v>
      </c>
      <c r="X32" s="1813"/>
      <c r="Y32" s="3252"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0"/>
      <c r="Q33" s="776" t="str">
        <f t="shared" si="11"/>
        <v>项目建筑规模</v>
      </c>
      <c r="R33" s="777" t="s">
        <v>17</v>
      </c>
      <c r="S33" s="778" t="e">
        <f t="shared" si="12"/>
        <v>#N/A</v>
      </c>
      <c r="T33" s="777" t="s">
        <v>17</v>
      </c>
      <c r="U33" s="778" t="e">
        <f t="shared" si="13"/>
        <v>#N/A</v>
      </c>
      <c r="V33" s="777" t="s">
        <v>17</v>
      </c>
      <c r="W33" s="778" t="e">
        <f t="shared" si="14"/>
        <v>#N/A</v>
      </c>
      <c r="X33" s="779"/>
      <c r="Y33" s="3252"/>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0"/>
      <c r="Q34" s="1810" t="str">
        <f t="shared" si="11"/>
        <v>建筑结构</v>
      </c>
      <c r="R34" s="774" t="s">
        <v>17</v>
      </c>
      <c r="S34" s="775">
        <f t="shared" si="12"/>
        <v>100</v>
      </c>
      <c r="T34" s="774" t="s">
        <v>17</v>
      </c>
      <c r="U34" s="775">
        <f t="shared" si="13"/>
        <v>100</v>
      </c>
      <c r="V34" s="774" t="s">
        <v>17</v>
      </c>
      <c r="W34" s="775">
        <f t="shared" si="14"/>
        <v>100</v>
      </c>
      <c r="X34" s="1813"/>
      <c r="Y34" s="3252"/>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0"/>
      <c r="Q35" s="1810" t="str">
        <f t="shared" si="11"/>
        <v>公共部分装修</v>
      </c>
      <c r="R35" s="774" t="s">
        <v>17</v>
      </c>
      <c r="S35" s="775">
        <f t="shared" si="12"/>
        <v>100</v>
      </c>
      <c r="T35" s="774" t="s">
        <v>17</v>
      </c>
      <c r="U35" s="775">
        <f t="shared" si="13"/>
        <v>100</v>
      </c>
      <c r="V35" s="774" t="s">
        <v>17</v>
      </c>
      <c r="W35" s="775">
        <f t="shared" si="14"/>
        <v>100</v>
      </c>
      <c r="X35" s="1813"/>
      <c r="Y35" s="3252"/>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0"/>
      <c r="Q36" s="1810" t="str">
        <f t="shared" si="11"/>
        <v>成新度</v>
      </c>
      <c r="R36" s="774" t="s">
        <v>17</v>
      </c>
      <c r="S36" s="775" t="e">
        <f t="shared" si="12"/>
        <v>#N/A</v>
      </c>
      <c r="T36" s="774" t="s">
        <v>17</v>
      </c>
      <c r="U36" s="775" t="e">
        <f t="shared" si="13"/>
        <v>#N/A</v>
      </c>
      <c r="V36" s="774" t="s">
        <v>17</v>
      </c>
      <c r="W36" s="775" t="e">
        <f t="shared" si="14"/>
        <v>#N/A</v>
      </c>
      <c r="X36" s="1813"/>
      <c r="Y36" s="3252"/>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0"/>
      <c r="Q37" s="1795" t="str">
        <f t="shared" si="11"/>
        <v>市政基础设施</v>
      </c>
      <c r="R37" s="770" t="s">
        <v>17</v>
      </c>
      <c r="S37" s="771">
        <f t="shared" si="12"/>
        <v>100</v>
      </c>
      <c r="T37" s="770" t="s">
        <v>17</v>
      </c>
      <c r="U37" s="771">
        <f t="shared" si="13"/>
        <v>100</v>
      </c>
      <c r="V37" s="770" t="s">
        <v>17</v>
      </c>
      <c r="W37" s="771">
        <f t="shared" si="14"/>
        <v>100</v>
      </c>
      <c r="X37" s="772"/>
      <c r="Y37" s="3252"/>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0" t="s">
        <v>2563</v>
      </c>
      <c r="Q38" s="1810" t="str">
        <f t="shared" si="11"/>
        <v>业态</v>
      </c>
      <c r="R38" s="774" t="s">
        <v>17</v>
      </c>
      <c r="S38" s="775">
        <f t="shared" si="12"/>
        <v>100</v>
      </c>
      <c r="T38" s="774" t="s">
        <v>17</v>
      </c>
      <c r="U38" s="775">
        <f t="shared" si="13"/>
        <v>100</v>
      </c>
      <c r="V38" s="774" t="s">
        <v>17</v>
      </c>
      <c r="W38" s="775">
        <f t="shared" si="14"/>
        <v>100</v>
      </c>
      <c r="X38" s="1813"/>
      <c r="Y38" s="3252"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0"/>
      <c r="Q39" s="1810" t="str">
        <f t="shared" si="11"/>
        <v>层高</v>
      </c>
      <c r="R39" s="774" t="s">
        <v>17</v>
      </c>
      <c r="S39" s="775">
        <f t="shared" si="12"/>
        <v>100</v>
      </c>
      <c r="T39" s="774" t="s">
        <v>17</v>
      </c>
      <c r="U39" s="775">
        <f t="shared" si="13"/>
        <v>100</v>
      </c>
      <c r="V39" s="774" t="s">
        <v>17</v>
      </c>
      <c r="W39" s="775">
        <f t="shared" si="14"/>
        <v>100</v>
      </c>
      <c r="X39" s="1813"/>
      <c r="Y39" s="325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0"/>
      <c r="Q40" s="1810" t="str">
        <f t="shared" si="11"/>
        <v>单套建筑面积</v>
      </c>
      <c r="R40" s="774" t="s">
        <v>17</v>
      </c>
      <c r="S40" s="775">
        <f t="shared" si="12"/>
        <v>100</v>
      </c>
      <c r="T40" s="774" t="s">
        <v>17</v>
      </c>
      <c r="U40" s="775">
        <f t="shared" si="13"/>
        <v>100</v>
      </c>
      <c r="V40" s="774" t="s">
        <v>17</v>
      </c>
      <c r="W40" s="775">
        <f t="shared" si="14"/>
        <v>100</v>
      </c>
      <c r="X40" s="1813"/>
      <c r="Y40" s="325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6" t="str">
        <f t="shared" si="11"/>
        <v>进深比</v>
      </c>
      <c r="R41" s="777" t="s">
        <v>17</v>
      </c>
      <c r="S41" s="778">
        <f t="shared" si="12"/>
        <v>100</v>
      </c>
      <c r="T41" s="777" t="s">
        <v>17</v>
      </c>
      <c r="U41" s="778">
        <f t="shared" si="13"/>
        <v>100</v>
      </c>
      <c r="V41" s="777" t="s">
        <v>17</v>
      </c>
      <c r="W41" s="778">
        <f t="shared" si="14"/>
        <v>100</v>
      </c>
      <c r="X41" s="779"/>
      <c r="Y41" s="3252"/>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0"/>
      <c r="Q42" s="1810" t="str">
        <f t="shared" si="11"/>
        <v>内部装修</v>
      </c>
      <c r="R42" s="774" t="s">
        <v>17</v>
      </c>
      <c r="S42" s="775">
        <f t="shared" si="12"/>
        <v>100</v>
      </c>
      <c r="T42" s="774" t="s">
        <v>17</v>
      </c>
      <c r="U42" s="775">
        <f t="shared" si="13"/>
        <v>100</v>
      </c>
      <c r="V42" s="774" t="s">
        <v>17</v>
      </c>
      <c r="W42" s="775">
        <f t="shared" si="14"/>
        <v>100</v>
      </c>
      <c r="X42" s="1813"/>
      <c r="Y42" s="3252"/>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0"/>
      <c r="Q43" s="1810" t="str">
        <f t="shared" si="11"/>
        <v>内部装修维护情况</v>
      </c>
      <c r="R43" s="774" t="s">
        <v>17</v>
      </c>
      <c r="S43" s="775">
        <f t="shared" si="12"/>
        <v>100</v>
      </c>
      <c r="T43" s="774" t="s">
        <v>17</v>
      </c>
      <c r="U43" s="775">
        <f t="shared" si="13"/>
        <v>100</v>
      </c>
      <c r="V43" s="774" t="s">
        <v>17</v>
      </c>
      <c r="W43" s="775">
        <f t="shared" si="14"/>
        <v>100</v>
      </c>
      <c r="X43" s="1813"/>
      <c r="Y43" s="325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95">
        <f t="shared" si="11"/>
        <v>111</v>
      </c>
      <c r="R44" s="770" t="s">
        <v>17</v>
      </c>
      <c r="S44" s="771">
        <f t="shared" si="12"/>
        <v>100</v>
      </c>
      <c r="T44" s="770" t="s">
        <v>17</v>
      </c>
      <c r="U44" s="771">
        <f t="shared" si="13"/>
        <v>100</v>
      </c>
      <c r="V44" s="770" t="s">
        <v>17</v>
      </c>
      <c r="W44" s="771">
        <f t="shared" si="14"/>
        <v>100</v>
      </c>
      <c r="X44" s="772"/>
      <c r="Y44" s="325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10">
        <f t="shared" si="11"/>
        <v>111</v>
      </c>
      <c r="R45" s="774" t="s">
        <v>17</v>
      </c>
      <c r="S45" s="775">
        <f t="shared" si="12"/>
        <v>100</v>
      </c>
      <c r="T45" s="774" t="s">
        <v>17</v>
      </c>
      <c r="U45" s="775">
        <f t="shared" si="13"/>
        <v>100</v>
      </c>
      <c r="V45" s="774" t="s">
        <v>17</v>
      </c>
      <c r="W45" s="775">
        <f t="shared" si="14"/>
        <v>100</v>
      </c>
      <c r="X45" s="1813"/>
      <c r="Y45" s="3252"/>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10">
        <f t="shared" si="11"/>
        <v>111</v>
      </c>
      <c r="R46" s="774" t="s">
        <v>17</v>
      </c>
      <c r="S46" s="775">
        <f t="shared" si="12"/>
        <v>100</v>
      </c>
      <c r="T46" s="774" t="s">
        <v>17</v>
      </c>
      <c r="U46" s="775">
        <f t="shared" si="13"/>
        <v>100</v>
      </c>
      <c r="V46" s="774" t="s">
        <v>17</v>
      </c>
      <c r="W46" s="775">
        <f t="shared" si="14"/>
        <v>100</v>
      </c>
      <c r="X46" s="1813"/>
      <c r="Y46" s="3253"/>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40" t="str">
        <f>A47</f>
        <v>成交单价（元/平方米）</v>
      </c>
      <c r="Q47" s="3240"/>
      <c r="R47" s="3274">
        <f>E47</f>
        <v>0</v>
      </c>
      <c r="S47" s="3274"/>
      <c r="T47" s="3274">
        <f>G47</f>
        <v>0</v>
      </c>
      <c r="U47" s="3274"/>
      <c r="V47" s="3274">
        <f>I47</f>
        <v>0</v>
      </c>
      <c r="W47" s="3274"/>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393" t="str">
        <f>A49</f>
        <v>估价对象XX用房的比较价值（楼面单价，元/平方米）</v>
      </c>
      <c r="Q49" s="3394"/>
      <c r="R49" s="3395" t="e">
        <f>IF(F1="售价",ROUND(AVERAGE(R48:V48),0),ROUND(AVERAGE(R48:V48),1))</f>
        <v>#DIV/0!</v>
      </c>
      <c r="S49" s="3395"/>
      <c r="T49" s="3395"/>
      <c r="U49" s="3395"/>
      <c r="V49" s="3395"/>
      <c r="W49" s="33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11819.969999999998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57" t="s">
        <v>2644</v>
      </c>
      <c r="D4" s="3258"/>
      <c r="E4" s="3259" t="s">
        <v>2645</v>
      </c>
      <c r="F4" s="3260"/>
      <c r="G4" s="3257" t="s">
        <v>2646</v>
      </c>
      <c r="H4" s="3258"/>
      <c r="I4" s="3257" t="s">
        <v>2647</v>
      </c>
      <c r="J4" s="3258"/>
      <c r="K4" s="610" t="s">
        <v>2648</v>
      </c>
      <c r="L4" s="1130"/>
      <c r="M4" s="1131"/>
      <c r="N4" s="1131"/>
      <c r="O4" s="1131"/>
      <c r="P4" s="3397" t="s">
        <v>2649</v>
      </c>
      <c r="Q4" s="3398"/>
      <c r="R4" s="3401" t="s">
        <v>2645</v>
      </c>
      <c r="S4" s="3402"/>
      <c r="T4" s="3401" t="s">
        <v>2646</v>
      </c>
      <c r="U4" s="3402"/>
      <c r="V4" s="3274" t="s">
        <v>2647</v>
      </c>
      <c r="W4" s="3274"/>
      <c r="X4" s="1813"/>
      <c r="Y4" s="3401" t="s">
        <v>2649</v>
      </c>
      <c r="Z4" s="3402"/>
      <c r="AA4" s="3396" t="s">
        <v>2645</v>
      </c>
      <c r="AB4" s="3286" t="s">
        <v>2646</v>
      </c>
      <c r="AC4" s="3396" t="s">
        <v>2647</v>
      </c>
    </row>
    <row r="5" spans="1:29" ht="15">
      <c r="A5" s="404"/>
      <c r="B5" s="405"/>
      <c r="C5" s="3403" t="s">
        <v>2540</v>
      </c>
      <c r="D5" s="3278"/>
      <c r="E5" s="3404" t="s">
        <v>2541</v>
      </c>
      <c r="F5" s="3289"/>
      <c r="G5" s="3403" t="s">
        <v>2542</v>
      </c>
      <c r="H5" s="3278"/>
      <c r="I5" s="3403" t="s">
        <v>2543</v>
      </c>
      <c r="J5" s="3278"/>
      <c r="K5" s="610"/>
      <c r="L5" s="1130"/>
      <c r="M5" s="1131"/>
      <c r="N5" s="1131"/>
      <c r="O5" s="1131"/>
      <c r="P5" s="3399"/>
      <c r="Q5" s="3264"/>
      <c r="R5" s="3269"/>
      <c r="S5" s="3270"/>
      <c r="T5" s="3269"/>
      <c r="U5" s="3270"/>
      <c r="V5" s="3274"/>
      <c r="W5" s="3274"/>
      <c r="X5" s="1813"/>
      <c r="Y5" s="3269"/>
      <c r="Z5" s="3270"/>
      <c r="AA5" s="3286"/>
      <c r="AB5" s="3286"/>
      <c r="AC5" s="3286"/>
    </row>
    <row r="6" spans="1:29" ht="15.75" thickBot="1">
      <c r="A6" s="406"/>
      <c r="B6" s="407"/>
      <c r="C6" s="3275" t="s">
        <v>2544</v>
      </c>
      <c r="D6" s="3276"/>
      <c r="E6" s="3283" t="s">
        <v>2544</v>
      </c>
      <c r="F6" s="3284"/>
      <c r="G6" s="3275" t="s">
        <v>2544</v>
      </c>
      <c r="H6" s="3276"/>
      <c r="I6" s="3275" t="s">
        <v>2544</v>
      </c>
      <c r="J6" s="3276"/>
      <c r="K6" s="610" t="s">
        <v>2545</v>
      </c>
      <c r="L6" s="1130"/>
      <c r="M6" s="1131"/>
      <c r="N6" s="1131"/>
      <c r="O6" s="1131"/>
      <c r="P6" s="3400"/>
      <c r="Q6" s="3266"/>
      <c r="R6" s="3269"/>
      <c r="S6" s="3270"/>
      <c r="T6" s="3271"/>
      <c r="U6" s="3272"/>
      <c r="V6" s="3274"/>
      <c r="W6" s="3274"/>
      <c r="X6" s="1813"/>
      <c r="Y6" s="3271"/>
      <c r="Z6" s="3272"/>
      <c r="AA6" s="3287"/>
      <c r="AB6" s="3287"/>
      <c r="AC6" s="3287"/>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1" t="s">
        <v>2547</v>
      </c>
      <c r="Q7" s="3282"/>
      <c r="R7" s="770" t="s">
        <v>17</v>
      </c>
      <c r="S7" s="771">
        <f t="shared" ref="S7:S15" si="0">F7</f>
        <v>0</v>
      </c>
      <c r="T7" s="770" t="s">
        <v>17</v>
      </c>
      <c r="U7" s="771">
        <f t="shared" ref="U7:U15" si="1">H7</f>
        <v>0</v>
      </c>
      <c r="V7" s="770" t="s">
        <v>17</v>
      </c>
      <c r="W7" s="771">
        <f t="shared" ref="W7:W15" si="2">J7</f>
        <v>0</v>
      </c>
      <c r="X7" s="772"/>
      <c r="Y7" s="3281" t="s">
        <v>2547</v>
      </c>
      <c r="Z7" s="328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1" t="s">
        <v>2550</v>
      </c>
      <c r="Q8" s="3280"/>
      <c r="R8" s="770" t="s">
        <v>17</v>
      </c>
      <c r="S8" s="771">
        <f t="shared" si="0"/>
        <v>0</v>
      </c>
      <c r="T8" s="770" t="s">
        <v>17</v>
      </c>
      <c r="U8" s="771">
        <f t="shared" si="1"/>
        <v>0</v>
      </c>
      <c r="V8" s="770" t="s">
        <v>17</v>
      </c>
      <c r="W8" s="771">
        <f t="shared" si="2"/>
        <v>0</v>
      </c>
      <c r="X8" s="772"/>
      <c r="Y8" s="3281" t="s">
        <v>2550</v>
      </c>
      <c r="Z8" s="328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0" t="s">
        <v>2553</v>
      </c>
      <c r="Q9" s="1795" t="str">
        <f t="shared" ref="Q9:Q15" si="6">B9</f>
        <v>用途</v>
      </c>
      <c r="R9" s="770" t="s">
        <v>17</v>
      </c>
      <c r="S9" s="771">
        <f t="shared" si="0"/>
        <v>100</v>
      </c>
      <c r="T9" s="770" t="s">
        <v>17</v>
      </c>
      <c r="U9" s="771">
        <f t="shared" si="1"/>
        <v>100</v>
      </c>
      <c r="V9" s="770" t="s">
        <v>17</v>
      </c>
      <c r="W9" s="771">
        <f t="shared" si="2"/>
        <v>100</v>
      </c>
      <c r="X9" s="772"/>
      <c r="Y9" s="30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7" t="s">
        <v>2558</v>
      </c>
      <c r="Q15" s="1810" t="str">
        <f t="shared" si="6"/>
        <v>产业集聚程度</v>
      </c>
      <c r="R15" s="774" t="s">
        <v>17</v>
      </c>
      <c r="S15" s="775">
        <f t="shared" si="0"/>
        <v>100</v>
      </c>
      <c r="T15" s="774" t="s">
        <v>17</v>
      </c>
      <c r="U15" s="775">
        <f t="shared" si="1"/>
        <v>100</v>
      </c>
      <c r="V15" s="774" t="s">
        <v>17</v>
      </c>
      <c r="W15" s="775">
        <f t="shared" si="2"/>
        <v>100</v>
      </c>
      <c r="X15" s="1813"/>
      <c r="Y15" s="3247"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8"/>
      <c r="Q16" s="1810"/>
      <c r="R16" s="774"/>
      <c r="S16" s="775"/>
      <c r="T16" s="774"/>
      <c r="U16" s="775"/>
      <c r="V16" s="774"/>
      <c r="W16" s="775"/>
      <c r="X16" s="1813"/>
      <c r="Y16" s="3248"/>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8"/>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48"/>
      <c r="Q18" s="1810"/>
      <c r="R18" s="774"/>
      <c r="S18" s="775"/>
      <c r="T18" s="774"/>
      <c r="U18" s="775"/>
      <c r="V18" s="774"/>
      <c r="W18" s="775"/>
      <c r="X18" s="1813"/>
      <c r="Y18" s="3248"/>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8"/>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48"/>
      <c r="Q20" s="1810"/>
      <c r="R20" s="774"/>
      <c r="S20" s="775"/>
      <c r="T20" s="774"/>
      <c r="U20" s="775"/>
      <c r="V20" s="774"/>
      <c r="W20" s="775"/>
      <c r="X20" s="1813"/>
      <c r="Y20" s="3248"/>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8"/>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48"/>
      <c r="Q22" s="1810"/>
      <c r="R22" s="774"/>
      <c r="S22" s="775"/>
      <c r="T22" s="774"/>
      <c r="U22" s="775"/>
      <c r="V22" s="774"/>
      <c r="W22" s="775"/>
      <c r="X22" s="1813"/>
      <c r="Y22" s="3248"/>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8"/>
      <c r="Q23" s="1810" t="str">
        <f>B23</f>
        <v>环境质量</v>
      </c>
      <c r="R23" s="774" t="s">
        <v>17</v>
      </c>
      <c r="S23" s="775">
        <f>F23</f>
        <v>100</v>
      </c>
      <c r="T23" s="774" t="s">
        <v>17</v>
      </c>
      <c r="U23" s="775">
        <f>H23</f>
        <v>100</v>
      </c>
      <c r="V23" s="774" t="s">
        <v>17</v>
      </c>
      <c r="W23" s="775">
        <f>J23</f>
        <v>100</v>
      </c>
      <c r="X23" s="1813"/>
      <c r="Y23" s="3248"/>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48"/>
      <c r="Q24" s="1810"/>
      <c r="R24" s="774"/>
      <c r="S24" s="775"/>
      <c r="T24" s="774"/>
      <c r="U24" s="775"/>
      <c r="V24" s="774"/>
      <c r="W24" s="775"/>
      <c r="X24" s="1813"/>
      <c r="Y24" s="324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8"/>
      <c r="Q25" s="1810">
        <f>B25</f>
        <v>111</v>
      </c>
      <c r="R25" s="774" t="s">
        <v>17</v>
      </c>
      <c r="S25" s="775">
        <f>F25</f>
        <v>100</v>
      </c>
      <c r="T25" s="774" t="s">
        <v>17</v>
      </c>
      <c r="U25" s="775">
        <f>H25</f>
        <v>100</v>
      </c>
      <c r="V25" s="774" t="s">
        <v>17</v>
      </c>
      <c r="W25" s="775">
        <f>J25</f>
        <v>100</v>
      </c>
      <c r="X25" s="1813"/>
      <c r="Y25" s="324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8"/>
      <c r="Q26" s="1810">
        <f t="shared" ref="Q26:Q40" si="11">B26</f>
        <v>111</v>
      </c>
      <c r="R26" s="774" t="s">
        <v>17</v>
      </c>
      <c r="S26" s="775">
        <f>F26</f>
        <v>100</v>
      </c>
      <c r="T26" s="774" t="s">
        <v>17</v>
      </c>
      <c r="U26" s="775">
        <f>H26</f>
        <v>100</v>
      </c>
      <c r="V26" s="774" t="s">
        <v>17</v>
      </c>
      <c r="W26" s="775">
        <f>J26</f>
        <v>100</v>
      </c>
      <c r="X26" s="1813"/>
      <c r="Y26" s="324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8"/>
      <c r="Q27" s="1795">
        <f t="shared" si="11"/>
        <v>111</v>
      </c>
      <c r="R27" s="770" t="s">
        <v>17</v>
      </c>
      <c r="S27" s="771">
        <f>F27</f>
        <v>100</v>
      </c>
      <c r="T27" s="770" t="s">
        <v>17</v>
      </c>
      <c r="U27" s="771">
        <f>H27</f>
        <v>100</v>
      </c>
      <c r="V27" s="770" t="s">
        <v>17</v>
      </c>
      <c r="W27" s="771">
        <f>J27</f>
        <v>100</v>
      </c>
      <c r="X27" s="772"/>
      <c r="Y27" s="324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8"/>
      <c r="Q28" s="1810">
        <f t="shared" si="11"/>
        <v>111</v>
      </c>
      <c r="R28" s="774" t="s">
        <v>17</v>
      </c>
      <c r="S28" s="775">
        <f t="shared" ref="S28:S40" si="12">F28</f>
        <v>100</v>
      </c>
      <c r="T28" s="774" t="s">
        <v>17</v>
      </c>
      <c r="U28" s="775">
        <f t="shared" ref="U28:U40" si="13">H28</f>
        <v>100</v>
      </c>
      <c r="V28" s="774" t="s">
        <v>17</v>
      </c>
      <c r="W28" s="775">
        <f t="shared" ref="W28:W40" si="14">J28</f>
        <v>100</v>
      </c>
      <c r="X28" s="1813"/>
      <c r="Y28" s="3248"/>
      <c r="Z28" s="1814">
        <f t="shared" ref="Z28:Z40" si="15">Q28</f>
        <v>111</v>
      </c>
      <c r="AA28" s="1811">
        <f t="shared" si="3"/>
        <v>1</v>
      </c>
      <c r="AB28" s="1811">
        <f t="shared" si="4"/>
        <v>1</v>
      </c>
      <c r="AC28" s="1811">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405" t="s">
        <v>2563</v>
      </c>
      <c r="Q29" s="1810" t="str">
        <f t="shared" si="11"/>
        <v>建筑类型</v>
      </c>
      <c r="R29" s="774" t="s">
        <v>17</v>
      </c>
      <c r="S29" s="775">
        <f t="shared" si="12"/>
        <v>100</v>
      </c>
      <c r="T29" s="774" t="s">
        <v>17</v>
      </c>
      <c r="U29" s="775">
        <f t="shared" si="13"/>
        <v>100</v>
      </c>
      <c r="V29" s="774" t="s">
        <v>17</v>
      </c>
      <c r="W29" s="775">
        <f t="shared" si="14"/>
        <v>100</v>
      </c>
      <c r="X29" s="1813"/>
      <c r="Y29" s="3252"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2"/>
      <c r="Q30" s="776" t="str">
        <f t="shared" si="11"/>
        <v>项目建筑规模</v>
      </c>
      <c r="R30" s="777" t="s">
        <v>17</v>
      </c>
      <c r="S30" s="778" t="e">
        <f t="shared" si="12"/>
        <v>#N/A</v>
      </c>
      <c r="T30" s="777" t="s">
        <v>17</v>
      </c>
      <c r="U30" s="778" t="e">
        <f t="shared" si="13"/>
        <v>#N/A</v>
      </c>
      <c r="V30" s="777" t="s">
        <v>17</v>
      </c>
      <c r="W30" s="778" t="e">
        <f t="shared" si="14"/>
        <v>#N/A</v>
      </c>
      <c r="X30" s="779"/>
      <c r="Y30" s="3252"/>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2"/>
      <c r="Q31" s="1810" t="str">
        <f t="shared" si="11"/>
        <v>建筑结构</v>
      </c>
      <c r="R31" s="774" t="s">
        <v>17</v>
      </c>
      <c r="S31" s="775">
        <f t="shared" si="12"/>
        <v>100</v>
      </c>
      <c r="T31" s="774" t="s">
        <v>17</v>
      </c>
      <c r="U31" s="775">
        <f t="shared" si="13"/>
        <v>100</v>
      </c>
      <c r="V31" s="774" t="s">
        <v>17</v>
      </c>
      <c r="W31" s="775">
        <f t="shared" si="14"/>
        <v>100</v>
      </c>
      <c r="X31" s="1813"/>
      <c r="Y31" s="325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2"/>
      <c r="Q32" s="1810" t="str">
        <f t="shared" si="11"/>
        <v>公共部分装修</v>
      </c>
      <c r="R32" s="774" t="s">
        <v>17</v>
      </c>
      <c r="S32" s="775">
        <f t="shared" si="12"/>
        <v>100</v>
      </c>
      <c r="T32" s="774" t="s">
        <v>17</v>
      </c>
      <c r="U32" s="775">
        <f t="shared" si="13"/>
        <v>100</v>
      </c>
      <c r="V32" s="774" t="s">
        <v>17</v>
      </c>
      <c r="W32" s="775">
        <f t="shared" si="14"/>
        <v>100</v>
      </c>
      <c r="X32" s="1813"/>
      <c r="Y32" s="325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2"/>
      <c r="Q33" s="1810" t="str">
        <f t="shared" si="11"/>
        <v>成新度</v>
      </c>
      <c r="R33" s="774" t="s">
        <v>17</v>
      </c>
      <c r="S33" s="775" t="e">
        <f t="shared" si="12"/>
        <v>#N/A</v>
      </c>
      <c r="T33" s="774" t="s">
        <v>17</v>
      </c>
      <c r="U33" s="775" t="e">
        <f t="shared" si="13"/>
        <v>#N/A</v>
      </c>
      <c r="V33" s="774" t="s">
        <v>17</v>
      </c>
      <c r="W33" s="775" t="e">
        <f t="shared" si="14"/>
        <v>#N/A</v>
      </c>
      <c r="X33" s="1813"/>
      <c r="Y33" s="325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2"/>
      <c r="Q34" s="1795" t="str">
        <f t="shared" si="11"/>
        <v>物业管理</v>
      </c>
      <c r="R34" s="770" t="s">
        <v>17</v>
      </c>
      <c r="S34" s="771">
        <f t="shared" si="12"/>
        <v>100</v>
      </c>
      <c r="T34" s="770" t="s">
        <v>17</v>
      </c>
      <c r="U34" s="771">
        <f t="shared" si="13"/>
        <v>100</v>
      </c>
      <c r="V34" s="770" t="s">
        <v>17</v>
      </c>
      <c r="W34" s="771">
        <f t="shared" si="14"/>
        <v>100</v>
      </c>
      <c r="X34" s="772"/>
      <c r="Y34" s="325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2" t="s">
        <v>2563</v>
      </c>
      <c r="Q35" s="1810" t="str">
        <f t="shared" si="11"/>
        <v>市政基础设施</v>
      </c>
      <c r="R35" s="774" t="s">
        <v>17</v>
      </c>
      <c r="S35" s="775">
        <f t="shared" si="12"/>
        <v>100</v>
      </c>
      <c r="T35" s="774" t="s">
        <v>17</v>
      </c>
      <c r="U35" s="775">
        <f t="shared" si="13"/>
        <v>100</v>
      </c>
      <c r="V35" s="774" t="s">
        <v>17</v>
      </c>
      <c r="W35" s="775">
        <f t="shared" si="14"/>
        <v>100</v>
      </c>
      <c r="X35" s="1813"/>
      <c r="Y35" s="3252"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2"/>
      <c r="Q36" s="1810" t="str">
        <f t="shared" si="11"/>
        <v>内部装修</v>
      </c>
      <c r="R36" s="774" t="s">
        <v>17</v>
      </c>
      <c r="S36" s="775">
        <f t="shared" si="12"/>
        <v>100</v>
      </c>
      <c r="T36" s="774" t="s">
        <v>17</v>
      </c>
      <c r="U36" s="775">
        <f t="shared" si="13"/>
        <v>100</v>
      </c>
      <c r="V36" s="774" t="s">
        <v>17</v>
      </c>
      <c r="W36" s="775">
        <f t="shared" si="14"/>
        <v>100</v>
      </c>
      <c r="X36" s="1813"/>
      <c r="Y36" s="325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2"/>
      <c r="Q37" s="1810" t="str">
        <f t="shared" si="11"/>
        <v>内部装修状况</v>
      </c>
      <c r="R37" s="774" t="s">
        <v>17</v>
      </c>
      <c r="S37" s="775">
        <f t="shared" si="12"/>
        <v>100</v>
      </c>
      <c r="T37" s="774" t="s">
        <v>17</v>
      </c>
      <c r="U37" s="775">
        <f t="shared" si="13"/>
        <v>100</v>
      </c>
      <c r="V37" s="774" t="s">
        <v>17</v>
      </c>
      <c r="W37" s="775">
        <f t="shared" si="14"/>
        <v>100</v>
      </c>
      <c r="X37" s="1813"/>
      <c r="Y37" s="325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2"/>
      <c r="Q38" s="776">
        <f t="shared" si="11"/>
        <v>111</v>
      </c>
      <c r="R38" s="777" t="s">
        <v>17</v>
      </c>
      <c r="S38" s="778">
        <f t="shared" si="12"/>
        <v>100</v>
      </c>
      <c r="T38" s="777" t="s">
        <v>17</v>
      </c>
      <c r="U38" s="778">
        <f t="shared" si="13"/>
        <v>100</v>
      </c>
      <c r="V38" s="777" t="s">
        <v>17</v>
      </c>
      <c r="W38" s="778">
        <f t="shared" si="14"/>
        <v>100</v>
      </c>
      <c r="X38" s="779"/>
      <c r="Y38" s="325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2"/>
      <c r="Q39" s="1810">
        <f t="shared" si="11"/>
        <v>111</v>
      </c>
      <c r="R39" s="774" t="s">
        <v>17</v>
      </c>
      <c r="S39" s="775">
        <f t="shared" si="12"/>
        <v>100</v>
      </c>
      <c r="T39" s="774" t="s">
        <v>17</v>
      </c>
      <c r="U39" s="775">
        <f t="shared" si="13"/>
        <v>100</v>
      </c>
      <c r="V39" s="774" t="s">
        <v>17</v>
      </c>
      <c r="W39" s="775">
        <f t="shared" si="14"/>
        <v>100</v>
      </c>
      <c r="X39" s="1813"/>
      <c r="Y39" s="3252"/>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10">
        <f t="shared" si="11"/>
        <v>111</v>
      </c>
      <c r="R40" s="774" t="s">
        <v>17</v>
      </c>
      <c r="S40" s="775">
        <f t="shared" si="12"/>
        <v>100</v>
      </c>
      <c r="T40" s="774" t="s">
        <v>17</v>
      </c>
      <c r="U40" s="775">
        <f t="shared" si="13"/>
        <v>100</v>
      </c>
      <c r="V40" s="774" t="s">
        <v>17</v>
      </c>
      <c r="W40" s="775">
        <f t="shared" si="14"/>
        <v>100</v>
      </c>
      <c r="X40" s="1813"/>
      <c r="Y40" s="3253"/>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40" t="str">
        <f>A41</f>
        <v>成交单价（元/平方米）</v>
      </c>
      <c r="Q41" s="3240"/>
      <c r="R41" s="3241">
        <f>E41</f>
        <v>0</v>
      </c>
      <c r="S41" s="3241"/>
      <c r="T41" s="3241">
        <f>G41</f>
        <v>0</v>
      </c>
      <c r="U41" s="3241"/>
      <c r="V41" s="3241">
        <f>I41</f>
        <v>0</v>
      </c>
      <c r="W41" s="3241"/>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393" t="str">
        <f>A43</f>
        <v>估价对象XX用房的比较价值（楼面单价，元/平方米）</v>
      </c>
      <c r="Q43" s="3394"/>
      <c r="R43" s="3395" t="e">
        <f>IF(F1="售价",ROUND(AVERAGE(R42:V42),0),ROUND(AVERAGE(R42:V42),1))</f>
        <v>#DIV/0!</v>
      </c>
      <c r="S43" s="3395"/>
      <c r="T43" s="3395"/>
      <c r="U43" s="3395"/>
      <c r="V43" s="3395"/>
      <c r="W43" s="339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57" t="s">
        <v>2644</v>
      </c>
      <c r="D4" s="3258"/>
      <c r="E4" s="3259" t="s">
        <v>2645</v>
      </c>
      <c r="F4" s="3260"/>
      <c r="G4" s="3257" t="s">
        <v>2646</v>
      </c>
      <c r="H4" s="3258"/>
      <c r="I4" s="3257" t="s">
        <v>2647</v>
      </c>
      <c r="J4" s="3258"/>
      <c r="K4" s="610" t="s">
        <v>2648</v>
      </c>
      <c r="L4" s="1130"/>
      <c r="M4" s="1131"/>
      <c r="N4" s="1131"/>
      <c r="O4" s="1131"/>
      <c r="P4" s="3397" t="s">
        <v>2649</v>
      </c>
      <c r="Q4" s="3398"/>
      <c r="R4" s="3401" t="s">
        <v>2645</v>
      </c>
      <c r="S4" s="3402"/>
      <c r="T4" s="3401" t="s">
        <v>2646</v>
      </c>
      <c r="U4" s="3402"/>
      <c r="V4" s="3274" t="s">
        <v>2647</v>
      </c>
      <c r="W4" s="3274"/>
      <c r="X4" s="1813"/>
      <c r="Y4" s="3401" t="s">
        <v>2649</v>
      </c>
      <c r="Z4" s="3402"/>
      <c r="AA4" s="3396" t="s">
        <v>2645</v>
      </c>
      <c r="AB4" s="3286" t="s">
        <v>2646</v>
      </c>
      <c r="AC4" s="3396" t="s">
        <v>2647</v>
      </c>
    </row>
    <row r="5" spans="1:29" ht="15">
      <c r="A5" s="404"/>
      <c r="B5" s="405"/>
      <c r="C5" s="3403" t="s">
        <v>2540</v>
      </c>
      <c r="D5" s="3278"/>
      <c r="E5" s="3404" t="s">
        <v>2541</v>
      </c>
      <c r="F5" s="3289"/>
      <c r="G5" s="3403" t="s">
        <v>2542</v>
      </c>
      <c r="H5" s="3278"/>
      <c r="I5" s="3403" t="s">
        <v>2543</v>
      </c>
      <c r="J5" s="3278"/>
      <c r="K5" s="610"/>
      <c r="L5" s="1130"/>
      <c r="M5" s="1131"/>
      <c r="N5" s="1131"/>
      <c r="O5" s="1131"/>
      <c r="P5" s="3399"/>
      <c r="Q5" s="3264"/>
      <c r="R5" s="3269"/>
      <c r="S5" s="3270"/>
      <c r="T5" s="3269"/>
      <c r="U5" s="3270"/>
      <c r="V5" s="3274"/>
      <c r="W5" s="3274"/>
      <c r="X5" s="1813"/>
      <c r="Y5" s="3269"/>
      <c r="Z5" s="3270"/>
      <c r="AA5" s="3286"/>
      <c r="AB5" s="3286"/>
      <c r="AC5" s="3286"/>
    </row>
    <row r="6" spans="1:29" ht="15.75" thickBot="1">
      <c r="A6" s="406"/>
      <c r="B6" s="407"/>
      <c r="C6" s="3275" t="s">
        <v>2544</v>
      </c>
      <c r="D6" s="3276"/>
      <c r="E6" s="3283" t="s">
        <v>2544</v>
      </c>
      <c r="F6" s="3284"/>
      <c r="G6" s="3275" t="s">
        <v>2544</v>
      </c>
      <c r="H6" s="3276"/>
      <c r="I6" s="3275" t="s">
        <v>2544</v>
      </c>
      <c r="J6" s="3276"/>
      <c r="K6" s="610" t="s">
        <v>2545</v>
      </c>
      <c r="L6" s="1130"/>
      <c r="M6" s="1131"/>
      <c r="N6" s="1131"/>
      <c r="O6" s="1131"/>
      <c r="P6" s="3400"/>
      <c r="Q6" s="3266"/>
      <c r="R6" s="3269"/>
      <c r="S6" s="3270"/>
      <c r="T6" s="3271"/>
      <c r="U6" s="3272"/>
      <c r="V6" s="3274"/>
      <c r="W6" s="3274"/>
      <c r="X6" s="1813"/>
      <c r="Y6" s="3271"/>
      <c r="Z6" s="3272"/>
      <c r="AA6" s="3287"/>
      <c r="AB6" s="3287"/>
      <c r="AC6" s="3287"/>
    </row>
    <row r="7" spans="1:29" s="117" customFormat="1" ht="15.75" thickBot="1">
      <c r="A7" s="408" t="s">
        <v>2546</v>
      </c>
      <c r="B7" s="409"/>
      <c r="C7" s="410">
        <f>'数据-取费表'!B2</f>
        <v>43923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1" t="s">
        <v>2547</v>
      </c>
      <c r="Q7" s="3282"/>
      <c r="R7" s="770" t="s">
        <v>17</v>
      </c>
      <c r="S7" s="771">
        <f t="shared" ref="S7:S14" si="0">F7</f>
        <v>0</v>
      </c>
      <c r="T7" s="770" t="s">
        <v>17</v>
      </c>
      <c r="U7" s="771">
        <f t="shared" ref="U7:U14" si="1">H7</f>
        <v>0</v>
      </c>
      <c r="V7" s="770" t="s">
        <v>17</v>
      </c>
      <c r="W7" s="771">
        <f t="shared" ref="W7:W14" si="2">J7</f>
        <v>0</v>
      </c>
      <c r="X7" s="772"/>
      <c r="Y7" s="3281" t="s">
        <v>2547</v>
      </c>
      <c r="Z7" s="328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1" t="s">
        <v>2550</v>
      </c>
      <c r="Q8" s="3280"/>
      <c r="R8" s="770" t="s">
        <v>17</v>
      </c>
      <c r="S8" s="771">
        <f t="shared" si="0"/>
        <v>0</v>
      </c>
      <c r="T8" s="770" t="s">
        <v>17</v>
      </c>
      <c r="U8" s="771">
        <f t="shared" si="1"/>
        <v>0</v>
      </c>
      <c r="V8" s="770" t="s">
        <v>17</v>
      </c>
      <c r="W8" s="771">
        <f t="shared" si="2"/>
        <v>0</v>
      </c>
      <c r="X8" s="772"/>
      <c r="Y8" s="3281" t="s">
        <v>2550</v>
      </c>
      <c r="Z8" s="328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0" t="s">
        <v>2553</v>
      </c>
      <c r="Q9" s="1795" t="str">
        <f t="shared" ref="Q9:Q14" si="6">B9</f>
        <v>用途</v>
      </c>
      <c r="R9" s="770" t="s">
        <v>17</v>
      </c>
      <c r="S9" s="771">
        <f t="shared" si="0"/>
        <v>100</v>
      </c>
      <c r="T9" s="770" t="s">
        <v>17</v>
      </c>
      <c r="U9" s="771">
        <f t="shared" si="1"/>
        <v>100</v>
      </c>
      <c r="V9" s="770" t="s">
        <v>17</v>
      </c>
      <c r="W9" s="771">
        <f t="shared" si="2"/>
        <v>100</v>
      </c>
      <c r="X9" s="772"/>
      <c r="Y9" s="309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0"/>
      <c r="Q11" s="1795">
        <f t="shared" si="6"/>
        <v>111</v>
      </c>
      <c r="R11" s="770" t="s">
        <v>17</v>
      </c>
      <c r="S11" s="771">
        <f t="shared" si="0"/>
        <v>100</v>
      </c>
      <c r="T11" s="770" t="s">
        <v>17</v>
      </c>
      <c r="U11" s="771">
        <f t="shared" si="1"/>
        <v>100</v>
      </c>
      <c r="V11" s="770" t="s">
        <v>17</v>
      </c>
      <c r="W11" s="771">
        <f t="shared" si="2"/>
        <v>100</v>
      </c>
      <c r="X11" s="772"/>
      <c r="Y11" s="30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7" t="s">
        <v>2558</v>
      </c>
      <c r="Q14" s="1810" t="str">
        <f t="shared" si="6"/>
        <v>交通便捷度</v>
      </c>
      <c r="R14" s="774" t="s">
        <v>17</v>
      </c>
      <c r="S14" s="775">
        <f t="shared" si="0"/>
        <v>100</v>
      </c>
      <c r="T14" s="774" t="s">
        <v>17</v>
      </c>
      <c r="U14" s="775">
        <f t="shared" si="1"/>
        <v>100</v>
      </c>
      <c r="V14" s="774" t="s">
        <v>17</v>
      </c>
      <c r="W14" s="775">
        <f t="shared" si="2"/>
        <v>100</v>
      </c>
      <c r="X14" s="1813"/>
      <c r="Y14" s="3247"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8"/>
      <c r="Q15" s="1810"/>
      <c r="R15" s="774"/>
      <c r="S15" s="775"/>
      <c r="T15" s="774"/>
      <c r="U15" s="775"/>
      <c r="V15" s="774"/>
      <c r="W15" s="775"/>
      <c r="X15" s="1813"/>
      <c r="Y15" s="3248"/>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8"/>
      <c r="Q16" s="1810" t="str">
        <f>B16</f>
        <v>公共配套设施</v>
      </c>
      <c r="R16" s="774" t="s">
        <v>17</v>
      </c>
      <c r="S16" s="775">
        <f>F16</f>
        <v>100</v>
      </c>
      <c r="T16" s="774" t="s">
        <v>17</v>
      </c>
      <c r="U16" s="775">
        <f>H16</f>
        <v>100</v>
      </c>
      <c r="V16" s="774" t="s">
        <v>17</v>
      </c>
      <c r="W16" s="775">
        <f>J16</f>
        <v>100</v>
      </c>
      <c r="X16" s="1813"/>
      <c r="Y16" s="3248"/>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48"/>
      <c r="Q17" s="1810"/>
      <c r="R17" s="774"/>
      <c r="S17" s="775"/>
      <c r="T17" s="774"/>
      <c r="U17" s="775"/>
      <c r="V17" s="774"/>
      <c r="W17" s="775"/>
      <c r="X17" s="1813"/>
      <c r="Y17" s="3248"/>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8"/>
      <c r="Q18" s="1810" t="str">
        <f>B18</f>
        <v>基础设施水平</v>
      </c>
      <c r="R18" s="774" t="s">
        <v>17</v>
      </c>
      <c r="S18" s="775">
        <f>F18</f>
        <v>100</v>
      </c>
      <c r="T18" s="774" t="s">
        <v>17</v>
      </c>
      <c r="U18" s="775">
        <f>H18</f>
        <v>100</v>
      </c>
      <c r="V18" s="774" t="s">
        <v>17</v>
      </c>
      <c r="W18" s="775">
        <f>J18</f>
        <v>100</v>
      </c>
      <c r="X18" s="1813"/>
      <c r="Y18" s="3248"/>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48"/>
      <c r="Q19" s="1810"/>
      <c r="R19" s="774"/>
      <c r="S19" s="775"/>
      <c r="T19" s="774"/>
      <c r="U19" s="775"/>
      <c r="V19" s="774"/>
      <c r="W19" s="775"/>
      <c r="X19" s="1813"/>
      <c r="Y19" s="3248"/>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8"/>
      <c r="Q20" s="1810" t="str">
        <f>B20</f>
        <v>自然及人文环境</v>
      </c>
      <c r="R20" s="774" t="s">
        <v>17</v>
      </c>
      <c r="S20" s="775">
        <f>F20</f>
        <v>100</v>
      </c>
      <c r="T20" s="774" t="s">
        <v>17</v>
      </c>
      <c r="U20" s="775">
        <f>H20</f>
        <v>100</v>
      </c>
      <c r="V20" s="774" t="s">
        <v>17</v>
      </c>
      <c r="W20" s="775">
        <f>J20</f>
        <v>100</v>
      </c>
      <c r="X20" s="1813"/>
      <c r="Y20" s="324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8"/>
      <c r="Q21" s="1810"/>
      <c r="R21" s="774"/>
      <c r="S21" s="775"/>
      <c r="T21" s="774"/>
      <c r="U21" s="775"/>
      <c r="V21" s="774"/>
      <c r="W21" s="775"/>
      <c r="X21" s="1813"/>
      <c r="Y21" s="3248"/>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8"/>
      <c r="Q22" s="1810" t="str">
        <f>B22</f>
        <v>楼层</v>
      </c>
      <c r="R22" s="774" t="s">
        <v>17</v>
      </c>
      <c r="S22" s="775">
        <f>F22</f>
        <v>100</v>
      </c>
      <c r="T22" s="774" t="s">
        <v>17</v>
      </c>
      <c r="U22" s="775">
        <f>H22</f>
        <v>100</v>
      </c>
      <c r="V22" s="774" t="s">
        <v>17</v>
      </c>
      <c r="W22" s="775">
        <f>J22</f>
        <v>100</v>
      </c>
      <c r="X22" s="1813"/>
      <c r="Y22" s="324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8"/>
      <c r="Q23" s="1810">
        <f>B23</f>
        <v>111</v>
      </c>
      <c r="R23" s="774" t="s">
        <v>17</v>
      </c>
      <c r="S23" s="775">
        <f>F23</f>
        <v>100</v>
      </c>
      <c r="T23" s="774" t="s">
        <v>17</v>
      </c>
      <c r="U23" s="775">
        <f>H23</f>
        <v>100</v>
      </c>
      <c r="V23" s="774" t="s">
        <v>17</v>
      </c>
      <c r="W23" s="775">
        <f>J23</f>
        <v>100</v>
      </c>
      <c r="X23" s="1813"/>
      <c r="Y23" s="324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8"/>
      <c r="Q24" s="1810">
        <f t="shared" ref="Q24:Q36" si="11">B24</f>
        <v>111</v>
      </c>
      <c r="R24" s="774" t="s">
        <v>17</v>
      </c>
      <c r="S24" s="775">
        <f>F24</f>
        <v>100</v>
      </c>
      <c r="T24" s="774" t="s">
        <v>17</v>
      </c>
      <c r="U24" s="775">
        <f>H24</f>
        <v>100</v>
      </c>
      <c r="V24" s="774" t="s">
        <v>17</v>
      </c>
      <c r="W24" s="775">
        <f>J24</f>
        <v>100</v>
      </c>
      <c r="X24" s="1813"/>
      <c r="Y24" s="324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8"/>
      <c r="Q25" s="1795">
        <f t="shared" si="11"/>
        <v>111</v>
      </c>
      <c r="R25" s="770" t="s">
        <v>17</v>
      </c>
      <c r="S25" s="771">
        <f>F25</f>
        <v>100</v>
      </c>
      <c r="T25" s="770" t="s">
        <v>17</v>
      </c>
      <c r="U25" s="771">
        <f>H25</f>
        <v>100</v>
      </c>
      <c r="V25" s="770" t="s">
        <v>17</v>
      </c>
      <c r="W25" s="771">
        <f>J25</f>
        <v>100</v>
      </c>
      <c r="X25" s="772"/>
      <c r="Y25" s="3248"/>
      <c r="Z25" s="55">
        <f>Q25</f>
        <v>111</v>
      </c>
      <c r="AA25" s="1811">
        <f>D25/F25</f>
        <v>1</v>
      </c>
      <c r="AB25" s="1811">
        <f>D25/H25</f>
        <v>1</v>
      </c>
      <c r="AC25" s="1811">
        <f>D25/J25</f>
        <v>1</v>
      </c>
    </row>
    <row r="26" spans="1:29" ht="1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05"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2"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2"/>
      <c r="Q27" s="776" t="str">
        <f t="shared" si="11"/>
        <v>项目停车位配比</v>
      </c>
      <c r="R27" s="777" t="s">
        <v>17</v>
      </c>
      <c r="S27" s="778">
        <f t="shared" si="12"/>
        <v>100</v>
      </c>
      <c r="T27" s="777" t="s">
        <v>17</v>
      </c>
      <c r="U27" s="778">
        <f t="shared" si="13"/>
        <v>100</v>
      </c>
      <c r="V27" s="777" t="s">
        <v>17</v>
      </c>
      <c r="W27" s="778">
        <f t="shared" si="14"/>
        <v>100</v>
      </c>
      <c r="X27" s="779"/>
      <c r="Y27" s="3252"/>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2"/>
      <c r="Q28" s="1810" t="str">
        <f t="shared" si="11"/>
        <v>公共部分装修</v>
      </c>
      <c r="R28" s="774" t="s">
        <v>17</v>
      </c>
      <c r="S28" s="775">
        <f t="shared" si="12"/>
        <v>100</v>
      </c>
      <c r="T28" s="774" t="s">
        <v>17</v>
      </c>
      <c r="U28" s="775">
        <f t="shared" si="13"/>
        <v>100</v>
      </c>
      <c r="V28" s="774" t="s">
        <v>17</v>
      </c>
      <c r="W28" s="775">
        <f t="shared" si="14"/>
        <v>100</v>
      </c>
      <c r="X28" s="1813"/>
      <c r="Y28" s="3252"/>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2"/>
      <c r="Q29" s="1810" t="str">
        <f t="shared" si="11"/>
        <v>成新率</v>
      </c>
      <c r="R29" s="774" t="s">
        <v>17</v>
      </c>
      <c r="S29" s="775" t="e">
        <f t="shared" si="12"/>
        <v>#N/A</v>
      </c>
      <c r="T29" s="774" t="s">
        <v>17</v>
      </c>
      <c r="U29" s="775" t="e">
        <f t="shared" si="13"/>
        <v>#N/A</v>
      </c>
      <c r="V29" s="774" t="s">
        <v>17</v>
      </c>
      <c r="W29" s="775" t="e">
        <f t="shared" si="14"/>
        <v>#N/A</v>
      </c>
      <c r="X29" s="1813"/>
      <c r="Y29" s="3252"/>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2"/>
      <c r="Q30" s="1810" t="str">
        <f t="shared" si="11"/>
        <v>物业等级</v>
      </c>
      <c r="R30" s="774" t="s">
        <v>17</v>
      </c>
      <c r="S30" s="775">
        <f t="shared" si="12"/>
        <v>100</v>
      </c>
      <c r="T30" s="774" t="s">
        <v>17</v>
      </c>
      <c r="U30" s="775">
        <f t="shared" si="13"/>
        <v>100</v>
      </c>
      <c r="V30" s="774" t="s">
        <v>17</v>
      </c>
      <c r="W30" s="775">
        <f t="shared" si="14"/>
        <v>100</v>
      </c>
      <c r="X30" s="1813"/>
      <c r="Y30" s="3252"/>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2"/>
      <c r="Q31" s="1795" t="str">
        <f t="shared" si="11"/>
        <v>停车位面积</v>
      </c>
      <c r="R31" s="770" t="s">
        <v>17</v>
      </c>
      <c r="S31" s="771" t="e">
        <f t="shared" si="12"/>
        <v>#N/A</v>
      </c>
      <c r="T31" s="770" t="s">
        <v>17</v>
      </c>
      <c r="U31" s="771" t="e">
        <f t="shared" si="13"/>
        <v>#N/A</v>
      </c>
      <c r="V31" s="770" t="s">
        <v>17</v>
      </c>
      <c r="W31" s="771" t="e">
        <f t="shared" si="14"/>
        <v>#N/A</v>
      </c>
      <c r="X31" s="772"/>
      <c r="Y31" s="325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2" t="s">
        <v>2563</v>
      </c>
      <c r="Q32" s="1810" t="str">
        <f t="shared" si="11"/>
        <v>车位类型</v>
      </c>
      <c r="R32" s="774" t="s">
        <v>17</v>
      </c>
      <c r="S32" s="775">
        <f t="shared" si="12"/>
        <v>100</v>
      </c>
      <c r="T32" s="774" t="s">
        <v>17</v>
      </c>
      <c r="U32" s="775">
        <f t="shared" si="13"/>
        <v>100</v>
      </c>
      <c r="V32" s="774" t="s">
        <v>17</v>
      </c>
      <c r="W32" s="775">
        <f t="shared" si="14"/>
        <v>100</v>
      </c>
      <c r="X32" s="1813"/>
      <c r="Y32" s="3252"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2"/>
      <c r="Q33" s="1810" t="str">
        <f t="shared" si="11"/>
        <v>是否直接入户</v>
      </c>
      <c r="R33" s="774" t="s">
        <v>17</v>
      </c>
      <c r="S33" s="775">
        <f t="shared" si="12"/>
        <v>100</v>
      </c>
      <c r="T33" s="774" t="s">
        <v>17</v>
      </c>
      <c r="U33" s="775">
        <f t="shared" si="13"/>
        <v>100</v>
      </c>
      <c r="V33" s="774" t="s">
        <v>17</v>
      </c>
      <c r="W33" s="775">
        <f t="shared" si="14"/>
        <v>100</v>
      </c>
      <c r="X33" s="1813"/>
      <c r="Y33" s="325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2"/>
      <c r="Q34" s="1810">
        <f t="shared" si="11"/>
        <v>111</v>
      </c>
      <c r="R34" s="774" t="s">
        <v>17</v>
      </c>
      <c r="S34" s="775">
        <f t="shared" si="12"/>
        <v>100</v>
      </c>
      <c r="T34" s="774" t="s">
        <v>17</v>
      </c>
      <c r="U34" s="775">
        <f t="shared" si="13"/>
        <v>100</v>
      </c>
      <c r="V34" s="774" t="s">
        <v>17</v>
      </c>
      <c r="W34" s="775">
        <f t="shared" si="14"/>
        <v>100</v>
      </c>
      <c r="X34" s="1813"/>
      <c r="Y34" s="325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2"/>
      <c r="Q35" s="776">
        <f t="shared" si="11"/>
        <v>111</v>
      </c>
      <c r="R35" s="777" t="s">
        <v>17</v>
      </c>
      <c r="S35" s="778">
        <f t="shared" si="12"/>
        <v>100</v>
      </c>
      <c r="T35" s="777" t="s">
        <v>17</v>
      </c>
      <c r="U35" s="778">
        <f t="shared" si="13"/>
        <v>100</v>
      </c>
      <c r="V35" s="777" t="s">
        <v>17</v>
      </c>
      <c r="W35" s="778">
        <f t="shared" si="14"/>
        <v>100</v>
      </c>
      <c r="X35" s="779"/>
      <c r="Y35" s="325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2"/>
      <c r="Q36" s="1810">
        <f t="shared" si="11"/>
        <v>111</v>
      </c>
      <c r="R36" s="774" t="s">
        <v>17</v>
      </c>
      <c r="S36" s="775">
        <f t="shared" si="12"/>
        <v>100</v>
      </c>
      <c r="T36" s="774" t="s">
        <v>17</v>
      </c>
      <c r="U36" s="775">
        <f t="shared" si="13"/>
        <v>100</v>
      </c>
      <c r="V36" s="774" t="s">
        <v>17</v>
      </c>
      <c r="W36" s="775">
        <f t="shared" si="14"/>
        <v>100</v>
      </c>
      <c r="X36" s="1813"/>
      <c r="Y36" s="3252"/>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240" t="str">
        <f>A37</f>
        <v>成交单价</v>
      </c>
      <c r="Q37" s="3240"/>
      <c r="R37" s="3241">
        <f>E37</f>
        <v>0</v>
      </c>
      <c r="S37" s="3241"/>
      <c r="T37" s="3241">
        <f>G37</f>
        <v>0</v>
      </c>
      <c r="U37" s="3241"/>
      <c r="V37" s="3241">
        <f>I37</f>
        <v>0</v>
      </c>
      <c r="W37" s="3241"/>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393" t="str">
        <f>A39</f>
        <v>估价对象XX用房的比较价值（楼面单价，元/平方米）</v>
      </c>
      <c r="Q39" s="3394"/>
      <c r="R39" s="3395" t="e">
        <f>IF(F1="售价",ROUND(AVERAGE(R38:V38),0),ROUND(AVERAGE(R38:V38),1))</f>
        <v>#DIV/0!</v>
      </c>
      <c r="S39" s="3395"/>
      <c r="T39" s="3395"/>
      <c r="U39" s="3395"/>
      <c r="V39" s="3395"/>
      <c r="W39" s="339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57" t="s">
        <v>2644</v>
      </c>
      <c r="D4" s="3258"/>
      <c r="E4" s="3259" t="s">
        <v>2645</v>
      </c>
      <c r="F4" s="3260"/>
      <c r="G4" s="3257" t="s">
        <v>2646</v>
      </c>
      <c r="H4" s="3258"/>
      <c r="I4" s="3257" t="s">
        <v>2647</v>
      </c>
      <c r="J4" s="3258"/>
      <c r="K4" s="610" t="s">
        <v>2648</v>
      </c>
      <c r="L4" s="1130"/>
      <c r="M4" s="1131"/>
      <c r="N4" s="1131"/>
      <c r="O4" s="1131"/>
      <c r="P4" s="3397" t="s">
        <v>2649</v>
      </c>
      <c r="Q4" s="3398"/>
      <c r="R4" s="3401" t="s">
        <v>2645</v>
      </c>
      <c r="S4" s="3402"/>
      <c r="T4" s="3401" t="s">
        <v>2646</v>
      </c>
      <c r="U4" s="3402"/>
      <c r="V4" s="3274" t="s">
        <v>2647</v>
      </c>
      <c r="W4" s="3274"/>
      <c r="X4" s="1813"/>
      <c r="Y4" s="3401" t="s">
        <v>2649</v>
      </c>
      <c r="Z4" s="3402"/>
      <c r="AA4" s="3396" t="s">
        <v>2645</v>
      </c>
      <c r="AB4" s="3286" t="s">
        <v>2646</v>
      </c>
      <c r="AC4" s="3396" t="s">
        <v>2647</v>
      </c>
    </row>
    <row r="5" spans="1:29" ht="15">
      <c r="A5" s="404"/>
      <c r="B5" s="405"/>
      <c r="C5" s="3403" t="s">
        <v>2540</v>
      </c>
      <c r="D5" s="3278"/>
      <c r="E5" s="3404" t="s">
        <v>2541</v>
      </c>
      <c r="F5" s="3289"/>
      <c r="G5" s="3403" t="s">
        <v>2542</v>
      </c>
      <c r="H5" s="3278"/>
      <c r="I5" s="3403" t="s">
        <v>2543</v>
      </c>
      <c r="J5" s="3278"/>
      <c r="K5" s="610"/>
      <c r="L5" s="1130"/>
      <c r="M5" s="1131"/>
      <c r="N5" s="1131"/>
      <c r="O5" s="1131"/>
      <c r="P5" s="3399"/>
      <c r="Q5" s="3264"/>
      <c r="R5" s="3269"/>
      <c r="S5" s="3270"/>
      <c r="T5" s="3269"/>
      <c r="U5" s="3270"/>
      <c r="V5" s="3274"/>
      <c r="W5" s="3274"/>
      <c r="X5" s="1813"/>
      <c r="Y5" s="3269"/>
      <c r="Z5" s="3270"/>
      <c r="AA5" s="3286"/>
      <c r="AB5" s="3286"/>
      <c r="AC5" s="3286"/>
    </row>
    <row r="6" spans="1:29" ht="15.75" thickBot="1">
      <c r="A6" s="406"/>
      <c r="B6" s="407"/>
      <c r="C6" s="3275" t="s">
        <v>2544</v>
      </c>
      <c r="D6" s="3276"/>
      <c r="E6" s="3283" t="s">
        <v>2544</v>
      </c>
      <c r="F6" s="3284"/>
      <c r="G6" s="3275" t="s">
        <v>2544</v>
      </c>
      <c r="H6" s="3276"/>
      <c r="I6" s="3275" t="s">
        <v>2544</v>
      </c>
      <c r="J6" s="3276"/>
      <c r="K6" s="610" t="s">
        <v>2545</v>
      </c>
      <c r="L6" s="1130"/>
      <c r="M6" s="1131"/>
      <c r="N6" s="1131"/>
      <c r="O6" s="1131"/>
      <c r="P6" s="3400"/>
      <c r="Q6" s="3266"/>
      <c r="R6" s="3269"/>
      <c r="S6" s="3270"/>
      <c r="T6" s="3271"/>
      <c r="U6" s="3272"/>
      <c r="V6" s="3274"/>
      <c r="W6" s="3274"/>
      <c r="X6" s="1813"/>
      <c r="Y6" s="3271"/>
      <c r="Z6" s="3272"/>
      <c r="AA6" s="3287"/>
      <c r="AB6" s="3287"/>
      <c r="AC6" s="3287"/>
    </row>
    <row r="7" spans="1:29" s="117" customFormat="1" ht="15.75" thickBot="1">
      <c r="A7" s="408" t="s">
        <v>2546</v>
      </c>
      <c r="B7" s="409"/>
      <c r="C7" s="410">
        <f>'数据-取费表'!B2</f>
        <v>43923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81" t="s">
        <v>2547</v>
      </c>
      <c r="Q7" s="3282"/>
      <c r="R7" s="770" t="s">
        <v>17</v>
      </c>
      <c r="S7" s="771">
        <f t="shared" ref="S7:S14" si="0">F7</f>
        <v>0</v>
      </c>
      <c r="T7" s="770" t="s">
        <v>17</v>
      </c>
      <c r="U7" s="771">
        <f t="shared" ref="U7:U14" si="1">H7</f>
        <v>0</v>
      </c>
      <c r="V7" s="770" t="s">
        <v>17</v>
      </c>
      <c r="W7" s="771">
        <f t="shared" ref="W7:W14" si="2">J7</f>
        <v>0</v>
      </c>
      <c r="X7" s="772"/>
      <c r="Y7" s="3281" t="s">
        <v>2547</v>
      </c>
      <c r="Z7" s="328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1" t="s">
        <v>2550</v>
      </c>
      <c r="Q8" s="3280"/>
      <c r="R8" s="770" t="s">
        <v>17</v>
      </c>
      <c r="S8" s="771">
        <f t="shared" si="0"/>
        <v>0</v>
      </c>
      <c r="T8" s="770" t="s">
        <v>17</v>
      </c>
      <c r="U8" s="771">
        <f t="shared" si="1"/>
        <v>0</v>
      </c>
      <c r="V8" s="770" t="s">
        <v>17</v>
      </c>
      <c r="W8" s="771">
        <f t="shared" si="2"/>
        <v>0</v>
      </c>
      <c r="X8" s="772"/>
      <c r="Y8" s="3281" t="s">
        <v>2550</v>
      </c>
      <c r="Z8" s="328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0" t="s">
        <v>2553</v>
      </c>
      <c r="Q9" s="1795" t="str">
        <f t="shared" ref="Q9:Q14" si="6">B9</f>
        <v>用途</v>
      </c>
      <c r="R9" s="770" t="s">
        <v>17</v>
      </c>
      <c r="S9" s="771">
        <f t="shared" si="0"/>
        <v>100</v>
      </c>
      <c r="T9" s="770" t="s">
        <v>17</v>
      </c>
      <c r="U9" s="771">
        <f t="shared" si="1"/>
        <v>100</v>
      </c>
      <c r="V9" s="770" t="s">
        <v>17</v>
      </c>
      <c r="W9" s="771">
        <f t="shared" si="2"/>
        <v>100</v>
      </c>
      <c r="X9" s="772"/>
      <c r="Y9" s="309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0"/>
      <c r="Q11" s="1795">
        <f t="shared" si="6"/>
        <v>111</v>
      </c>
      <c r="R11" s="770" t="s">
        <v>17</v>
      </c>
      <c r="S11" s="771">
        <f t="shared" si="0"/>
        <v>100</v>
      </c>
      <c r="T11" s="770" t="s">
        <v>17</v>
      </c>
      <c r="U11" s="771">
        <f t="shared" si="1"/>
        <v>100</v>
      </c>
      <c r="V11" s="770" t="s">
        <v>17</v>
      </c>
      <c r="W11" s="771">
        <f t="shared" si="2"/>
        <v>100</v>
      </c>
      <c r="X11" s="772"/>
      <c r="Y11" s="309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7" t="s">
        <v>2558</v>
      </c>
      <c r="Q14" s="1810" t="str">
        <f t="shared" si="6"/>
        <v>交通便捷度</v>
      </c>
      <c r="R14" s="774" t="s">
        <v>17</v>
      </c>
      <c r="S14" s="775">
        <f t="shared" si="0"/>
        <v>100</v>
      </c>
      <c r="T14" s="774" t="s">
        <v>17</v>
      </c>
      <c r="U14" s="775">
        <f t="shared" si="1"/>
        <v>100</v>
      </c>
      <c r="V14" s="774" t="s">
        <v>17</v>
      </c>
      <c r="W14" s="775">
        <f t="shared" si="2"/>
        <v>100</v>
      </c>
      <c r="X14" s="1813"/>
      <c r="Y14" s="3247"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8"/>
      <c r="Q15" s="1810"/>
      <c r="R15" s="774"/>
      <c r="S15" s="775"/>
      <c r="T15" s="774"/>
      <c r="U15" s="775"/>
      <c r="V15" s="774"/>
      <c r="W15" s="775"/>
      <c r="X15" s="1813"/>
      <c r="Y15" s="3248"/>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8"/>
      <c r="Q16" s="1810" t="str">
        <f>B16</f>
        <v>公共配套设施</v>
      </c>
      <c r="R16" s="774" t="s">
        <v>17</v>
      </c>
      <c r="S16" s="775">
        <f>F16</f>
        <v>100</v>
      </c>
      <c r="T16" s="774" t="s">
        <v>17</v>
      </c>
      <c r="U16" s="775">
        <f>H16</f>
        <v>100</v>
      </c>
      <c r="V16" s="774" t="s">
        <v>17</v>
      </c>
      <c r="W16" s="775">
        <f>J16</f>
        <v>100</v>
      </c>
      <c r="X16" s="1813"/>
      <c r="Y16" s="3248"/>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48"/>
      <c r="Q17" s="1810"/>
      <c r="R17" s="774"/>
      <c r="S17" s="775"/>
      <c r="T17" s="774"/>
      <c r="U17" s="775"/>
      <c r="V17" s="774"/>
      <c r="W17" s="775"/>
      <c r="X17" s="1813"/>
      <c r="Y17" s="3248"/>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8"/>
      <c r="Q18" s="1810" t="str">
        <f>B18</f>
        <v>基础设施水平</v>
      </c>
      <c r="R18" s="774" t="s">
        <v>17</v>
      </c>
      <c r="S18" s="775">
        <f>F18</f>
        <v>100</v>
      </c>
      <c r="T18" s="774" t="s">
        <v>17</v>
      </c>
      <c r="U18" s="775">
        <f>H18</f>
        <v>100</v>
      </c>
      <c r="V18" s="774" t="s">
        <v>17</v>
      </c>
      <c r="W18" s="775">
        <f>J18</f>
        <v>100</v>
      </c>
      <c r="X18" s="1813"/>
      <c r="Y18" s="3248"/>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48"/>
      <c r="Q19" s="1810"/>
      <c r="R19" s="774"/>
      <c r="S19" s="775"/>
      <c r="T19" s="774"/>
      <c r="U19" s="775"/>
      <c r="V19" s="774"/>
      <c r="W19" s="775"/>
      <c r="X19" s="1813"/>
      <c r="Y19" s="3248"/>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8"/>
      <c r="Q20" s="1810" t="str">
        <f>B20</f>
        <v>自然及人文环境</v>
      </c>
      <c r="R20" s="774" t="s">
        <v>17</v>
      </c>
      <c r="S20" s="775">
        <f>F20</f>
        <v>100</v>
      </c>
      <c r="T20" s="774" t="s">
        <v>17</v>
      </c>
      <c r="U20" s="775">
        <f>H20</f>
        <v>100</v>
      </c>
      <c r="V20" s="774" t="s">
        <v>17</v>
      </c>
      <c r="W20" s="775">
        <f>J20</f>
        <v>100</v>
      </c>
      <c r="X20" s="1813"/>
      <c r="Y20" s="324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8"/>
      <c r="Q21" s="1810"/>
      <c r="R21" s="774"/>
      <c r="S21" s="775"/>
      <c r="T21" s="774"/>
      <c r="U21" s="775"/>
      <c r="V21" s="774"/>
      <c r="W21" s="775"/>
      <c r="X21" s="1813"/>
      <c r="Y21" s="3248"/>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8"/>
      <c r="Q22" s="1810" t="str">
        <f>B22</f>
        <v>楼层</v>
      </c>
      <c r="R22" s="774" t="s">
        <v>17</v>
      </c>
      <c r="S22" s="775">
        <f>F22</f>
        <v>100</v>
      </c>
      <c r="T22" s="774" t="s">
        <v>17</v>
      </c>
      <c r="U22" s="775">
        <f>H22</f>
        <v>100</v>
      </c>
      <c r="V22" s="774" t="s">
        <v>17</v>
      </c>
      <c r="W22" s="775">
        <f>J22</f>
        <v>100</v>
      </c>
      <c r="X22" s="1813"/>
      <c r="Y22" s="3248"/>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8"/>
      <c r="Q23" s="1810">
        <f>B23</f>
        <v>111</v>
      </c>
      <c r="R23" s="774" t="s">
        <v>17</v>
      </c>
      <c r="S23" s="775">
        <f>F23</f>
        <v>100</v>
      </c>
      <c r="T23" s="774" t="s">
        <v>17</v>
      </c>
      <c r="U23" s="775">
        <f>H23</f>
        <v>100</v>
      </c>
      <c r="V23" s="774" t="s">
        <v>17</v>
      </c>
      <c r="W23" s="775">
        <f>J23</f>
        <v>100</v>
      </c>
      <c r="X23" s="1813"/>
      <c r="Y23" s="3248"/>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8"/>
      <c r="Q24" s="1810">
        <f t="shared" ref="Q24:Q34" si="11">B24</f>
        <v>111</v>
      </c>
      <c r="R24" s="774" t="s">
        <v>17</v>
      </c>
      <c r="S24" s="775">
        <f>F24</f>
        <v>100</v>
      </c>
      <c r="T24" s="774" t="s">
        <v>17</v>
      </c>
      <c r="U24" s="775">
        <f>H24</f>
        <v>100</v>
      </c>
      <c r="V24" s="774" t="s">
        <v>17</v>
      </c>
      <c r="W24" s="775">
        <f>J24</f>
        <v>100</v>
      </c>
      <c r="X24" s="1813"/>
      <c r="Y24" s="3248"/>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48"/>
      <c r="Q25" s="1795">
        <f t="shared" si="11"/>
        <v>111</v>
      </c>
      <c r="R25" s="770" t="s">
        <v>17</v>
      </c>
      <c r="S25" s="771">
        <f>F25</f>
        <v>100</v>
      </c>
      <c r="T25" s="770" t="s">
        <v>17</v>
      </c>
      <c r="U25" s="771">
        <f>H25</f>
        <v>100</v>
      </c>
      <c r="V25" s="770" t="s">
        <v>17</v>
      </c>
      <c r="W25" s="771">
        <f>J25</f>
        <v>100</v>
      </c>
      <c r="X25" s="772"/>
      <c r="Y25" s="3248"/>
      <c r="Z25" s="55">
        <f>Q25</f>
        <v>111</v>
      </c>
      <c r="AA25" s="1811">
        <f>D25/F25</f>
        <v>1</v>
      </c>
      <c r="AB25" s="1811">
        <f>D25/H25</f>
        <v>1</v>
      </c>
      <c r="AC25" s="1811">
        <f>D25/J25</f>
        <v>1</v>
      </c>
    </row>
    <row r="26" spans="1:29" ht="1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405"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2"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2"/>
      <c r="Q27" s="776" t="str">
        <f t="shared" si="11"/>
        <v>成新率</v>
      </c>
      <c r="R27" s="777" t="s">
        <v>17</v>
      </c>
      <c r="S27" s="778" t="e">
        <f t="shared" si="12"/>
        <v>#N/A</v>
      </c>
      <c r="T27" s="777" t="s">
        <v>17</v>
      </c>
      <c r="U27" s="778" t="e">
        <f t="shared" si="13"/>
        <v>#N/A</v>
      </c>
      <c r="V27" s="777" t="s">
        <v>17</v>
      </c>
      <c r="W27" s="778" t="e">
        <f t="shared" si="14"/>
        <v>#N/A</v>
      </c>
      <c r="X27" s="779"/>
      <c r="Y27" s="325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2"/>
      <c r="Q28" s="1810" t="str">
        <f t="shared" si="11"/>
        <v>物业等级</v>
      </c>
      <c r="R28" s="774" t="s">
        <v>17</v>
      </c>
      <c r="S28" s="775">
        <f t="shared" si="12"/>
        <v>100</v>
      </c>
      <c r="T28" s="774" t="s">
        <v>17</v>
      </c>
      <c r="U28" s="775">
        <f t="shared" si="13"/>
        <v>100</v>
      </c>
      <c r="V28" s="774" t="s">
        <v>17</v>
      </c>
      <c r="W28" s="775">
        <f t="shared" si="14"/>
        <v>100</v>
      </c>
      <c r="X28" s="1813"/>
      <c r="Y28" s="3252"/>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2"/>
      <c r="Q29" s="1810" t="str">
        <f t="shared" si="11"/>
        <v>有无电梯</v>
      </c>
      <c r="R29" s="774" t="s">
        <v>17</v>
      </c>
      <c r="S29" s="775">
        <f t="shared" si="12"/>
        <v>100</v>
      </c>
      <c r="T29" s="774" t="s">
        <v>17</v>
      </c>
      <c r="U29" s="775">
        <f t="shared" si="13"/>
        <v>100</v>
      </c>
      <c r="V29" s="774" t="s">
        <v>17</v>
      </c>
      <c r="W29" s="775">
        <f t="shared" si="14"/>
        <v>100</v>
      </c>
      <c r="X29" s="1813"/>
      <c r="Y29" s="325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2"/>
      <c r="Q30" s="1810" t="str">
        <f t="shared" si="11"/>
        <v>建筑面积</v>
      </c>
      <c r="R30" s="774" t="s">
        <v>17</v>
      </c>
      <c r="S30" s="775" t="e">
        <f t="shared" si="12"/>
        <v>#N/A</v>
      </c>
      <c r="T30" s="774" t="s">
        <v>17</v>
      </c>
      <c r="U30" s="775" t="e">
        <f t="shared" si="13"/>
        <v>#N/A</v>
      </c>
      <c r="V30" s="774" t="s">
        <v>17</v>
      </c>
      <c r="W30" s="775" t="e">
        <f t="shared" si="14"/>
        <v>#N/A</v>
      </c>
      <c r="X30" s="1813"/>
      <c r="Y30" s="3252"/>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2"/>
      <c r="Q31" s="1795" t="str">
        <f t="shared" si="11"/>
        <v>是否封闭</v>
      </c>
      <c r="R31" s="770" t="s">
        <v>17</v>
      </c>
      <c r="S31" s="771">
        <f t="shared" si="12"/>
        <v>100</v>
      </c>
      <c r="T31" s="770" t="s">
        <v>17</v>
      </c>
      <c r="U31" s="771">
        <f t="shared" si="13"/>
        <v>100</v>
      </c>
      <c r="V31" s="770" t="s">
        <v>17</v>
      </c>
      <c r="W31" s="771">
        <f t="shared" si="14"/>
        <v>100</v>
      </c>
      <c r="X31" s="772"/>
      <c r="Y31" s="325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2" t="s">
        <v>2563</v>
      </c>
      <c r="Q32" s="1810">
        <f t="shared" si="11"/>
        <v>111</v>
      </c>
      <c r="R32" s="774" t="s">
        <v>17</v>
      </c>
      <c r="S32" s="775">
        <f t="shared" si="12"/>
        <v>100</v>
      </c>
      <c r="T32" s="774" t="s">
        <v>17</v>
      </c>
      <c r="U32" s="775">
        <f t="shared" si="13"/>
        <v>100</v>
      </c>
      <c r="V32" s="774" t="s">
        <v>17</v>
      </c>
      <c r="W32" s="775">
        <f t="shared" si="14"/>
        <v>100</v>
      </c>
      <c r="X32" s="1813"/>
      <c r="Y32" s="3252"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2"/>
      <c r="Q33" s="1810">
        <f t="shared" si="11"/>
        <v>111</v>
      </c>
      <c r="R33" s="774" t="s">
        <v>17</v>
      </c>
      <c r="S33" s="775">
        <f t="shared" si="12"/>
        <v>100</v>
      </c>
      <c r="T33" s="774" t="s">
        <v>17</v>
      </c>
      <c r="U33" s="775">
        <f t="shared" si="13"/>
        <v>100</v>
      </c>
      <c r="V33" s="774" t="s">
        <v>17</v>
      </c>
      <c r="W33" s="775">
        <f t="shared" si="14"/>
        <v>100</v>
      </c>
      <c r="X33" s="1813"/>
      <c r="Y33" s="3252"/>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52"/>
      <c r="Q34" s="1810">
        <f t="shared" si="11"/>
        <v>111</v>
      </c>
      <c r="R34" s="774" t="s">
        <v>17</v>
      </c>
      <c r="S34" s="775">
        <f t="shared" si="12"/>
        <v>100</v>
      </c>
      <c r="T34" s="774" t="s">
        <v>17</v>
      </c>
      <c r="U34" s="775">
        <f t="shared" si="13"/>
        <v>100</v>
      </c>
      <c r="V34" s="774" t="s">
        <v>17</v>
      </c>
      <c r="W34" s="775">
        <f t="shared" si="14"/>
        <v>100</v>
      </c>
      <c r="X34" s="1813"/>
      <c r="Y34" s="3252"/>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40" t="str">
        <f>A35</f>
        <v>成交单价（元/平方米）</v>
      </c>
      <c r="Q35" s="3240"/>
      <c r="R35" s="3241">
        <f>E35</f>
        <v>0</v>
      </c>
      <c r="S35" s="3241"/>
      <c r="T35" s="3241">
        <f>G35</f>
        <v>0</v>
      </c>
      <c r="U35" s="3241"/>
      <c r="V35" s="3241">
        <f>I35</f>
        <v>0</v>
      </c>
      <c r="W35" s="3241"/>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393" t="str">
        <f>A37</f>
        <v>估价对象XX用房的比较价值（楼面单价，元/平方米）</v>
      </c>
      <c r="Q37" s="3394"/>
      <c r="R37" s="3395" t="e">
        <f>IF(F1="售价",ROUND(AVERAGE(R36:V36),0),ROUND(AVERAGE(R36:V36),1))</f>
        <v>#DIV/0!</v>
      </c>
      <c r="S37" s="3395"/>
      <c r="T37" s="3395"/>
      <c r="U37" s="3395"/>
      <c r="V37" s="3395"/>
      <c r="W37" s="339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57" t="s">
        <v>2644</v>
      </c>
      <c r="D4" s="3258"/>
      <c r="E4" s="3259" t="s">
        <v>2645</v>
      </c>
      <c r="F4" s="3260"/>
      <c r="G4" s="3257" t="s">
        <v>2646</v>
      </c>
      <c r="H4" s="3258"/>
      <c r="I4" s="3257" t="s">
        <v>2647</v>
      </c>
      <c r="J4" s="3258"/>
      <c r="K4" s="610" t="s">
        <v>2648</v>
      </c>
      <c r="L4" s="1130"/>
      <c r="M4" s="1131"/>
      <c r="N4" s="1131"/>
      <c r="O4" s="1131"/>
      <c r="P4" s="3397" t="s">
        <v>2649</v>
      </c>
      <c r="Q4" s="3398"/>
      <c r="R4" s="3401" t="s">
        <v>2645</v>
      </c>
      <c r="S4" s="3402"/>
      <c r="T4" s="3401" t="s">
        <v>2646</v>
      </c>
      <c r="U4" s="3402"/>
      <c r="V4" s="3274" t="s">
        <v>2647</v>
      </c>
      <c r="W4" s="3274"/>
      <c r="X4" s="1813"/>
      <c r="Y4" s="3401" t="s">
        <v>2649</v>
      </c>
      <c r="Z4" s="3402"/>
      <c r="AA4" s="3396" t="s">
        <v>2645</v>
      </c>
      <c r="AB4" s="3286" t="s">
        <v>2646</v>
      </c>
      <c r="AC4" s="3396" t="s">
        <v>2647</v>
      </c>
    </row>
    <row r="5" spans="1:30" ht="15">
      <c r="A5" s="404"/>
      <c r="B5" s="405"/>
      <c r="C5" s="3403" t="s">
        <v>2540</v>
      </c>
      <c r="D5" s="3278"/>
      <c r="E5" s="3404" t="s">
        <v>2541</v>
      </c>
      <c r="F5" s="3289"/>
      <c r="G5" s="3403" t="s">
        <v>2542</v>
      </c>
      <c r="H5" s="3278"/>
      <c r="I5" s="3403" t="s">
        <v>2543</v>
      </c>
      <c r="J5" s="3278"/>
      <c r="K5" s="610"/>
      <c r="L5" s="1130"/>
      <c r="M5" s="1131"/>
      <c r="N5" s="1131"/>
      <c r="O5" s="1131"/>
      <c r="P5" s="3399"/>
      <c r="Q5" s="3264"/>
      <c r="R5" s="3269"/>
      <c r="S5" s="3270"/>
      <c r="T5" s="3269"/>
      <c r="U5" s="3270"/>
      <c r="V5" s="3274"/>
      <c r="W5" s="3274"/>
      <c r="X5" s="1813"/>
      <c r="Y5" s="3269"/>
      <c r="Z5" s="3270"/>
      <c r="AA5" s="3286"/>
      <c r="AB5" s="3286"/>
      <c r="AC5" s="3286"/>
    </row>
    <row r="6" spans="1:30" ht="15.75" thickBot="1">
      <c r="A6" s="406"/>
      <c r="B6" s="407"/>
      <c r="C6" s="3275" t="s">
        <v>2544</v>
      </c>
      <c r="D6" s="3276"/>
      <c r="E6" s="3283" t="s">
        <v>2544</v>
      </c>
      <c r="F6" s="3284"/>
      <c r="G6" s="3275" t="s">
        <v>2544</v>
      </c>
      <c r="H6" s="3276"/>
      <c r="I6" s="3275" t="s">
        <v>2544</v>
      </c>
      <c r="J6" s="3276"/>
      <c r="K6" s="610" t="s">
        <v>2545</v>
      </c>
      <c r="L6" s="1130"/>
      <c r="M6" s="1131"/>
      <c r="N6" s="1131"/>
      <c r="O6" s="1131"/>
      <c r="P6" s="3400"/>
      <c r="Q6" s="3266"/>
      <c r="R6" s="3269"/>
      <c r="S6" s="3270"/>
      <c r="T6" s="3271"/>
      <c r="U6" s="3272"/>
      <c r="V6" s="3274"/>
      <c r="W6" s="3274"/>
      <c r="X6" s="1813"/>
      <c r="Y6" s="3271"/>
      <c r="Z6" s="3272"/>
      <c r="AA6" s="3287"/>
      <c r="AB6" s="3287"/>
      <c r="AC6" s="3287"/>
    </row>
    <row r="7" spans="1:30" s="117" customFormat="1" ht="15.75" thickBot="1">
      <c r="A7" s="408" t="s">
        <v>2546</v>
      </c>
      <c r="B7" s="409"/>
      <c r="C7" s="410">
        <f>'数据-取费表'!B2</f>
        <v>43923</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81" t="s">
        <v>2547</v>
      </c>
      <c r="Q7" s="3282"/>
      <c r="R7" s="770" t="s">
        <v>17</v>
      </c>
      <c r="S7" s="771">
        <f t="shared" ref="S7:S15" si="0">F7</f>
        <v>0</v>
      </c>
      <c r="T7" s="770" t="s">
        <v>17</v>
      </c>
      <c r="U7" s="771">
        <f t="shared" ref="U7:U15" si="1">H7</f>
        <v>0</v>
      </c>
      <c r="V7" s="770" t="s">
        <v>17</v>
      </c>
      <c r="W7" s="771">
        <f t="shared" ref="W7:W15" si="2">J7</f>
        <v>0</v>
      </c>
      <c r="X7" s="772"/>
      <c r="Y7" s="3281" t="s">
        <v>2547</v>
      </c>
      <c r="Z7" s="328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1" t="s">
        <v>2550</v>
      </c>
      <c r="Q8" s="3280"/>
      <c r="R8" s="770" t="s">
        <v>17</v>
      </c>
      <c r="S8" s="771">
        <f t="shared" si="0"/>
        <v>0</v>
      </c>
      <c r="T8" s="770" t="s">
        <v>17</v>
      </c>
      <c r="U8" s="771">
        <f t="shared" si="1"/>
        <v>0</v>
      </c>
      <c r="V8" s="770" t="s">
        <v>17</v>
      </c>
      <c r="W8" s="771">
        <f t="shared" si="2"/>
        <v>0</v>
      </c>
      <c r="X8" s="772"/>
      <c r="Y8" s="3281" t="s">
        <v>2550</v>
      </c>
      <c r="Z8" s="3280"/>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40" t="s">
        <v>2553</v>
      </c>
      <c r="Q9" s="1795" t="str">
        <f t="shared" ref="Q9:Q15" si="6">B9</f>
        <v>用途</v>
      </c>
      <c r="R9" s="770" t="s">
        <v>17</v>
      </c>
      <c r="S9" s="771">
        <f t="shared" si="0"/>
        <v>100</v>
      </c>
      <c r="T9" s="770" t="s">
        <v>17</v>
      </c>
      <c r="U9" s="771">
        <f t="shared" si="1"/>
        <v>100</v>
      </c>
      <c r="V9" s="770" t="s">
        <v>17</v>
      </c>
      <c r="W9" s="771">
        <f t="shared" si="2"/>
        <v>100</v>
      </c>
      <c r="X9" s="772"/>
      <c r="Y9" s="309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0"/>
      <c r="Q12" s="1795" t="str">
        <f t="shared" si="6"/>
        <v>配建</v>
      </c>
      <c r="R12" s="770" t="s">
        <v>17</v>
      </c>
      <c r="S12" s="771">
        <f t="shared" si="0"/>
        <v>100</v>
      </c>
      <c r="T12" s="770" t="s">
        <v>17</v>
      </c>
      <c r="U12" s="771">
        <f t="shared" si="1"/>
        <v>100</v>
      </c>
      <c r="V12" s="770" t="s">
        <v>17</v>
      </c>
      <c r="W12" s="771">
        <f t="shared" si="2"/>
        <v>100</v>
      </c>
      <c r="X12" s="772"/>
      <c r="Y12" s="309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9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97"/>
      <c r="Z14" s="55">
        <f t="shared" si="7"/>
        <v>111</v>
      </c>
      <c r="AA14" s="773">
        <f>D14/F14</f>
        <v>1</v>
      </c>
      <c r="AB14" s="773">
        <f>D14/H14</f>
        <v>1</v>
      </c>
      <c r="AC14" s="773">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7" t="s">
        <v>2558</v>
      </c>
      <c r="Q15" s="1810" t="str">
        <f t="shared" si="6"/>
        <v>居住社区成熟度</v>
      </c>
      <c r="R15" s="774" t="s">
        <v>17</v>
      </c>
      <c r="S15" s="775">
        <f t="shared" si="0"/>
        <v>100</v>
      </c>
      <c r="T15" s="774" t="s">
        <v>17</v>
      </c>
      <c r="U15" s="775">
        <f t="shared" si="1"/>
        <v>100</v>
      </c>
      <c r="V15" s="774" t="s">
        <v>17</v>
      </c>
      <c r="W15" s="775">
        <f t="shared" si="2"/>
        <v>100</v>
      </c>
      <c r="X15" s="1813"/>
      <c r="Y15" s="3247"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48"/>
      <c r="Q16" s="1810"/>
      <c r="R16" s="774"/>
      <c r="S16" s="775"/>
      <c r="T16" s="774"/>
      <c r="U16" s="775"/>
      <c r="V16" s="774"/>
      <c r="W16" s="775"/>
      <c r="X16" s="1813"/>
      <c r="Y16" s="3248"/>
      <c r="Z16" s="1814"/>
      <c r="AA16" s="1811">
        <v>1</v>
      </c>
      <c r="AB16" s="1811">
        <v>1</v>
      </c>
      <c r="AC16" s="1811">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8"/>
      <c r="Q17" s="1810" t="str">
        <f>B17</f>
        <v>商业繁华度</v>
      </c>
      <c r="R17" s="774" t="s">
        <v>17</v>
      </c>
      <c r="S17" s="775">
        <f>F17</f>
        <v>100</v>
      </c>
      <c r="T17" s="774" t="s">
        <v>17</v>
      </c>
      <c r="U17" s="775">
        <f>H17</f>
        <v>100</v>
      </c>
      <c r="V17" s="774" t="s">
        <v>17</v>
      </c>
      <c r="W17" s="775">
        <f>J17</f>
        <v>100</v>
      </c>
      <c r="X17" s="1813"/>
      <c r="Y17" s="3248"/>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48"/>
      <c r="Q18" s="1810"/>
      <c r="R18" s="774"/>
      <c r="S18" s="775"/>
      <c r="T18" s="774"/>
      <c r="U18" s="775"/>
      <c r="V18" s="774"/>
      <c r="W18" s="775"/>
      <c r="X18" s="1813"/>
      <c r="Y18" s="3248"/>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8"/>
      <c r="Q19" s="1810" t="str">
        <f>B19</f>
        <v>办公集聚程度</v>
      </c>
      <c r="R19" s="774" t="s">
        <v>17</v>
      </c>
      <c r="S19" s="775">
        <f>F19</f>
        <v>100</v>
      </c>
      <c r="T19" s="774" t="s">
        <v>17</v>
      </c>
      <c r="U19" s="775">
        <f>H19</f>
        <v>100</v>
      </c>
      <c r="V19" s="774" t="s">
        <v>17</v>
      </c>
      <c r="W19" s="775">
        <f>J19</f>
        <v>100</v>
      </c>
      <c r="X19" s="1813"/>
      <c r="Y19" s="3248"/>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48"/>
      <c r="Q20" s="1810"/>
      <c r="R20" s="774"/>
      <c r="S20" s="775"/>
      <c r="T20" s="774"/>
      <c r="U20" s="775"/>
      <c r="V20" s="774"/>
      <c r="W20" s="775"/>
      <c r="X20" s="1813"/>
      <c r="Y20" s="3248"/>
      <c r="Z20" s="1814"/>
      <c r="AA20" s="1811">
        <v>1</v>
      </c>
      <c r="AB20" s="1811">
        <v>1</v>
      </c>
      <c r="AC20" s="1811">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8"/>
      <c r="Q21" s="1810" t="str">
        <f>B21</f>
        <v>交通便捷度</v>
      </c>
      <c r="R21" s="774" t="s">
        <v>17</v>
      </c>
      <c r="S21" s="775">
        <f>F21</f>
        <v>100</v>
      </c>
      <c r="T21" s="774" t="s">
        <v>17</v>
      </c>
      <c r="U21" s="775">
        <f>H21</f>
        <v>100</v>
      </c>
      <c r="V21" s="774" t="s">
        <v>17</v>
      </c>
      <c r="W21" s="775">
        <f>J21</f>
        <v>100</v>
      </c>
      <c r="X21" s="1813"/>
      <c r="Y21" s="3248"/>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48"/>
      <c r="Q22" s="1810"/>
      <c r="R22" s="774"/>
      <c r="S22" s="775"/>
      <c r="T22" s="774"/>
      <c r="U22" s="775"/>
      <c r="V22" s="774"/>
      <c r="W22" s="775"/>
      <c r="X22" s="1813"/>
      <c r="Y22" s="3248"/>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8"/>
      <c r="Q23" s="1810" t="str">
        <f t="shared" ref="Q23:Q37" si="8">B23</f>
        <v>区域土地利用方向</v>
      </c>
      <c r="R23" s="774" t="s">
        <v>17</v>
      </c>
      <c r="S23" s="775">
        <f>F23</f>
        <v>100</v>
      </c>
      <c r="T23" s="774" t="s">
        <v>17</v>
      </c>
      <c r="U23" s="775">
        <f>H23</f>
        <v>100</v>
      </c>
      <c r="V23" s="774" t="s">
        <v>17</v>
      </c>
      <c r="W23" s="775">
        <f>J23</f>
        <v>100</v>
      </c>
      <c r="X23" s="1813"/>
      <c r="Y23" s="3248"/>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48"/>
      <c r="Q24" s="1810"/>
      <c r="R24" s="774"/>
      <c r="S24" s="775"/>
      <c r="T24" s="774"/>
      <c r="U24" s="775"/>
      <c r="V24" s="774"/>
      <c r="W24" s="775"/>
      <c r="X24" s="1813"/>
      <c r="Y24" s="3248"/>
      <c r="Z24" s="1814"/>
      <c r="AA24" s="1811"/>
      <c r="AB24" s="1811"/>
      <c r="AC24" s="1811"/>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8"/>
      <c r="Q25" s="1810" t="str">
        <f t="shared" si="8"/>
        <v>自然及人文环境状况</v>
      </c>
      <c r="R25" s="774" t="s">
        <v>17</v>
      </c>
      <c r="S25" s="775">
        <f>F25</f>
        <v>100</v>
      </c>
      <c r="T25" s="774" t="s">
        <v>17</v>
      </c>
      <c r="U25" s="775">
        <f>H25</f>
        <v>100</v>
      </c>
      <c r="V25" s="774" t="s">
        <v>17</v>
      </c>
      <c r="W25" s="775">
        <f>J25</f>
        <v>100</v>
      </c>
      <c r="X25" s="1813"/>
      <c r="Y25" s="3248"/>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48"/>
      <c r="Q26" s="1810"/>
      <c r="R26" s="774"/>
      <c r="S26" s="775"/>
      <c r="T26" s="774"/>
      <c r="U26" s="775"/>
      <c r="V26" s="774"/>
      <c r="W26" s="775"/>
      <c r="X26" s="1813"/>
      <c r="Y26" s="3248"/>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8"/>
      <c r="Q27" s="1795" t="str">
        <f t="shared" si="8"/>
        <v>公共配套设施</v>
      </c>
      <c r="R27" s="770" t="s">
        <v>17</v>
      </c>
      <c r="S27" s="771">
        <f>F27</f>
        <v>100</v>
      </c>
      <c r="T27" s="770" t="s">
        <v>17</v>
      </c>
      <c r="U27" s="771">
        <f>H27</f>
        <v>100</v>
      </c>
      <c r="V27" s="770" t="s">
        <v>17</v>
      </c>
      <c r="W27" s="771">
        <f>J27</f>
        <v>100</v>
      </c>
      <c r="X27" s="772"/>
      <c r="Y27" s="3248"/>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48"/>
      <c r="Q28" s="1795"/>
      <c r="R28" s="770"/>
      <c r="S28" s="771"/>
      <c r="T28" s="770"/>
      <c r="U28" s="771"/>
      <c r="V28" s="770"/>
      <c r="W28" s="771"/>
      <c r="X28" s="772"/>
      <c r="Y28" s="3248"/>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8"/>
      <c r="Q29" s="1795" t="str">
        <f t="shared" ref="Q29" si="9">B29</f>
        <v>基础设施水平</v>
      </c>
      <c r="R29" s="770" t="s">
        <v>17</v>
      </c>
      <c r="S29" s="771">
        <f>F29</f>
        <v>100</v>
      </c>
      <c r="T29" s="770" t="s">
        <v>17</v>
      </c>
      <c r="U29" s="771">
        <f>H29</f>
        <v>100</v>
      </c>
      <c r="V29" s="770" t="s">
        <v>17</v>
      </c>
      <c r="W29" s="771">
        <f>J29</f>
        <v>100</v>
      </c>
      <c r="X29" s="772"/>
      <c r="Y29" s="3248"/>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48"/>
      <c r="Q30" s="1795"/>
      <c r="R30" s="770"/>
      <c r="S30" s="771"/>
      <c r="T30" s="770"/>
      <c r="U30" s="771"/>
      <c r="V30" s="770"/>
      <c r="W30" s="771"/>
      <c r="X30" s="772"/>
      <c r="Y30" s="3248"/>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8"/>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8"/>
      <c r="Q32" s="1810" t="str">
        <f t="shared" si="8"/>
        <v>毗邻道路的类型与等级</v>
      </c>
      <c r="R32" s="774" t="s">
        <v>17</v>
      </c>
      <c r="S32" s="775">
        <f t="shared" si="10"/>
        <v>100</v>
      </c>
      <c r="T32" s="774" t="s">
        <v>17</v>
      </c>
      <c r="U32" s="775">
        <f t="shared" si="11"/>
        <v>100</v>
      </c>
      <c r="V32" s="774" t="s">
        <v>17</v>
      </c>
      <c r="W32" s="775">
        <f t="shared" si="12"/>
        <v>100</v>
      </c>
      <c r="X32" s="1813"/>
      <c r="Y32" s="3248"/>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48"/>
      <c r="Q33" s="1810"/>
      <c r="R33" s="774"/>
      <c r="S33" s="775"/>
      <c r="T33" s="774"/>
      <c r="U33" s="775"/>
      <c r="V33" s="774"/>
      <c r="W33" s="775"/>
      <c r="X33" s="1813"/>
      <c r="Y33" s="3248"/>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8"/>
      <c r="Q34" s="1810" t="str">
        <f t="shared" si="8"/>
        <v>土地级别</v>
      </c>
      <c r="R34" s="774" t="s">
        <v>17</v>
      </c>
      <c r="S34" s="775">
        <f t="shared" si="10"/>
        <v>100</v>
      </c>
      <c r="T34" s="774" t="s">
        <v>17</v>
      </c>
      <c r="U34" s="775">
        <f t="shared" si="11"/>
        <v>100</v>
      </c>
      <c r="V34" s="774" t="s">
        <v>17</v>
      </c>
      <c r="W34" s="775">
        <f t="shared" si="12"/>
        <v>100</v>
      </c>
      <c r="X34" s="1813"/>
      <c r="Y34" s="324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8"/>
      <c r="Q35" s="1810">
        <f t="shared" si="8"/>
        <v>111</v>
      </c>
      <c r="R35" s="774" t="s">
        <v>17</v>
      </c>
      <c r="S35" s="775">
        <f t="shared" si="10"/>
        <v>100</v>
      </c>
      <c r="T35" s="774" t="s">
        <v>17</v>
      </c>
      <c r="U35" s="775">
        <f t="shared" si="11"/>
        <v>100</v>
      </c>
      <c r="V35" s="774" t="s">
        <v>17</v>
      </c>
      <c r="W35" s="775">
        <f t="shared" si="12"/>
        <v>100</v>
      </c>
      <c r="X35" s="1813"/>
      <c r="Y35" s="324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05" t="s">
        <v>2563</v>
      </c>
      <c r="Q36" s="1810">
        <f t="shared" si="8"/>
        <v>111</v>
      </c>
      <c r="R36" s="774" t="s">
        <v>17</v>
      </c>
      <c r="S36" s="775">
        <f t="shared" si="10"/>
        <v>100</v>
      </c>
      <c r="T36" s="774" t="s">
        <v>17</v>
      </c>
      <c r="U36" s="775">
        <f t="shared" si="11"/>
        <v>100</v>
      </c>
      <c r="V36" s="774" t="s">
        <v>17</v>
      </c>
      <c r="W36" s="775">
        <f t="shared" si="12"/>
        <v>100</v>
      </c>
      <c r="X36" s="1813"/>
      <c r="Y36" s="3252"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2"/>
      <c r="Q37" s="1810">
        <f t="shared" si="8"/>
        <v>111</v>
      </c>
      <c r="R37" s="777" t="s">
        <v>17</v>
      </c>
      <c r="S37" s="778">
        <f t="shared" si="10"/>
        <v>100</v>
      </c>
      <c r="T37" s="777" t="s">
        <v>17</v>
      </c>
      <c r="U37" s="778">
        <f t="shared" si="11"/>
        <v>100</v>
      </c>
      <c r="V37" s="777" t="s">
        <v>17</v>
      </c>
      <c r="W37" s="778">
        <f t="shared" si="12"/>
        <v>100</v>
      </c>
      <c r="X37" s="779"/>
      <c r="Y37" s="3252"/>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2"/>
      <c r="Q38" s="1810" t="str">
        <f>B38</f>
        <v>宗地面积</v>
      </c>
      <c r="R38" s="774" t="s">
        <v>17</v>
      </c>
      <c r="S38" s="775" t="e">
        <f t="shared" si="10"/>
        <v>#N/A</v>
      </c>
      <c r="T38" s="774" t="s">
        <v>17</v>
      </c>
      <c r="U38" s="775" t="e">
        <f t="shared" si="11"/>
        <v>#N/A</v>
      </c>
      <c r="V38" s="774" t="s">
        <v>17</v>
      </c>
      <c r="W38" s="775" t="e">
        <f t="shared" si="12"/>
        <v>#N/A</v>
      </c>
      <c r="X38" s="1813"/>
      <c r="Y38" s="3252"/>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52"/>
      <c r="Q39" s="1810" t="str">
        <f t="shared" ref="Q39:Q45" si="14">B39</f>
        <v>宗地形状</v>
      </c>
      <c r="R39" s="774" t="s">
        <v>17</v>
      </c>
      <c r="S39" s="775">
        <f t="shared" si="10"/>
        <v>100</v>
      </c>
      <c r="T39" s="774" t="s">
        <v>17</v>
      </c>
      <c r="U39" s="775">
        <f t="shared" si="11"/>
        <v>100</v>
      </c>
      <c r="V39" s="774" t="s">
        <v>17</v>
      </c>
      <c r="W39" s="775">
        <f t="shared" si="12"/>
        <v>100</v>
      </c>
      <c r="X39" s="1813"/>
      <c r="Y39" s="3252"/>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52"/>
      <c r="Q40" s="1810" t="str">
        <f t="shared" si="14"/>
        <v>临街宽度及深度</v>
      </c>
      <c r="R40" s="774" t="s">
        <v>17</v>
      </c>
      <c r="S40" s="775">
        <f t="shared" si="10"/>
        <v>100</v>
      </c>
      <c r="T40" s="774" t="s">
        <v>17</v>
      </c>
      <c r="U40" s="775">
        <f t="shared" si="11"/>
        <v>100</v>
      </c>
      <c r="V40" s="774" t="s">
        <v>17</v>
      </c>
      <c r="W40" s="775">
        <f t="shared" si="12"/>
        <v>100</v>
      </c>
      <c r="X40" s="1813"/>
      <c r="Y40" s="3252"/>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52"/>
      <c r="Q41" s="1810" t="str">
        <f t="shared" si="14"/>
        <v>宗地开发程度</v>
      </c>
      <c r="R41" s="770" t="s">
        <v>17</v>
      </c>
      <c r="S41" s="771">
        <f t="shared" si="10"/>
        <v>100</v>
      </c>
      <c r="T41" s="770" t="s">
        <v>17</v>
      </c>
      <c r="U41" s="771">
        <f t="shared" si="11"/>
        <v>100</v>
      </c>
      <c r="V41" s="770" t="s">
        <v>17</v>
      </c>
      <c r="W41" s="771">
        <f t="shared" si="12"/>
        <v>100</v>
      </c>
      <c r="X41" s="772"/>
      <c r="Y41" s="3252"/>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52" t="s">
        <v>2563</v>
      </c>
      <c r="Q42" s="1810" t="str">
        <f t="shared" si="14"/>
        <v>工程地质条件</v>
      </c>
      <c r="R42" s="774" t="s">
        <v>17</v>
      </c>
      <c r="S42" s="775">
        <f t="shared" si="10"/>
        <v>100</v>
      </c>
      <c r="T42" s="774" t="s">
        <v>17</v>
      </c>
      <c r="U42" s="775">
        <f t="shared" si="11"/>
        <v>100</v>
      </c>
      <c r="V42" s="774" t="s">
        <v>17</v>
      </c>
      <c r="W42" s="775">
        <f t="shared" si="12"/>
        <v>100</v>
      </c>
      <c r="X42" s="1813"/>
      <c r="Y42" s="3252"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2"/>
      <c r="Q43" s="1810">
        <f t="shared" si="14"/>
        <v>111</v>
      </c>
      <c r="R43" s="774" t="s">
        <v>17</v>
      </c>
      <c r="S43" s="775">
        <f t="shared" si="10"/>
        <v>100</v>
      </c>
      <c r="T43" s="774" t="s">
        <v>17</v>
      </c>
      <c r="U43" s="775">
        <f t="shared" si="11"/>
        <v>100</v>
      </c>
      <c r="V43" s="774" t="s">
        <v>17</v>
      </c>
      <c r="W43" s="775">
        <f t="shared" si="12"/>
        <v>100</v>
      </c>
      <c r="X43" s="1813"/>
      <c r="Y43" s="325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2"/>
      <c r="Q44" s="1810">
        <f t="shared" si="14"/>
        <v>111</v>
      </c>
      <c r="R44" s="774" t="s">
        <v>17</v>
      </c>
      <c r="S44" s="775">
        <f t="shared" si="10"/>
        <v>100</v>
      </c>
      <c r="T44" s="774" t="s">
        <v>17</v>
      </c>
      <c r="U44" s="775">
        <f t="shared" si="11"/>
        <v>100</v>
      </c>
      <c r="V44" s="774" t="s">
        <v>17</v>
      </c>
      <c r="W44" s="775">
        <f t="shared" si="12"/>
        <v>100</v>
      </c>
      <c r="X44" s="1813"/>
      <c r="Y44" s="3252"/>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2"/>
      <c r="Q45" s="1810">
        <f t="shared" si="14"/>
        <v>111</v>
      </c>
      <c r="R45" s="777" t="s">
        <v>17</v>
      </c>
      <c r="S45" s="778">
        <f t="shared" si="10"/>
        <v>100</v>
      </c>
      <c r="T45" s="777" t="s">
        <v>17</v>
      </c>
      <c r="U45" s="778">
        <f t="shared" si="11"/>
        <v>100</v>
      </c>
      <c r="V45" s="777" t="s">
        <v>17</v>
      </c>
      <c r="W45" s="778">
        <f t="shared" si="12"/>
        <v>100</v>
      </c>
      <c r="X45" s="779"/>
      <c r="Y45" s="3252"/>
      <c r="Z45" s="780">
        <f t="shared" si="13"/>
        <v>111</v>
      </c>
      <c r="AA45" s="1811">
        <f t="shared" si="3"/>
        <v>1</v>
      </c>
      <c r="AB45" s="1811">
        <f t="shared" si="4"/>
        <v>1</v>
      </c>
      <c r="AC45" s="1811">
        <f t="shared" si="5"/>
        <v>1</v>
      </c>
    </row>
    <row r="46" spans="1:29" ht="15">
      <c r="A46" s="479" t="s">
        <v>2718</v>
      </c>
      <c r="B46" s="2704" t="s">
        <v>2754</v>
      </c>
      <c r="C46" s="682" t="s">
        <v>1</v>
      </c>
      <c r="D46" s="481"/>
      <c r="E46" s="482"/>
      <c r="F46" s="483"/>
      <c r="G46" s="484"/>
      <c r="H46" s="485"/>
      <c r="I46" s="482"/>
      <c r="J46" s="485"/>
      <c r="K46" s="783"/>
      <c r="L46" s="1143"/>
      <c r="M46" s="1144"/>
      <c r="N46" s="1131"/>
      <c r="O46" s="1144"/>
      <c r="P46" s="3240" t="str">
        <f>A46</f>
        <v>成交单价</v>
      </c>
      <c r="Q46" s="3240"/>
      <c r="R46" s="3274">
        <f>E46</f>
        <v>0</v>
      </c>
      <c r="S46" s="3274"/>
      <c r="T46" s="3274">
        <f>G46</f>
        <v>0</v>
      </c>
      <c r="U46" s="3274"/>
      <c r="V46" s="3274">
        <f>I46</f>
        <v>0</v>
      </c>
      <c r="W46" s="327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40" t="str">
        <f>A47</f>
        <v>比较价值（元/平方米）</v>
      </c>
      <c r="Q47" s="3240"/>
      <c r="R47" s="3406" t="e">
        <f>ROUND(PRODUCT(R46,AA7:AA45),0)</f>
        <v>#DIV/0!</v>
      </c>
      <c r="S47" s="3406"/>
      <c r="T47" s="3406" t="e">
        <f>ROUND(PRODUCT(T46,AB7:AB45),0)</f>
        <v>#DIV/0!</v>
      </c>
      <c r="U47" s="3406"/>
      <c r="V47" s="3406" t="e">
        <f>ROUND(PRODUCT(V46,AC7:AC45),0)</f>
        <v>#DIV/0!</v>
      </c>
      <c r="W47" s="340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393" t="str">
        <f>A48</f>
        <v>估价对象XX用房的比较价值（楼面单价，元/平方米）</v>
      </c>
      <c r="Q48" s="3394"/>
      <c r="R48" s="3407" t="e">
        <f>ROUND(AVERAGE(R47:V47),0)</f>
        <v>#DIV/0!</v>
      </c>
      <c r="S48" s="3407"/>
      <c r="T48" s="3407"/>
      <c r="U48" s="3407"/>
      <c r="V48" s="3407"/>
      <c r="W48" s="340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257" t="s">
        <v>2762</v>
      </c>
      <c r="H55" s="3408"/>
      <c r="I55" s="144" t="s">
        <v>2763</v>
      </c>
      <c r="J55" s="2707">
        <f>项目基本情况!F35</f>
        <v>0</v>
      </c>
      <c r="K55" s="2708" t="s">
        <v>2764</v>
      </c>
      <c r="L55" s="1106"/>
      <c r="M55" s="1144"/>
      <c r="N55" s="1144"/>
      <c r="O55" s="1144"/>
    </row>
    <row r="56" spans="1:15" s="692" customFormat="1">
      <c r="A56" s="688" t="s">
        <v>2765</v>
      </c>
      <c r="B56" s="689" t="e">
        <f>C48</f>
        <v>#DIV/0!</v>
      </c>
      <c r="C56" s="690">
        <v>1</v>
      </c>
      <c r="D56" s="1163">
        <v>1</v>
      </c>
      <c r="E56" s="690">
        <f>'数据-汇总表'!E8+'数据-汇总表'!E9</f>
        <v>11819.969999999998</v>
      </c>
      <c r="F56" s="1103" t="e">
        <f t="shared" ref="F56:F65" si="15">ROUND(B56*E56/10000,0)</f>
        <v>#DIV/0!</v>
      </c>
      <c r="G56" s="3239"/>
      <c r="H56" s="3240"/>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409"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409"/>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409"/>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409"/>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0.25</v>
      </c>
      <c r="D61" s="1164">
        <v>0.25</v>
      </c>
      <c r="E61" s="261">
        <f>'数据-汇总表'!E11</f>
        <v>0</v>
      </c>
      <c r="F61" s="1103" t="e">
        <f t="shared" si="15"/>
        <v>#DIV/0!</v>
      </c>
      <c r="G61" s="2709" t="s">
        <v>2772</v>
      </c>
      <c r="H61" s="1104" t="str">
        <f>项目基本情况!C37</f>
        <v>七级</v>
      </c>
      <c r="I61" s="1108">
        <f>SUMIF(修正!A45:A56,H61,修正!F45:F56)</f>
        <v>0.25</v>
      </c>
      <c r="J61" s="1112"/>
      <c r="K61" s="1144"/>
      <c r="L61" s="941"/>
      <c r="M61" s="941"/>
      <c r="N61" s="941"/>
      <c r="O61" s="941"/>
    </row>
    <row r="62" spans="1:15" s="692" customFormat="1">
      <c r="A62" s="693" t="s">
        <v>2773</v>
      </c>
      <c r="B62" s="262" t="e">
        <f t="shared" si="17"/>
        <v>#DIV/0!</v>
      </c>
      <c r="C62" s="200">
        <f t="shared" si="16"/>
        <v>0.25</v>
      </c>
      <c r="D62" s="1164">
        <v>0.25</v>
      </c>
      <c r="E62" s="261">
        <f>'数据-汇总表'!E12</f>
        <v>0</v>
      </c>
      <c r="F62" s="1103" t="e">
        <f t="shared" si="15"/>
        <v>#DIV/0!</v>
      </c>
      <c r="G62" s="1109" t="s">
        <v>2774</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0.2</v>
      </c>
      <c r="D65" s="1164">
        <v>0.25</v>
      </c>
      <c r="E65" s="261">
        <f>'数据-汇总表'!E15</f>
        <v>0</v>
      </c>
      <c r="F65" s="1103" t="e">
        <f t="shared" si="15"/>
        <v>#DIV/0!</v>
      </c>
      <c r="G65" s="2710" t="s">
        <v>2772</v>
      </c>
      <c r="H65" s="1114" t="str">
        <f>项目基本情况!C37</f>
        <v>七级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11819.969999999998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2"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9" customWidth="1"/>
    <col min="2" max="2" width="37.125" style="1959" customWidth="1"/>
    <col min="3" max="3" width="11.375" style="1959" customWidth="1"/>
    <col min="4" max="4" width="31.8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估价结果一览表（市场价值不需“结果表-1”）</v>
      </c>
      <c r="B3" s="3059"/>
      <c r="C3" s="3059"/>
      <c r="D3" s="3059"/>
      <c r="E3" s="3059"/>
    </row>
    <row r="4" spans="1:5" ht="19.5" thickBot="1">
      <c r="A4" s="1960"/>
      <c r="B4" s="3057" t="s">
        <v>1624</v>
      </c>
      <c r="C4" s="3057"/>
      <c r="D4" s="3057"/>
      <c r="E4" s="1960"/>
    </row>
    <row r="5" spans="1:5" ht="16.5" thickTop="1">
      <c r="A5" s="1958"/>
      <c r="B5" s="3055" t="s">
        <v>1616</v>
      </c>
      <c r="C5" s="1961" t="s">
        <v>1617</v>
      </c>
      <c r="D5" s="1040" t="e">
        <f ca="1">结果表!H101</f>
        <v>#REF!</v>
      </c>
      <c r="E5" s="1958"/>
    </row>
    <row r="6" spans="1:5" ht="15.75">
      <c r="A6" s="1958"/>
      <c r="B6" s="3055"/>
      <c r="C6" s="1961" t="s">
        <v>1618</v>
      </c>
      <c r="D6" s="1040" t="e">
        <f ca="1">NUMBERSTRING(INT(D5*10000),2)&amp;"元整"</f>
        <v>#REF!</v>
      </c>
      <c r="E6" s="1958"/>
    </row>
    <row r="7" spans="1:5" ht="15.75">
      <c r="A7" s="1958"/>
      <c r="B7" s="3060"/>
      <c r="C7" s="1962" t="s">
        <v>1619</v>
      </c>
      <c r="D7" s="1041" t="e">
        <f ca="1">结果表!H102</f>
        <v>#REF!</v>
      </c>
      <c r="E7" s="1958"/>
    </row>
    <row r="8" spans="1:5" ht="15.75">
      <c r="A8" s="1958"/>
      <c r="B8" s="3061" t="str">
        <f>结果表!E103</f>
        <v>2.估价师知悉的法定优先受偿款</v>
      </c>
      <c r="C8" s="1963" t="s">
        <v>1620</v>
      </c>
      <c r="D8" s="1041">
        <f>结果表!H103</f>
        <v>0</v>
      </c>
      <c r="E8" s="1958"/>
    </row>
    <row r="9" spans="1:5" ht="15.75">
      <c r="A9" s="1958"/>
      <c r="B9" s="306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54" t="str">
        <f>结果表!E107</f>
        <v>3.房地产抵押价值</v>
      </c>
      <c r="C13" s="1966" t="s">
        <v>1617</v>
      </c>
      <c r="D13" s="1043" t="e">
        <f ca="1">结果表!H107</f>
        <v>#REF!</v>
      </c>
      <c r="E13" s="1958"/>
    </row>
    <row r="14" spans="1:5" ht="15.75">
      <c r="A14" s="1958"/>
      <c r="B14" s="3055"/>
      <c r="C14" s="1961" t="s">
        <v>1618</v>
      </c>
      <c r="D14" s="1040" t="e">
        <f ca="1">NUMBERSTRING(INT(D13*10000),2)&amp;"元整"</f>
        <v>#REF!</v>
      </c>
      <c r="E14" s="1958"/>
    </row>
    <row r="15" spans="1:5" ht="15">
      <c r="A15" s="1958"/>
      <c r="B15" s="3060"/>
      <c r="C15" s="1962" t="s">
        <v>1628</v>
      </c>
      <c r="D15" s="1052" t="e">
        <f ca="1">结果表!H108</f>
        <v>#REF!</v>
      </c>
      <c r="E15" s="1958"/>
    </row>
    <row r="16" spans="1:5" ht="15">
      <c r="A16" s="1958"/>
      <c r="B16" s="3061" t="str">
        <f>结果表!E109</f>
        <v>——</v>
      </c>
      <c r="C16" s="1966" t="s">
        <v>1629</v>
      </c>
      <c r="D16" s="1967" t="str">
        <f>结果表!H109</f>
        <v>——</v>
      </c>
      <c r="E16" s="1958"/>
    </row>
    <row r="17" spans="1:5" ht="15.75">
      <c r="A17" s="1958"/>
      <c r="B17" s="3062"/>
      <c r="C17" s="1961" t="s">
        <v>1630</v>
      </c>
      <c r="D17" s="1040" t="e">
        <f>NUMBERSTRING(INT(D16*10000),2)&amp;"元整"</f>
        <v>#VALUE!</v>
      </c>
      <c r="E17" s="1958"/>
    </row>
    <row r="18" spans="1:5" ht="15">
      <c r="A18" s="1958"/>
      <c r="B18" s="3063"/>
      <c r="C18" s="1962" t="s">
        <v>1619</v>
      </c>
      <c r="D18" s="1052" t="str">
        <f>结果表!H110</f>
        <v>——</v>
      </c>
      <c r="E18" s="1958"/>
    </row>
    <row r="19" spans="1:5" ht="15.75">
      <c r="A19" s="1958"/>
      <c r="B19" s="3054" t="str">
        <f>结果表!E111</f>
        <v>——</v>
      </c>
      <c r="C19" s="1966" t="s">
        <v>1617</v>
      </c>
      <c r="D19" s="1041" t="str">
        <f>结果表!H111</f>
        <v>——</v>
      </c>
      <c r="E19" s="1958"/>
    </row>
    <row r="20" spans="1:5" ht="15.75">
      <c r="A20" s="1958"/>
      <c r="B20" s="3055"/>
      <c r="C20" s="1961" t="s">
        <v>1630</v>
      </c>
      <c r="D20" s="1040" t="e">
        <f>NUMBERSTRING(INT(D19*10000),2)&amp;"元整"</f>
        <v>#VALUE!</v>
      </c>
      <c r="E20" s="1958"/>
    </row>
    <row r="21" spans="1:5" ht="15.75" thickBot="1">
      <c r="A21" s="1958"/>
      <c r="B21" s="305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57" t="s">
        <v>2644</v>
      </c>
      <c r="D4" s="3258"/>
      <c r="E4" s="3259" t="s">
        <v>2645</v>
      </c>
      <c r="F4" s="3260"/>
      <c r="G4" s="3257" t="s">
        <v>2646</v>
      </c>
      <c r="H4" s="3258"/>
      <c r="I4" s="3257" t="s">
        <v>2647</v>
      </c>
      <c r="J4" s="3258"/>
      <c r="K4" s="610" t="s">
        <v>2648</v>
      </c>
      <c r="L4" s="1130"/>
      <c r="M4" s="1131"/>
      <c r="N4" s="1131"/>
      <c r="O4" s="1131"/>
      <c r="P4" s="3397" t="s">
        <v>2649</v>
      </c>
      <c r="Q4" s="3398"/>
      <c r="R4" s="3401" t="s">
        <v>2645</v>
      </c>
      <c r="S4" s="3402"/>
      <c r="T4" s="3401" t="s">
        <v>2646</v>
      </c>
      <c r="U4" s="3402"/>
      <c r="V4" s="3274" t="s">
        <v>2647</v>
      </c>
      <c r="W4" s="3274"/>
      <c r="X4" s="1813"/>
      <c r="Y4" s="3401" t="s">
        <v>2649</v>
      </c>
      <c r="Z4" s="3402"/>
      <c r="AA4" s="3396" t="s">
        <v>2645</v>
      </c>
      <c r="AB4" s="3286" t="s">
        <v>2646</v>
      </c>
      <c r="AC4" s="3396" t="s">
        <v>2647</v>
      </c>
    </row>
    <row r="5" spans="1:29" ht="15">
      <c r="A5" s="404"/>
      <c r="B5" s="405"/>
      <c r="C5" s="3403" t="s">
        <v>2540</v>
      </c>
      <c r="D5" s="3278"/>
      <c r="E5" s="3404" t="s">
        <v>2541</v>
      </c>
      <c r="F5" s="3289"/>
      <c r="G5" s="3403" t="s">
        <v>2542</v>
      </c>
      <c r="H5" s="3278"/>
      <c r="I5" s="3403" t="s">
        <v>2543</v>
      </c>
      <c r="J5" s="3278"/>
      <c r="K5" s="610"/>
      <c r="L5" s="1130"/>
      <c r="M5" s="1131"/>
      <c r="N5" s="1131"/>
      <c r="O5" s="1131"/>
      <c r="P5" s="3399"/>
      <c r="Q5" s="3264"/>
      <c r="R5" s="3269"/>
      <c r="S5" s="3270"/>
      <c r="T5" s="3269"/>
      <c r="U5" s="3270"/>
      <c r="V5" s="3274"/>
      <c r="W5" s="3274"/>
      <c r="X5" s="1813"/>
      <c r="Y5" s="3269"/>
      <c r="Z5" s="3270"/>
      <c r="AA5" s="3286"/>
      <c r="AB5" s="3286"/>
      <c r="AC5" s="3286"/>
    </row>
    <row r="6" spans="1:29" ht="15.75" thickBot="1">
      <c r="A6" s="406"/>
      <c r="B6" s="407"/>
      <c r="C6" s="3410" t="s">
        <v>2795</v>
      </c>
      <c r="D6" s="3411"/>
      <c r="E6" s="3412" t="s">
        <v>2795</v>
      </c>
      <c r="F6" s="3413"/>
      <c r="G6" s="3410" t="s">
        <v>2795</v>
      </c>
      <c r="H6" s="3411"/>
      <c r="I6" s="3410" t="s">
        <v>2795</v>
      </c>
      <c r="J6" s="3411"/>
      <c r="K6" s="610" t="s">
        <v>2545</v>
      </c>
      <c r="L6" s="1130"/>
      <c r="M6" s="1131"/>
      <c r="N6" s="1131"/>
      <c r="O6" s="1131"/>
      <c r="P6" s="3400"/>
      <c r="Q6" s="3266"/>
      <c r="R6" s="3269"/>
      <c r="S6" s="3270"/>
      <c r="T6" s="3271"/>
      <c r="U6" s="3272"/>
      <c r="V6" s="3274"/>
      <c r="W6" s="3274"/>
      <c r="X6" s="1813"/>
      <c r="Y6" s="3271"/>
      <c r="Z6" s="3272"/>
      <c r="AA6" s="3287"/>
      <c r="AB6" s="3287"/>
      <c r="AC6" s="3287"/>
    </row>
    <row r="7" spans="1:29" s="117" customFormat="1" ht="15.75" thickBot="1">
      <c r="A7" s="408" t="s">
        <v>2546</v>
      </c>
      <c r="B7" s="409"/>
      <c r="C7" s="410">
        <f>'数据-取费表'!B2</f>
        <v>43923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81" t="s">
        <v>2547</v>
      </c>
      <c r="Q7" s="3282"/>
      <c r="R7" s="770" t="s">
        <v>17</v>
      </c>
      <c r="S7" s="771">
        <f t="shared" ref="S7:S15" si="0">F7</f>
        <v>0</v>
      </c>
      <c r="T7" s="770" t="s">
        <v>17</v>
      </c>
      <c r="U7" s="771">
        <f t="shared" ref="U7:U15" si="1">H7</f>
        <v>0</v>
      </c>
      <c r="V7" s="770" t="s">
        <v>17</v>
      </c>
      <c r="W7" s="771">
        <f t="shared" ref="W7:W15" si="2">J7</f>
        <v>0</v>
      </c>
      <c r="X7" s="772"/>
      <c r="Y7" s="3281" t="s">
        <v>2547</v>
      </c>
      <c r="Z7" s="328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1" t="s">
        <v>2550</v>
      </c>
      <c r="Q8" s="3280"/>
      <c r="R8" s="770" t="s">
        <v>17</v>
      </c>
      <c r="S8" s="771">
        <f t="shared" si="0"/>
        <v>0</v>
      </c>
      <c r="T8" s="770" t="s">
        <v>17</v>
      </c>
      <c r="U8" s="771">
        <f t="shared" si="1"/>
        <v>0</v>
      </c>
      <c r="V8" s="770" t="s">
        <v>17</v>
      </c>
      <c r="W8" s="771">
        <f t="shared" si="2"/>
        <v>0</v>
      </c>
      <c r="X8" s="772"/>
      <c r="Y8" s="3281" t="s">
        <v>2550</v>
      </c>
      <c r="Z8" s="3280"/>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40" t="s">
        <v>2553</v>
      </c>
      <c r="Q9" s="1795" t="str">
        <f t="shared" ref="Q9:Q15" si="6">B9</f>
        <v>用途</v>
      </c>
      <c r="R9" s="770" t="s">
        <v>17</v>
      </c>
      <c r="S9" s="771">
        <f t="shared" si="0"/>
        <v>100</v>
      </c>
      <c r="T9" s="770" t="s">
        <v>17</v>
      </c>
      <c r="U9" s="771">
        <f t="shared" si="1"/>
        <v>100</v>
      </c>
      <c r="V9" s="770" t="s">
        <v>17</v>
      </c>
      <c r="W9" s="771">
        <f t="shared" si="2"/>
        <v>100</v>
      </c>
      <c r="X9" s="772"/>
      <c r="Y9" s="309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7" t="s">
        <v>2558</v>
      </c>
      <c r="Q15" s="1810" t="str">
        <f t="shared" si="6"/>
        <v>产业集聚程度</v>
      </c>
      <c r="R15" s="774" t="s">
        <v>17</v>
      </c>
      <c r="S15" s="775">
        <f t="shared" si="0"/>
        <v>100</v>
      </c>
      <c r="T15" s="774" t="s">
        <v>17</v>
      </c>
      <c r="U15" s="775">
        <f t="shared" si="1"/>
        <v>100</v>
      </c>
      <c r="V15" s="774" t="s">
        <v>17</v>
      </c>
      <c r="W15" s="775">
        <f t="shared" si="2"/>
        <v>100</v>
      </c>
      <c r="X15" s="1813"/>
      <c r="Y15" s="3247"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48"/>
      <c r="Q16" s="1810"/>
      <c r="R16" s="774"/>
      <c r="S16" s="775"/>
      <c r="T16" s="774"/>
      <c r="U16" s="775"/>
      <c r="V16" s="774"/>
      <c r="W16" s="775"/>
      <c r="X16" s="1813"/>
      <c r="Y16" s="3248"/>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8"/>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48"/>
      <c r="Q18" s="1810"/>
      <c r="R18" s="774"/>
      <c r="S18" s="775"/>
      <c r="T18" s="774"/>
      <c r="U18" s="775"/>
      <c r="V18" s="774"/>
      <c r="W18" s="775"/>
      <c r="X18" s="1813"/>
      <c r="Y18" s="3248"/>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8"/>
      <c r="Q19" s="1810" t="str">
        <f t="shared" ref="Q19:Q33" si="8">B19</f>
        <v>区域土地利用方向</v>
      </c>
      <c r="R19" s="774" t="s">
        <v>17</v>
      </c>
      <c r="S19" s="775">
        <f>F19</f>
        <v>100</v>
      </c>
      <c r="T19" s="774" t="s">
        <v>17</v>
      </c>
      <c r="U19" s="775">
        <f>H19</f>
        <v>100</v>
      </c>
      <c r="V19" s="774" t="s">
        <v>17</v>
      </c>
      <c r="W19" s="775">
        <f>J19</f>
        <v>100</v>
      </c>
      <c r="X19" s="1813"/>
      <c r="Y19" s="3248"/>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48"/>
      <c r="Q20" s="1810"/>
      <c r="R20" s="774"/>
      <c r="S20" s="775"/>
      <c r="T20" s="774"/>
      <c r="U20" s="775"/>
      <c r="V20" s="774"/>
      <c r="W20" s="775"/>
      <c r="X20" s="1813"/>
      <c r="Y20" s="3248"/>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8"/>
      <c r="Q21" s="1810" t="str">
        <f t="shared" si="8"/>
        <v>环境状况</v>
      </c>
      <c r="R21" s="774" t="s">
        <v>17</v>
      </c>
      <c r="S21" s="775">
        <f>F21</f>
        <v>100</v>
      </c>
      <c r="T21" s="774" t="s">
        <v>17</v>
      </c>
      <c r="U21" s="775">
        <f>H21</f>
        <v>100</v>
      </c>
      <c r="V21" s="774" t="s">
        <v>17</v>
      </c>
      <c r="W21" s="775">
        <f>J21</f>
        <v>100</v>
      </c>
      <c r="X21" s="1813"/>
      <c r="Y21" s="3248"/>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48"/>
      <c r="Q22" s="1810"/>
      <c r="R22" s="774"/>
      <c r="S22" s="775"/>
      <c r="T22" s="774"/>
      <c r="U22" s="775"/>
      <c r="V22" s="774"/>
      <c r="W22" s="775"/>
      <c r="X22" s="1813"/>
      <c r="Y22" s="3248"/>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8"/>
      <c r="Q23" s="1795" t="str">
        <f t="shared" si="8"/>
        <v>公共配套设施</v>
      </c>
      <c r="R23" s="770" t="s">
        <v>17</v>
      </c>
      <c r="S23" s="771">
        <f>F23</f>
        <v>100</v>
      </c>
      <c r="T23" s="770" t="s">
        <v>17</v>
      </c>
      <c r="U23" s="771">
        <f>H23</f>
        <v>100</v>
      </c>
      <c r="V23" s="770" t="s">
        <v>17</v>
      </c>
      <c r="W23" s="771">
        <f>J23</f>
        <v>100</v>
      </c>
      <c r="X23" s="772"/>
      <c r="Y23" s="3248"/>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48"/>
      <c r="Q24" s="1795"/>
      <c r="R24" s="770"/>
      <c r="S24" s="771"/>
      <c r="T24" s="770"/>
      <c r="U24" s="771"/>
      <c r="V24" s="770"/>
      <c r="W24" s="771"/>
      <c r="X24" s="772"/>
      <c r="Y24" s="3248"/>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8"/>
      <c r="Q25" s="1795" t="str">
        <f t="shared" ref="Q25" si="9">B25</f>
        <v>基础设施水平</v>
      </c>
      <c r="R25" s="770" t="s">
        <v>17</v>
      </c>
      <c r="S25" s="771">
        <f>F25</f>
        <v>100</v>
      </c>
      <c r="T25" s="770" t="s">
        <v>17</v>
      </c>
      <c r="U25" s="771">
        <f>H25</f>
        <v>100</v>
      </c>
      <c r="V25" s="770" t="s">
        <v>17</v>
      </c>
      <c r="W25" s="771">
        <f>J25</f>
        <v>100</v>
      </c>
      <c r="X25" s="772"/>
      <c r="Y25" s="3248"/>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48"/>
      <c r="Q26" s="1795"/>
      <c r="R26" s="770"/>
      <c r="S26" s="771"/>
      <c r="T26" s="770"/>
      <c r="U26" s="771"/>
      <c r="V26" s="770"/>
      <c r="W26" s="771"/>
      <c r="X26" s="772"/>
      <c r="Y26" s="324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8"/>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8"/>
      <c r="Q28" s="1810" t="str">
        <f t="shared" si="8"/>
        <v>毗邻道路的类型与等级</v>
      </c>
      <c r="R28" s="774" t="s">
        <v>17</v>
      </c>
      <c r="S28" s="775">
        <f t="shared" si="10"/>
        <v>100</v>
      </c>
      <c r="T28" s="774" t="s">
        <v>17</v>
      </c>
      <c r="U28" s="775">
        <f t="shared" si="11"/>
        <v>100</v>
      </c>
      <c r="V28" s="774" t="s">
        <v>17</v>
      </c>
      <c r="W28" s="775">
        <f t="shared" si="12"/>
        <v>100</v>
      </c>
      <c r="X28" s="1813"/>
      <c r="Y28" s="3248"/>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48"/>
      <c r="Q29" s="1810"/>
      <c r="R29" s="774"/>
      <c r="S29" s="775"/>
      <c r="T29" s="774"/>
      <c r="U29" s="775"/>
      <c r="V29" s="774"/>
      <c r="W29" s="775"/>
      <c r="X29" s="1813"/>
      <c r="Y29" s="3248"/>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8"/>
      <c r="Q30" s="1810" t="str">
        <f t="shared" si="8"/>
        <v>土地级别</v>
      </c>
      <c r="R30" s="774" t="s">
        <v>17</v>
      </c>
      <c r="S30" s="775">
        <f t="shared" si="10"/>
        <v>100</v>
      </c>
      <c r="T30" s="774" t="s">
        <v>17</v>
      </c>
      <c r="U30" s="775">
        <f t="shared" si="11"/>
        <v>100</v>
      </c>
      <c r="V30" s="774" t="s">
        <v>17</v>
      </c>
      <c r="W30" s="775">
        <f t="shared" si="12"/>
        <v>100</v>
      </c>
      <c r="X30" s="1813"/>
      <c r="Y30" s="3248"/>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8"/>
      <c r="Q31" s="1810">
        <f t="shared" si="8"/>
        <v>111</v>
      </c>
      <c r="R31" s="774" t="s">
        <v>17</v>
      </c>
      <c r="S31" s="775">
        <f t="shared" si="10"/>
        <v>100</v>
      </c>
      <c r="T31" s="774" t="s">
        <v>17</v>
      </c>
      <c r="U31" s="775">
        <f t="shared" si="11"/>
        <v>100</v>
      </c>
      <c r="V31" s="774" t="s">
        <v>17</v>
      </c>
      <c r="W31" s="775">
        <f t="shared" si="12"/>
        <v>100</v>
      </c>
      <c r="X31" s="1813"/>
      <c r="Y31" s="3248"/>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05" t="s">
        <v>2563</v>
      </c>
      <c r="Q32" s="1810">
        <f t="shared" si="8"/>
        <v>111</v>
      </c>
      <c r="R32" s="774" t="s">
        <v>17</v>
      </c>
      <c r="S32" s="775">
        <f t="shared" si="10"/>
        <v>100</v>
      </c>
      <c r="T32" s="774" t="s">
        <v>17</v>
      </c>
      <c r="U32" s="775">
        <f t="shared" si="11"/>
        <v>100</v>
      </c>
      <c r="V32" s="774" t="s">
        <v>17</v>
      </c>
      <c r="W32" s="775">
        <f t="shared" si="12"/>
        <v>100</v>
      </c>
      <c r="X32" s="1813"/>
      <c r="Y32" s="3252"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2"/>
      <c r="Q33" s="1810">
        <f t="shared" si="8"/>
        <v>111</v>
      </c>
      <c r="R33" s="777" t="s">
        <v>17</v>
      </c>
      <c r="S33" s="778">
        <f t="shared" si="10"/>
        <v>100</v>
      </c>
      <c r="T33" s="777" t="s">
        <v>17</v>
      </c>
      <c r="U33" s="778">
        <f t="shared" si="11"/>
        <v>100</v>
      </c>
      <c r="V33" s="777" t="s">
        <v>17</v>
      </c>
      <c r="W33" s="778">
        <f t="shared" si="12"/>
        <v>100</v>
      </c>
      <c r="X33" s="779"/>
      <c r="Y33" s="3252"/>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2"/>
      <c r="Q34" s="1810" t="str">
        <f>B34</f>
        <v>宗地面积</v>
      </c>
      <c r="R34" s="774" t="s">
        <v>17</v>
      </c>
      <c r="S34" s="775" t="e">
        <f t="shared" si="10"/>
        <v>#N/A</v>
      </c>
      <c r="T34" s="774" t="s">
        <v>17</v>
      </c>
      <c r="U34" s="775" t="e">
        <f t="shared" si="11"/>
        <v>#N/A</v>
      </c>
      <c r="V34" s="774" t="s">
        <v>17</v>
      </c>
      <c r="W34" s="775" t="e">
        <f t="shared" si="12"/>
        <v>#N/A</v>
      </c>
      <c r="X34" s="1813"/>
      <c r="Y34" s="3252"/>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52"/>
      <c r="Q35" s="1810" t="str">
        <f t="shared" ref="Q35:Q40" si="14">B35</f>
        <v>宗地形状</v>
      </c>
      <c r="R35" s="774" t="s">
        <v>17</v>
      </c>
      <c r="S35" s="775">
        <f t="shared" si="10"/>
        <v>100</v>
      </c>
      <c r="T35" s="774" t="s">
        <v>17</v>
      </c>
      <c r="U35" s="775">
        <f t="shared" si="11"/>
        <v>100</v>
      </c>
      <c r="V35" s="774" t="s">
        <v>17</v>
      </c>
      <c r="W35" s="775">
        <f t="shared" si="12"/>
        <v>100</v>
      </c>
      <c r="X35" s="1813"/>
      <c r="Y35" s="3252"/>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52"/>
      <c r="Q36" s="1810" t="str">
        <f t="shared" si="14"/>
        <v>宗地开发程度</v>
      </c>
      <c r="R36" s="770" t="s">
        <v>17</v>
      </c>
      <c r="S36" s="771">
        <f t="shared" si="10"/>
        <v>100</v>
      </c>
      <c r="T36" s="770" t="s">
        <v>17</v>
      </c>
      <c r="U36" s="771">
        <f t="shared" si="11"/>
        <v>100</v>
      </c>
      <c r="V36" s="770" t="s">
        <v>17</v>
      </c>
      <c r="W36" s="771">
        <f t="shared" si="12"/>
        <v>100</v>
      </c>
      <c r="X36" s="772"/>
      <c r="Y36" s="3252"/>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52" t="s">
        <v>2563</v>
      </c>
      <c r="Q37" s="1810" t="str">
        <f t="shared" si="14"/>
        <v>工程地质条件</v>
      </c>
      <c r="R37" s="774" t="s">
        <v>17</v>
      </c>
      <c r="S37" s="775">
        <f t="shared" si="10"/>
        <v>100</v>
      </c>
      <c r="T37" s="774" t="s">
        <v>17</v>
      </c>
      <c r="U37" s="775">
        <f t="shared" si="11"/>
        <v>100</v>
      </c>
      <c r="V37" s="774" t="s">
        <v>17</v>
      </c>
      <c r="W37" s="775">
        <f t="shared" si="12"/>
        <v>100</v>
      </c>
      <c r="X37" s="1813"/>
      <c r="Y37" s="3252"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2"/>
      <c r="Q38" s="1810">
        <f t="shared" si="14"/>
        <v>111</v>
      </c>
      <c r="R38" s="774" t="s">
        <v>17</v>
      </c>
      <c r="S38" s="775">
        <f t="shared" si="10"/>
        <v>100</v>
      </c>
      <c r="T38" s="774" t="s">
        <v>17</v>
      </c>
      <c r="U38" s="775">
        <f t="shared" si="11"/>
        <v>100</v>
      </c>
      <c r="V38" s="774" t="s">
        <v>17</v>
      </c>
      <c r="W38" s="775">
        <f t="shared" si="12"/>
        <v>100</v>
      </c>
      <c r="X38" s="1813"/>
      <c r="Y38" s="325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2"/>
      <c r="Q39" s="1810">
        <f t="shared" si="14"/>
        <v>111</v>
      </c>
      <c r="R39" s="774" t="s">
        <v>17</v>
      </c>
      <c r="S39" s="775">
        <f t="shared" si="10"/>
        <v>100</v>
      </c>
      <c r="T39" s="774" t="s">
        <v>17</v>
      </c>
      <c r="U39" s="775">
        <f t="shared" si="11"/>
        <v>100</v>
      </c>
      <c r="V39" s="774" t="s">
        <v>17</v>
      </c>
      <c r="W39" s="775">
        <f t="shared" si="12"/>
        <v>100</v>
      </c>
      <c r="X39" s="1813"/>
      <c r="Y39" s="3252"/>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2"/>
      <c r="Q40" s="1810">
        <f t="shared" si="14"/>
        <v>111</v>
      </c>
      <c r="R40" s="777" t="s">
        <v>17</v>
      </c>
      <c r="S40" s="778">
        <f t="shared" si="10"/>
        <v>100</v>
      </c>
      <c r="T40" s="777" t="s">
        <v>17</v>
      </c>
      <c r="U40" s="778">
        <f t="shared" si="11"/>
        <v>100</v>
      </c>
      <c r="V40" s="777" t="s">
        <v>17</v>
      </c>
      <c r="W40" s="778">
        <f t="shared" si="12"/>
        <v>100</v>
      </c>
      <c r="X40" s="779"/>
      <c r="Y40" s="3252"/>
      <c r="Z40" s="780">
        <f t="shared" si="13"/>
        <v>111</v>
      </c>
      <c r="AA40" s="1811">
        <f t="shared" si="3"/>
        <v>1</v>
      </c>
      <c r="AB40" s="1811">
        <f t="shared" si="4"/>
        <v>1</v>
      </c>
      <c r="AC40" s="1811">
        <f t="shared" si="5"/>
        <v>1</v>
      </c>
    </row>
    <row r="41" spans="1:29" ht="15">
      <c r="A41" s="479" t="s">
        <v>2718</v>
      </c>
      <c r="B41" s="2704" t="s">
        <v>2798</v>
      </c>
      <c r="C41" s="682" t="s">
        <v>1</v>
      </c>
      <c r="D41" s="481"/>
      <c r="E41" s="482"/>
      <c r="F41" s="483"/>
      <c r="G41" s="484"/>
      <c r="H41" s="485"/>
      <c r="I41" s="482"/>
      <c r="J41" s="485"/>
      <c r="K41" s="783"/>
      <c r="L41" s="1143"/>
      <c r="M41" s="1131"/>
      <c r="N41" s="1131"/>
      <c r="O41" s="1144"/>
      <c r="P41" s="3240" t="str">
        <f>A41</f>
        <v>成交单价</v>
      </c>
      <c r="Q41" s="3240"/>
      <c r="R41" s="3274">
        <f>E41</f>
        <v>0</v>
      </c>
      <c r="S41" s="3274"/>
      <c r="T41" s="3274">
        <f>G41</f>
        <v>0</v>
      </c>
      <c r="U41" s="3274"/>
      <c r="V41" s="3274">
        <f>I41</f>
        <v>0</v>
      </c>
      <c r="W41" s="327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40" t="str">
        <f>A42</f>
        <v>比较价值（元/平方米）</v>
      </c>
      <c r="Q42" s="3240"/>
      <c r="R42" s="3406" t="e">
        <f>ROUND(PRODUCT(R41,AA7:AA40),0)</f>
        <v>#DIV/0!</v>
      </c>
      <c r="S42" s="3406"/>
      <c r="T42" s="3406" t="e">
        <f>ROUND(PRODUCT(T41,AB7:AB40),0)</f>
        <v>#DIV/0!</v>
      </c>
      <c r="U42" s="3406"/>
      <c r="V42" s="3406" t="e">
        <f>ROUND(PRODUCT(V41,AC7:AC40),0)</f>
        <v>#DIV/0!</v>
      </c>
      <c r="W42" s="340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393" t="str">
        <f>A43</f>
        <v>估价对象XX用房的比较价值（楼面单价，元/平方米）</v>
      </c>
      <c r="Q43" s="3394"/>
      <c r="R43" s="3407" t="e">
        <f>ROUND(AVERAGE(R42:V42),0)</f>
        <v>#DIV/0!</v>
      </c>
      <c r="S43" s="3407"/>
      <c r="T43" s="3407"/>
      <c r="U43" s="3407"/>
      <c r="V43" s="3407"/>
      <c r="W43" s="340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257" t="s">
        <v>2762</v>
      </c>
      <c r="H50" s="3408"/>
      <c r="I50" s="1814" t="s">
        <v>2799</v>
      </c>
      <c r="J50" s="1814">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11819.969999999998</v>
      </c>
      <c r="F51" s="691" t="e">
        <f t="shared" ref="F51:F60" si="15">ROUND(B51*E51/10000,0)</f>
        <v>#DIV/0!</v>
      </c>
      <c r="G51" s="3239"/>
      <c r="H51" s="3240"/>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409"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409"/>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409"/>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409"/>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9"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0</v>
      </c>
      <c r="F60" s="691" t="e">
        <f t="shared" si="15"/>
        <v>#DIV/0!</v>
      </c>
      <c r="G60" s="2710" t="s">
        <v>2772</v>
      </c>
      <c r="H60" s="1114" t="str">
        <f>项目基本情况!C37</f>
        <v>七级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21120.11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6" t="s">
        <v>2800</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14" t="s">
        <v>183</v>
      </c>
      <c r="B18" s="882" t="s">
        <v>560</v>
      </c>
      <c r="C18" s="883" t="s">
        <v>561</v>
      </c>
      <c r="D18" s="884"/>
      <c r="E18" s="882">
        <v>1</v>
      </c>
      <c r="F18" s="885" t="s">
        <v>562</v>
      </c>
      <c r="G18" s="886"/>
      <c r="H18" s="878"/>
      <c r="I18" s="878"/>
    </row>
    <row r="19" spans="1:9" s="887" customFormat="1" ht="19.5" customHeight="1">
      <c r="A19" s="3414"/>
      <c r="B19" s="3414" t="s">
        <v>563</v>
      </c>
      <c r="C19" s="883" t="s">
        <v>564</v>
      </c>
      <c r="D19" s="884"/>
      <c r="E19" s="882">
        <v>0.9</v>
      </c>
      <c r="F19" s="885" t="s">
        <v>565</v>
      </c>
      <c r="G19" s="886"/>
      <c r="H19" s="878"/>
      <c r="I19" s="878"/>
    </row>
    <row r="20" spans="1:9" s="887" customFormat="1" ht="19.5" customHeight="1">
      <c r="A20" s="3414"/>
      <c r="B20" s="3414"/>
      <c r="C20" s="883" t="s">
        <v>566</v>
      </c>
      <c r="D20" s="884"/>
      <c r="E20" s="882">
        <v>1.1000000000000001</v>
      </c>
      <c r="F20" s="885" t="s">
        <v>567</v>
      </c>
      <c r="G20" s="886"/>
      <c r="H20" s="878"/>
      <c r="I20" s="878"/>
    </row>
    <row r="21" spans="1:9" s="887" customFormat="1" ht="19.5" customHeight="1">
      <c r="A21" s="3414"/>
      <c r="B21" s="3414"/>
      <c r="C21" s="883" t="s">
        <v>568</v>
      </c>
      <c r="D21" s="884"/>
      <c r="E21" s="882">
        <v>0.8</v>
      </c>
      <c r="F21" s="885" t="s">
        <v>569</v>
      </c>
      <c r="G21" s="886"/>
      <c r="H21" s="878"/>
      <c r="I21" s="878"/>
    </row>
    <row r="22" spans="1:9" s="887" customFormat="1" ht="19.5" customHeight="1">
      <c r="A22" s="3414"/>
      <c r="B22" s="3414"/>
      <c r="C22" s="883" t="s">
        <v>570</v>
      </c>
      <c r="D22" s="884"/>
      <c r="E22" s="882">
        <v>0.5</v>
      </c>
      <c r="F22" s="885"/>
      <c r="G22" s="886"/>
      <c r="H22" s="878"/>
      <c r="I22" s="878"/>
    </row>
    <row r="23" spans="1:9" s="887" customFormat="1" ht="19.5" customHeight="1">
      <c r="A23" s="3414" t="s">
        <v>184</v>
      </c>
      <c r="B23" s="882" t="s">
        <v>560</v>
      </c>
      <c r="C23" s="883" t="s">
        <v>571</v>
      </c>
      <c r="D23" s="884"/>
      <c r="E23" s="882">
        <v>1</v>
      </c>
      <c r="F23" s="885" t="s">
        <v>572</v>
      </c>
      <c r="G23" s="886"/>
      <c r="H23" s="878"/>
      <c r="I23" s="878"/>
    </row>
    <row r="24" spans="1:9" s="887" customFormat="1" ht="19.5" customHeight="1">
      <c r="A24" s="3414"/>
      <c r="B24" s="3414" t="s">
        <v>563</v>
      </c>
      <c r="C24" s="883" t="s">
        <v>573</v>
      </c>
      <c r="D24" s="884"/>
      <c r="E24" s="882">
        <v>0.5</v>
      </c>
      <c r="F24" s="885"/>
      <c r="G24" s="886"/>
      <c r="H24" s="878"/>
      <c r="I24" s="878"/>
    </row>
    <row r="25" spans="1:9" s="887" customFormat="1" ht="19.5" customHeight="1">
      <c r="A25" s="3414"/>
      <c r="B25" s="3414"/>
      <c r="C25" s="883" t="s">
        <v>574</v>
      </c>
      <c r="D25" s="884"/>
      <c r="E25" s="882">
        <v>1.1000000000000001</v>
      </c>
      <c r="F25" s="885"/>
      <c r="G25" s="886"/>
      <c r="H25" s="878"/>
      <c r="I25" s="878"/>
    </row>
    <row r="26" spans="1:9" s="887" customFormat="1" ht="19.5" customHeight="1">
      <c r="A26" s="3414"/>
      <c r="B26" s="3414"/>
      <c r="C26" s="883" t="s">
        <v>575</v>
      </c>
      <c r="D26" s="884"/>
      <c r="E26" s="882">
        <v>1.1000000000000001</v>
      </c>
      <c r="F26" s="885"/>
      <c r="G26" s="886"/>
      <c r="H26" s="878"/>
      <c r="I26" s="878"/>
    </row>
    <row r="27" spans="1:9" s="887" customFormat="1" ht="19.5" customHeight="1">
      <c r="A27" s="3414"/>
      <c r="B27" s="3414"/>
      <c r="C27" s="883" t="s">
        <v>576</v>
      </c>
      <c r="D27" s="884"/>
      <c r="E27" s="882">
        <v>0.9</v>
      </c>
      <c r="F27" s="885" t="s">
        <v>577</v>
      </c>
      <c r="G27" s="886"/>
      <c r="H27" s="878"/>
      <c r="I27" s="878"/>
    </row>
    <row r="28" spans="1:9" s="887" customFormat="1" ht="19.5" customHeight="1">
      <c r="A28" s="3414"/>
      <c r="B28" s="3414"/>
      <c r="C28" s="883" t="s">
        <v>578</v>
      </c>
      <c r="D28" s="884"/>
      <c r="E28" s="882">
        <v>0.9</v>
      </c>
      <c r="F28" s="885" t="s">
        <v>579</v>
      </c>
      <c r="G28" s="886"/>
      <c r="H28" s="878"/>
      <c r="I28" s="878"/>
    </row>
    <row r="29" spans="1:9" s="887" customFormat="1" ht="19.5" customHeight="1">
      <c r="A29" s="3414"/>
      <c r="B29" s="3414"/>
      <c r="C29" s="883" t="s">
        <v>580</v>
      </c>
      <c r="D29" s="884"/>
      <c r="E29" s="882">
        <v>0.9</v>
      </c>
      <c r="F29" s="885" t="s">
        <v>581</v>
      </c>
      <c r="G29" s="886"/>
      <c r="H29" s="878"/>
      <c r="I29" s="878"/>
    </row>
    <row r="30" spans="1:9" s="887" customFormat="1" ht="19.5" customHeight="1">
      <c r="A30" s="3414"/>
      <c r="B30" s="3414"/>
      <c r="C30" s="883" t="s">
        <v>582</v>
      </c>
      <c r="D30" s="884"/>
      <c r="E30" s="882">
        <v>0.9</v>
      </c>
      <c r="F30" s="885" t="s">
        <v>583</v>
      </c>
      <c r="G30" s="886"/>
      <c r="H30" s="878"/>
      <c r="I30" s="878"/>
    </row>
    <row r="31" spans="1:9" s="887" customFormat="1" ht="19.5" customHeight="1">
      <c r="A31" s="3414"/>
      <c r="B31" s="3414"/>
      <c r="C31" s="883" t="s">
        <v>584</v>
      </c>
      <c r="D31" s="884"/>
      <c r="E31" s="882">
        <v>0.8</v>
      </c>
      <c r="F31" s="885" t="s">
        <v>585</v>
      </c>
      <c r="G31" s="886"/>
      <c r="H31" s="878"/>
      <c r="I31" s="878"/>
    </row>
    <row r="32" spans="1:9" s="887" customFormat="1" ht="19.5" customHeight="1">
      <c r="A32" s="3414"/>
      <c r="B32" s="3414"/>
      <c r="C32" s="883" t="s">
        <v>586</v>
      </c>
      <c r="D32" s="884"/>
      <c r="E32" s="882">
        <v>0.8</v>
      </c>
      <c r="F32" s="885" t="s">
        <v>587</v>
      </c>
      <c r="G32" s="886"/>
      <c r="H32" s="878"/>
      <c r="I32" s="878"/>
    </row>
    <row r="33" spans="1:9" s="887" customFormat="1" ht="19.5" customHeight="1">
      <c r="A33" s="3414" t="s">
        <v>185</v>
      </c>
      <c r="B33" s="882" t="s">
        <v>560</v>
      </c>
      <c r="C33" s="883" t="s">
        <v>588</v>
      </c>
      <c r="D33" s="884"/>
      <c r="E33" s="882">
        <v>1</v>
      </c>
      <c r="F33" s="885" t="s">
        <v>589</v>
      </c>
      <c r="G33" s="886"/>
      <c r="H33" s="878"/>
      <c r="I33" s="878"/>
    </row>
    <row r="34" spans="1:9" s="887" customFormat="1" ht="19.5" customHeight="1">
      <c r="A34" s="3414"/>
      <c r="B34" s="882" t="s">
        <v>563</v>
      </c>
      <c r="C34" s="883" t="s">
        <v>590</v>
      </c>
      <c r="D34" s="884"/>
      <c r="E34" s="882">
        <v>1.5</v>
      </c>
      <c r="F34" s="885" t="s">
        <v>591</v>
      </c>
      <c r="G34" s="886"/>
      <c r="H34" s="878"/>
      <c r="I34" s="878"/>
    </row>
    <row r="35" spans="1:9" s="887" customFormat="1" ht="19.5" customHeight="1">
      <c r="A35" s="3414" t="s">
        <v>186</v>
      </c>
      <c r="B35" s="882" t="s">
        <v>560</v>
      </c>
      <c r="C35" s="883" t="s">
        <v>592</v>
      </c>
      <c r="D35" s="884"/>
      <c r="E35" s="882">
        <v>1</v>
      </c>
      <c r="F35" s="885" t="s">
        <v>593</v>
      </c>
      <c r="G35" s="886"/>
      <c r="H35" s="878"/>
      <c r="I35" s="878"/>
    </row>
    <row r="36" spans="1:9" s="887" customFormat="1" ht="19.5" customHeight="1">
      <c r="A36" s="3414"/>
      <c r="B36" s="3414" t="s">
        <v>563</v>
      </c>
      <c r="C36" s="883" t="s">
        <v>594</v>
      </c>
      <c r="D36" s="884"/>
      <c r="E36" s="882">
        <v>1</v>
      </c>
      <c r="F36" s="885" t="s">
        <v>595</v>
      </c>
      <c r="G36" s="886"/>
      <c r="H36" s="878"/>
      <c r="I36" s="878"/>
    </row>
    <row r="37" spans="1:9" s="887" customFormat="1" ht="19.5" customHeight="1">
      <c r="A37" s="3414"/>
      <c r="B37" s="3414"/>
      <c r="C37" s="883" t="s">
        <v>596</v>
      </c>
      <c r="D37" s="884"/>
      <c r="E37" s="882">
        <v>1.5</v>
      </c>
      <c r="F37" s="885" t="s">
        <v>597</v>
      </c>
      <c r="G37" s="886"/>
      <c r="H37" s="878"/>
      <c r="I37" s="878"/>
    </row>
    <row r="38" spans="1:9" s="887" customFormat="1" ht="19.5" customHeight="1">
      <c r="A38" s="3414"/>
      <c r="B38" s="3414"/>
      <c r="C38" s="883" t="s">
        <v>598</v>
      </c>
      <c r="D38" s="884"/>
      <c r="E38" s="882">
        <v>1</v>
      </c>
      <c r="F38" s="885" t="s">
        <v>599</v>
      </c>
      <c r="G38" s="886"/>
      <c r="H38" s="878"/>
      <c r="I38" s="878"/>
    </row>
    <row r="39" spans="1:9" s="887" customFormat="1" ht="19.5" customHeight="1">
      <c r="A39" s="3414"/>
      <c r="B39" s="34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14" t="s">
        <v>614</v>
      </c>
      <c r="C61" s="818" t="s">
        <v>615</v>
      </c>
      <c r="D61" s="818" t="s">
        <v>616</v>
      </c>
      <c r="E61" s="895">
        <v>0.5</v>
      </c>
      <c r="F61" s="882">
        <v>80</v>
      </c>
    </row>
    <row r="62" spans="1:8" s="878" customFormat="1" ht="24">
      <c r="A62" s="882">
        <v>2</v>
      </c>
      <c r="B62" s="3414"/>
      <c r="C62" s="818" t="s">
        <v>617</v>
      </c>
      <c r="D62" s="818" t="s">
        <v>618</v>
      </c>
      <c r="E62" s="895">
        <v>0.5</v>
      </c>
      <c r="F62" s="882">
        <v>80</v>
      </c>
    </row>
    <row r="63" spans="1:8" s="878" customFormat="1" ht="36">
      <c r="A63" s="882">
        <v>3</v>
      </c>
      <c r="B63" s="3414"/>
      <c r="C63" s="818" t="s">
        <v>619</v>
      </c>
      <c r="D63" s="818" t="s">
        <v>620</v>
      </c>
      <c r="E63" s="895">
        <v>0.5</v>
      </c>
      <c r="F63" s="882">
        <v>80</v>
      </c>
    </row>
    <row r="64" spans="1:8" s="878" customFormat="1" ht="36">
      <c r="A64" s="882">
        <v>4</v>
      </c>
      <c r="B64" s="3414"/>
      <c r="C64" s="818" t="s">
        <v>621</v>
      </c>
      <c r="D64" s="818" t="s">
        <v>622</v>
      </c>
      <c r="E64" s="895">
        <v>0.4</v>
      </c>
      <c r="F64" s="882">
        <v>60</v>
      </c>
    </row>
    <row r="65" spans="1:6" s="878" customFormat="1" ht="36">
      <c r="A65" s="882">
        <v>5</v>
      </c>
      <c r="B65" s="3414"/>
      <c r="C65" s="818" t="s">
        <v>623</v>
      </c>
      <c r="D65" s="818" t="s">
        <v>624</v>
      </c>
      <c r="E65" s="895">
        <v>0.2</v>
      </c>
      <c r="F65" s="882">
        <v>30</v>
      </c>
    </row>
    <row r="66" spans="1:6" s="878" customFormat="1" ht="36">
      <c r="A66" s="882">
        <v>6</v>
      </c>
      <c r="B66" s="3414"/>
      <c r="C66" s="818" t="s">
        <v>625</v>
      </c>
      <c r="D66" s="818" t="s">
        <v>626</v>
      </c>
      <c r="E66" s="895">
        <v>0.3</v>
      </c>
      <c r="F66" s="882">
        <v>50</v>
      </c>
    </row>
    <row r="67" spans="1:6" s="878" customFormat="1" ht="36">
      <c r="A67" s="882">
        <v>7</v>
      </c>
      <c r="B67" s="3414"/>
      <c r="C67" s="818" t="s">
        <v>627</v>
      </c>
      <c r="D67" s="818" t="s">
        <v>628</v>
      </c>
      <c r="E67" s="895">
        <v>0.2</v>
      </c>
      <c r="F67" s="882">
        <v>30</v>
      </c>
    </row>
    <row r="68" spans="1:6" s="878" customFormat="1" ht="36">
      <c r="A68" s="882">
        <v>8</v>
      </c>
      <c r="B68" s="3414"/>
      <c r="C68" s="818" t="s">
        <v>629</v>
      </c>
      <c r="D68" s="818" t="s">
        <v>630</v>
      </c>
      <c r="E68" s="895">
        <v>0.2</v>
      </c>
      <c r="F68" s="882">
        <v>30</v>
      </c>
    </row>
    <row r="69" spans="1:6" s="878" customFormat="1" ht="36">
      <c r="A69" s="882">
        <v>9</v>
      </c>
      <c r="B69" s="3414"/>
      <c r="C69" s="818" t="s">
        <v>631</v>
      </c>
      <c r="D69" s="818" t="s">
        <v>632</v>
      </c>
      <c r="E69" s="895">
        <v>0.2</v>
      </c>
      <c r="F69" s="882">
        <v>30</v>
      </c>
    </row>
    <row r="70" spans="1:6" s="878" customFormat="1" ht="48">
      <c r="A70" s="882">
        <v>10</v>
      </c>
      <c r="B70" s="3414"/>
      <c r="C70" s="818" t="s">
        <v>633</v>
      </c>
      <c r="D70" s="818" t="s">
        <v>634</v>
      </c>
      <c r="E70" s="895">
        <v>0.2</v>
      </c>
      <c r="F70" s="882">
        <v>30</v>
      </c>
    </row>
    <row r="71" spans="1:6" s="878" customFormat="1" ht="48">
      <c r="A71" s="882">
        <v>11</v>
      </c>
      <c r="B71" s="3414"/>
      <c r="C71" s="818" t="s">
        <v>635</v>
      </c>
      <c r="D71" s="818" t="s">
        <v>636</v>
      </c>
      <c r="E71" s="895">
        <v>0.2</v>
      </c>
      <c r="F71" s="882">
        <v>30</v>
      </c>
    </row>
    <row r="72" spans="1:6" s="878" customFormat="1" ht="36">
      <c r="A72" s="882">
        <v>12</v>
      </c>
      <c r="B72" s="3414"/>
      <c r="C72" s="818" t="s">
        <v>637</v>
      </c>
      <c r="D72" s="818" t="s">
        <v>638</v>
      </c>
      <c r="E72" s="895">
        <v>0.5</v>
      </c>
      <c r="F72" s="882">
        <v>80</v>
      </c>
    </row>
    <row r="73" spans="1:6" s="878" customFormat="1" ht="24">
      <c r="A73" s="882">
        <v>13</v>
      </c>
      <c r="B73" s="3414"/>
      <c r="C73" s="818" t="s">
        <v>639</v>
      </c>
      <c r="D73" s="818" t="s">
        <v>640</v>
      </c>
      <c r="E73" s="895">
        <v>0.4</v>
      </c>
      <c r="F73" s="882">
        <v>60</v>
      </c>
    </row>
    <row r="74" spans="1:6" s="878" customFormat="1" ht="24">
      <c r="A74" s="882">
        <v>14</v>
      </c>
      <c r="B74" s="3414"/>
      <c r="C74" s="818" t="s">
        <v>641</v>
      </c>
      <c r="D74" s="818" t="s">
        <v>642</v>
      </c>
      <c r="E74" s="895">
        <v>0.2</v>
      </c>
      <c r="F74" s="882">
        <v>30</v>
      </c>
    </row>
    <row r="75" spans="1:6" s="878" customFormat="1" ht="24">
      <c r="A75" s="882">
        <v>15</v>
      </c>
      <c r="B75" s="3414"/>
      <c r="C75" s="818" t="s">
        <v>643</v>
      </c>
      <c r="D75" s="818" t="s">
        <v>644</v>
      </c>
      <c r="E75" s="895">
        <v>0.2</v>
      </c>
      <c r="F75" s="882">
        <v>30</v>
      </c>
    </row>
    <row r="76" spans="1:6" s="878" customFormat="1" ht="24">
      <c r="A76" s="882">
        <v>16</v>
      </c>
      <c r="B76" s="3414" t="s">
        <v>645</v>
      </c>
      <c r="C76" s="818" t="s">
        <v>646</v>
      </c>
      <c r="D76" s="818" t="s">
        <v>647</v>
      </c>
      <c r="E76" s="895">
        <v>0.5</v>
      </c>
      <c r="F76" s="882">
        <v>80</v>
      </c>
    </row>
    <row r="77" spans="1:6" s="878" customFormat="1" ht="24">
      <c r="A77" s="882">
        <v>17</v>
      </c>
      <c r="B77" s="3414"/>
      <c r="C77" s="818" t="s">
        <v>648</v>
      </c>
      <c r="D77" s="818" t="s">
        <v>649</v>
      </c>
      <c r="E77" s="895">
        <v>0.5</v>
      </c>
      <c r="F77" s="882">
        <v>80</v>
      </c>
    </row>
    <row r="78" spans="1:6" s="878" customFormat="1" ht="24">
      <c r="A78" s="882">
        <v>18</v>
      </c>
      <c r="B78" s="3414"/>
      <c r="C78" s="818" t="s">
        <v>650</v>
      </c>
      <c r="D78" s="818" t="s">
        <v>651</v>
      </c>
      <c r="E78" s="895">
        <v>0.2</v>
      </c>
      <c r="F78" s="882">
        <v>30</v>
      </c>
    </row>
    <row r="79" spans="1:6" s="878" customFormat="1" ht="24">
      <c r="A79" s="882">
        <v>19</v>
      </c>
      <c r="B79" s="3414"/>
      <c r="C79" s="818" t="s">
        <v>652</v>
      </c>
      <c r="D79" s="818" t="s">
        <v>653</v>
      </c>
      <c r="E79" s="895">
        <v>0.5</v>
      </c>
      <c r="F79" s="882">
        <v>80</v>
      </c>
    </row>
    <row r="80" spans="1:6" s="878" customFormat="1" ht="36">
      <c r="A80" s="882">
        <v>20</v>
      </c>
      <c r="B80" s="3414"/>
      <c r="C80" s="818" t="s">
        <v>654</v>
      </c>
      <c r="D80" s="818" t="s">
        <v>655</v>
      </c>
      <c r="E80" s="895">
        <v>0.2</v>
      </c>
      <c r="F80" s="882">
        <v>30</v>
      </c>
    </row>
    <row r="81" spans="1:6" s="878" customFormat="1" ht="36">
      <c r="A81" s="882">
        <v>21</v>
      </c>
      <c r="B81" s="3414"/>
      <c r="C81" s="818" t="s">
        <v>656</v>
      </c>
      <c r="D81" s="818" t="s">
        <v>657</v>
      </c>
      <c r="E81" s="895">
        <v>0.2</v>
      </c>
      <c r="F81" s="882">
        <v>30</v>
      </c>
    </row>
    <row r="82" spans="1:6" s="878" customFormat="1" ht="48">
      <c r="A82" s="882">
        <v>22</v>
      </c>
      <c r="B82" s="3414"/>
      <c r="C82" s="818" t="s">
        <v>658</v>
      </c>
      <c r="D82" s="818" t="s">
        <v>659</v>
      </c>
      <c r="E82" s="895">
        <v>0.2</v>
      </c>
      <c r="F82" s="882">
        <v>30</v>
      </c>
    </row>
    <row r="83" spans="1:6" s="878" customFormat="1" ht="48">
      <c r="A83" s="882">
        <v>23</v>
      </c>
      <c r="B83" s="3414"/>
      <c r="C83" s="818" t="s">
        <v>660</v>
      </c>
      <c r="D83" s="818" t="s">
        <v>661</v>
      </c>
      <c r="E83" s="895">
        <v>0.2</v>
      </c>
      <c r="F83" s="882">
        <v>30</v>
      </c>
    </row>
    <row r="84" spans="1:6" s="878" customFormat="1" ht="36">
      <c r="A84" s="882">
        <v>24</v>
      </c>
      <c r="B84" s="3414"/>
      <c r="C84" s="818" t="s">
        <v>662</v>
      </c>
      <c r="D84" s="818" t="s">
        <v>663</v>
      </c>
      <c r="E84" s="895">
        <v>0.2</v>
      </c>
      <c r="F84" s="882">
        <v>30</v>
      </c>
    </row>
    <row r="85" spans="1:6" s="878" customFormat="1" ht="36">
      <c r="A85" s="882">
        <v>25</v>
      </c>
      <c r="B85" s="3414"/>
      <c r="C85" s="818" t="s">
        <v>664</v>
      </c>
      <c r="D85" s="818" t="s">
        <v>665</v>
      </c>
      <c r="E85" s="895">
        <v>0.5</v>
      </c>
      <c r="F85" s="882">
        <v>80</v>
      </c>
    </row>
    <row r="86" spans="1:6" s="878" customFormat="1" ht="36">
      <c r="A86" s="882">
        <v>26</v>
      </c>
      <c r="B86" s="3414"/>
      <c r="C86" s="818" t="s">
        <v>666</v>
      </c>
      <c r="D86" s="818" t="s">
        <v>667</v>
      </c>
      <c r="E86" s="895">
        <v>0.2</v>
      </c>
      <c r="F86" s="882">
        <v>30</v>
      </c>
    </row>
    <row r="87" spans="1:6" s="878" customFormat="1" ht="36">
      <c r="A87" s="882">
        <v>27</v>
      </c>
      <c r="B87" s="3414"/>
      <c r="C87" s="818" t="s">
        <v>668</v>
      </c>
      <c r="D87" s="818" t="s">
        <v>669</v>
      </c>
      <c r="E87" s="895">
        <v>0.2</v>
      </c>
      <c r="F87" s="882">
        <v>30</v>
      </c>
    </row>
    <row r="88" spans="1:6" s="878" customFormat="1" ht="36">
      <c r="A88" s="882">
        <v>28</v>
      </c>
      <c r="B88" s="3414"/>
      <c r="C88" s="818" t="s">
        <v>670</v>
      </c>
      <c r="D88" s="818" t="s">
        <v>671</v>
      </c>
      <c r="E88" s="895">
        <v>0.2</v>
      </c>
      <c r="F88" s="882">
        <v>30</v>
      </c>
    </row>
    <row r="89" spans="1:6" s="878" customFormat="1" ht="24">
      <c r="A89" s="882">
        <v>29</v>
      </c>
      <c r="B89" s="3414"/>
      <c r="C89" s="818" t="s">
        <v>672</v>
      </c>
      <c r="D89" s="818" t="s">
        <v>673</v>
      </c>
      <c r="E89" s="895">
        <v>0.2</v>
      </c>
      <c r="F89" s="882">
        <v>30</v>
      </c>
    </row>
    <row r="90" spans="1:6" s="878" customFormat="1" ht="24">
      <c r="A90" s="882">
        <v>30</v>
      </c>
      <c r="B90" s="3414"/>
      <c r="C90" s="818" t="s">
        <v>674</v>
      </c>
      <c r="D90" s="818" t="s">
        <v>675</v>
      </c>
      <c r="E90" s="895">
        <v>0.2</v>
      </c>
      <c r="F90" s="882">
        <v>30</v>
      </c>
    </row>
    <row r="91" spans="1:6" s="878" customFormat="1" ht="36">
      <c r="A91" s="882">
        <v>31</v>
      </c>
      <c r="B91" s="3414"/>
      <c r="C91" s="818" t="s">
        <v>676</v>
      </c>
      <c r="D91" s="818" t="s">
        <v>677</v>
      </c>
      <c r="E91" s="895">
        <v>0.2</v>
      </c>
      <c r="F91" s="882">
        <v>30</v>
      </c>
    </row>
    <row r="92" spans="1:6" s="878" customFormat="1" ht="24">
      <c r="A92" s="882">
        <v>32</v>
      </c>
      <c r="B92" s="3414" t="s">
        <v>678</v>
      </c>
      <c r="C92" s="882" t="s">
        <v>679</v>
      </c>
      <c r="D92" s="818" t="s">
        <v>680</v>
      </c>
      <c r="E92" s="895">
        <v>0.2</v>
      </c>
      <c r="F92" s="882">
        <v>30</v>
      </c>
    </row>
    <row r="93" spans="1:6" s="878" customFormat="1" ht="36">
      <c r="A93" s="882">
        <v>33</v>
      </c>
      <c r="B93" s="3414"/>
      <c r="C93" s="882" t="s">
        <v>681</v>
      </c>
      <c r="D93" s="818" t="s">
        <v>682</v>
      </c>
      <c r="E93" s="895">
        <v>0.2</v>
      </c>
      <c r="F93" s="882">
        <v>30</v>
      </c>
    </row>
    <row r="94" spans="1:6" s="878" customFormat="1" ht="48">
      <c r="A94" s="882">
        <v>34</v>
      </c>
      <c r="B94" s="3414"/>
      <c r="C94" s="882" t="s">
        <v>683</v>
      </c>
      <c r="D94" s="818" t="s">
        <v>684</v>
      </c>
      <c r="E94" s="895">
        <v>0.2</v>
      </c>
      <c r="F94" s="882">
        <v>30</v>
      </c>
    </row>
    <row r="95" spans="1:6" s="878" customFormat="1" ht="36">
      <c r="A95" s="882">
        <v>35</v>
      </c>
      <c r="B95" s="3414"/>
      <c r="C95" s="882" t="s">
        <v>685</v>
      </c>
      <c r="D95" s="818" t="s">
        <v>686</v>
      </c>
      <c r="E95" s="895">
        <v>0.2</v>
      </c>
      <c r="F95" s="882">
        <v>30</v>
      </c>
    </row>
    <row r="96" spans="1:6" s="878" customFormat="1" ht="48">
      <c r="A96" s="882">
        <v>36</v>
      </c>
      <c r="B96" s="3414"/>
      <c r="C96" s="818" t="s">
        <v>687</v>
      </c>
      <c r="D96" s="818" t="s">
        <v>688</v>
      </c>
      <c r="E96" s="895">
        <v>0.2</v>
      </c>
      <c r="F96" s="882">
        <v>30</v>
      </c>
    </row>
    <row r="97" spans="1:6" s="878" customFormat="1" ht="36">
      <c r="A97" s="882">
        <v>37</v>
      </c>
      <c r="B97" s="3414"/>
      <c r="C97" s="882" t="s">
        <v>689</v>
      </c>
      <c r="D97" s="818" t="s">
        <v>690</v>
      </c>
      <c r="E97" s="895">
        <v>0.2</v>
      </c>
      <c r="F97" s="882">
        <v>30</v>
      </c>
    </row>
    <row r="98" spans="1:6" s="878" customFormat="1" ht="36">
      <c r="A98" s="882">
        <v>38</v>
      </c>
      <c r="B98" s="3414"/>
      <c r="C98" s="882" t="s">
        <v>691</v>
      </c>
      <c r="D98" s="818" t="s">
        <v>692</v>
      </c>
      <c r="E98" s="895">
        <v>0.2</v>
      </c>
      <c r="F98" s="882">
        <v>30</v>
      </c>
    </row>
    <row r="99" spans="1:6" s="878" customFormat="1" ht="36">
      <c r="A99" s="882">
        <v>39</v>
      </c>
      <c r="B99" s="3414" t="s">
        <v>693</v>
      </c>
      <c r="C99" s="882" t="s">
        <v>694</v>
      </c>
      <c r="D99" s="818" t="s">
        <v>695</v>
      </c>
      <c r="E99" s="895">
        <v>0.3</v>
      </c>
      <c r="F99" s="882">
        <v>50</v>
      </c>
    </row>
    <row r="100" spans="1:6" s="878" customFormat="1" ht="24">
      <c r="A100" s="882">
        <v>40</v>
      </c>
      <c r="B100" s="3414"/>
      <c r="C100" s="882" t="s">
        <v>696</v>
      </c>
      <c r="D100" s="818" t="s">
        <v>697</v>
      </c>
      <c r="E100" s="895">
        <v>0.2</v>
      </c>
      <c r="F100" s="882">
        <v>30</v>
      </c>
    </row>
    <row r="101" spans="1:6" s="878" customFormat="1" ht="36">
      <c r="A101" s="882">
        <v>41</v>
      </c>
      <c r="B101" s="34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14" t="s">
        <v>708</v>
      </c>
      <c r="C105" s="882" t="s">
        <v>709</v>
      </c>
      <c r="D105" s="818" t="s">
        <v>710</v>
      </c>
      <c r="E105" s="895">
        <v>0.2</v>
      </c>
      <c r="F105" s="882">
        <v>30</v>
      </c>
    </row>
    <row r="106" spans="1:6" s="878" customFormat="1" ht="36">
      <c r="A106" s="882">
        <v>46</v>
      </c>
      <c r="B106" s="3414"/>
      <c r="C106" s="882" t="s">
        <v>711</v>
      </c>
      <c r="D106" s="818" t="s">
        <v>712</v>
      </c>
      <c r="E106" s="895">
        <v>0.2</v>
      </c>
      <c r="F106" s="882">
        <v>30</v>
      </c>
    </row>
    <row r="107" spans="1:6" s="878" customFormat="1" ht="36">
      <c r="A107" s="882">
        <v>47</v>
      </c>
      <c r="B107" s="3414" t="s">
        <v>713</v>
      </c>
      <c r="C107" s="882" t="s">
        <v>714</v>
      </c>
      <c r="D107" s="818" t="s">
        <v>715</v>
      </c>
      <c r="E107" s="895">
        <v>0.3</v>
      </c>
      <c r="F107" s="882">
        <v>50</v>
      </c>
    </row>
    <row r="108" spans="1:6" s="878" customFormat="1" ht="36">
      <c r="A108" s="882">
        <v>48</v>
      </c>
      <c r="B108" s="34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14" t="s">
        <v>724</v>
      </c>
      <c r="C111" s="882" t="s">
        <v>725</v>
      </c>
      <c r="D111" s="818" t="s">
        <v>726</v>
      </c>
      <c r="E111" s="895">
        <v>0.2</v>
      </c>
      <c r="F111" s="882">
        <v>30</v>
      </c>
    </row>
    <row r="112" spans="1:6" s="878" customFormat="1" ht="24">
      <c r="A112" s="882">
        <v>52</v>
      </c>
      <c r="B112" s="3414"/>
      <c r="C112" s="882" t="s">
        <v>727</v>
      </c>
      <c r="D112" s="818" t="s">
        <v>728</v>
      </c>
      <c r="E112" s="895">
        <v>0.2</v>
      </c>
      <c r="F112" s="882">
        <v>30</v>
      </c>
    </row>
    <row r="113" spans="1:6" s="878" customFormat="1" ht="24">
      <c r="A113" s="882">
        <v>53</v>
      </c>
      <c r="B113" s="34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14" t="s">
        <v>737</v>
      </c>
      <c r="C116" s="882" t="s">
        <v>738</v>
      </c>
      <c r="D116" s="818" t="s">
        <v>739</v>
      </c>
      <c r="E116" s="895">
        <v>0.2</v>
      </c>
      <c r="F116" s="882">
        <v>30</v>
      </c>
    </row>
    <row r="117" spans="1:6" ht="36">
      <c r="A117" s="882">
        <v>57</v>
      </c>
      <c r="B117" s="34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2999</v>
      </c>
    </row>
    <row r="2" spans="1:5" ht="15.75">
      <c r="A2" s="2902" t="s">
        <v>2991</v>
      </c>
      <c r="B2" s="2903">
        <f ca="1">SUMIF(B6:B13,"&lt;&gt;#ref!",B6:B13)</f>
        <v>11684</v>
      </c>
      <c r="C2" s="2902" t="s">
        <v>2992</v>
      </c>
      <c r="D2" s="2902" t="s">
        <v>2993</v>
      </c>
      <c r="E2" s="2903">
        <f ca="1">SUMIF(E6:E13,"&lt;&gt;#ref!",E6:E13)</f>
        <v>11819.969999999998</v>
      </c>
    </row>
    <row r="3" spans="1:5" ht="15.75">
      <c r="A3" s="2902" t="s">
        <v>2994</v>
      </c>
      <c r="B3" s="2903">
        <f ca="1">ROUND(B2*10000/E2,0)</f>
        <v>9885</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f ca="1">SUMIF(INDIRECT("'"&amp;A6&amp;"'"&amp;"!A:A"),"总价",INDIRECT("'"&amp;A6&amp;"'"&amp;"!B:B"))</f>
        <v>11684</v>
      </c>
      <c r="C6" s="2902" t="s">
        <v>2992</v>
      </c>
      <c r="D6" s="2904"/>
      <c r="E6" s="2575">
        <f ca="1">SUMIF(INDIRECT("'"&amp;A6&amp;"'"&amp;"!C:C"),"建筑面积",INDIRECT("'"&amp;A6&amp;"'"&amp;"!D:D"))</f>
        <v>11819.969999999998</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2"/>
  <sheetViews>
    <sheetView topLeftCell="V1" zoomScale="110" zoomScaleNormal="110" workbookViewId="0">
      <selection activeCell="U29" sqref="U29"/>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20" t="s">
        <v>1145</v>
      </c>
      <c r="C1" s="3420"/>
      <c r="D1" s="3420"/>
      <c r="E1" s="3420"/>
      <c r="F1" s="3420"/>
      <c r="G1" s="3419" t="s">
        <v>1146</v>
      </c>
      <c r="H1" s="3419"/>
      <c r="I1" s="3419"/>
      <c r="J1" s="3419"/>
      <c r="K1" s="3419"/>
      <c r="L1" s="3419"/>
      <c r="N1" s="3419" t="s">
        <v>1147</v>
      </c>
      <c r="O1" s="3419"/>
      <c r="P1" s="3419"/>
      <c r="Q1" s="3419"/>
      <c r="R1" s="1446"/>
      <c r="S1" s="3419" t="s">
        <v>1148</v>
      </c>
      <c r="T1" s="3419"/>
      <c r="U1" s="3419"/>
      <c r="V1" s="3419"/>
      <c r="X1" s="3418" t="s">
        <v>1149</v>
      </c>
      <c r="Y1" s="3419"/>
      <c r="Z1" s="3419"/>
      <c r="AA1" s="3419"/>
      <c r="AB1" s="3419"/>
      <c r="AD1" s="3418" t="s">
        <v>1150</v>
      </c>
      <c r="AE1" s="3419"/>
      <c r="AF1" s="3419"/>
      <c r="AG1" s="3419"/>
      <c r="AH1" s="341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3034</v>
      </c>
      <c r="B3" s="2919"/>
      <c r="C3" s="2919"/>
      <c r="D3" s="2920"/>
      <c r="E3" s="2920"/>
      <c r="F3" s="2919"/>
      <c r="G3" s="2921"/>
      <c r="H3" s="2922"/>
      <c r="I3" s="2923">
        <f>ROUND(AVERAGE($I4:$I29),2)</f>
        <v>1.92</v>
      </c>
      <c r="J3" s="2923">
        <f>ROUND(AVERAGE($J4:$J29),2)</f>
        <v>1.34</v>
      </c>
      <c r="K3" s="2923">
        <f>ROUND(AVERAGE($K4:$K29),2)</f>
        <v>2.1</v>
      </c>
      <c r="L3" s="2923">
        <f>ROUND(AVERAGE($L4:$L29),2)</f>
        <v>1.35</v>
      </c>
      <c r="N3" s="2921"/>
      <c r="O3" s="2924"/>
      <c r="P3" s="2924"/>
      <c r="Q3" s="2924"/>
      <c r="R3" s="2924"/>
      <c r="S3" s="2921"/>
      <c r="T3" s="2924"/>
      <c r="U3" s="2924"/>
      <c r="V3" s="2924"/>
      <c r="W3" s="2916"/>
      <c r="X3" s="2925">
        <f>ROUND(SUMPRODUCT(PRODUCT(1+N3:N$28)),4)</f>
        <v>1.5586</v>
      </c>
      <c r="Y3" s="2925">
        <f>ROUND(SUMPRODUCT(PRODUCT(1+O3:O$28)),4)</f>
        <v>1.3633</v>
      </c>
      <c r="Z3" s="2925">
        <f t="shared" ref="Z3:Z26" si="0">Y3</f>
        <v>1.3633</v>
      </c>
      <c r="AA3" s="2925">
        <f>ROUND(SUMPRODUCT(PRODUCT(1+P3:P$28)),4)</f>
        <v>1.6221000000000001</v>
      </c>
      <c r="AB3" s="2925">
        <f>ROUND(SUMPRODUCT(PRODUCT(1+Q3:Q$28)),4)</f>
        <v>1.3777999999999999</v>
      </c>
      <c r="AD3" s="2926">
        <f>ROUND(AVERAGE(I3:I$29)/100,4)</f>
        <v>1.9199999999999998E-2</v>
      </c>
      <c r="AE3" s="2926">
        <f>ROUND(AVERAGE(J3:J$29)/100,4)</f>
        <v>1.34E-2</v>
      </c>
      <c r="AF3" s="2926">
        <f t="shared" ref="AF3:AF27" si="1">AE3</f>
        <v>1.34E-2</v>
      </c>
      <c r="AG3" s="2926">
        <f>ROUND(AVERAGE(K3:K$29)/100,4)</f>
        <v>2.1000000000000001E-2</v>
      </c>
      <c r="AH3" s="2926">
        <f>ROUND(AVERAGE(L3:L$29)/100,4)</f>
        <v>1.35E-2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3035</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3052</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2">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41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41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41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42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42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41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41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42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42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41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41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41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41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41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41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41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41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41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41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41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42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42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42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42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41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41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41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41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41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41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41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41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41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41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41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41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41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41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41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41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41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41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41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41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41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41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41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41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41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41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41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41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41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41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41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41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41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41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41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41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41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41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416">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41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41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41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416">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41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427" t="s">
        <v>3002</v>
      </c>
      <c r="D1" s="3428"/>
      <c r="E1" s="3428"/>
      <c r="F1" s="3428"/>
      <c r="G1" s="3428"/>
      <c r="H1" s="3428"/>
      <c r="I1" s="3428"/>
      <c r="J1" s="3428"/>
      <c r="K1" s="3428"/>
      <c r="L1" s="3428"/>
      <c r="M1" s="3428"/>
      <c r="N1" s="3428"/>
      <c r="O1" s="3428"/>
      <c r="P1" s="3428"/>
      <c r="Q1" s="3428"/>
      <c r="R1" s="3428"/>
      <c r="S1" s="3429"/>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1" t="s">
        <v>3015</v>
      </c>
      <c r="E20" s="1793"/>
      <c r="F20" s="1204" t="e">
        <f ca="1">SUMIF(INDIRECT("'"&amp;H20&amp;"'"&amp;"!A:A"),"承租人权益价值",INDIRECT("'"&amp;H20&amp;"'"&amp;"!c:c"))</f>
        <v>#REF!</v>
      </c>
      <c r="G20" s="1204" t="s">
        <v>3016</v>
      </c>
      <c r="H20" s="291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234" t="s">
        <v>33</v>
      </c>
      <c r="D22" s="3235"/>
      <c r="E22" s="3235"/>
      <c r="F22" s="3235"/>
      <c r="G22" s="3235"/>
      <c r="H22" s="3235"/>
      <c r="I22" s="3235"/>
      <c r="J22" s="3235"/>
      <c r="K22" s="3235"/>
      <c r="L22" s="3235"/>
      <c r="M22" s="3235"/>
      <c r="N22" s="3235"/>
      <c r="O22" s="3235"/>
      <c r="P22" s="3235"/>
      <c r="Q22" s="342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32187</v>
      </c>
      <c r="C2" s="2" t="s">
        <v>133</v>
      </c>
      <c r="D2" s="243"/>
      <c r="E2" s="243"/>
      <c r="F2" s="243"/>
      <c r="G2" s="243"/>
    </row>
    <row r="3" spans="1:7" s="244" customFormat="1" ht="18" customHeight="1" thickBot="1">
      <c r="A3" s="247" t="s">
        <v>85</v>
      </c>
      <c r="B3" s="248">
        <f ca="1">ROUND(B2*10000/'数据-汇总表'!E3,0)</f>
        <v>27231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189</v>
      </c>
      <c r="D10" s="1032">
        <f>'数据-汇总表'!E6</f>
        <v>11819.969999999998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236</v>
      </c>
      <c r="D19" s="1036">
        <f>'数据-汇总表'!E3</f>
        <v>11819.969999999998</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916</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4253</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4253</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28630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4189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3783</v>
      </c>
      <c r="D34" s="261"/>
      <c r="E34" s="264"/>
      <c r="F34" s="301">
        <f>IF('数据-取费表'!B24=0,1,'数据-取费表'!N16)</f>
        <v>1</v>
      </c>
      <c r="G34" s="263" t="s">
        <v>116</v>
      </c>
    </row>
    <row r="35" spans="1:7" ht="13.5" customHeight="1">
      <c r="A35" s="951" t="s">
        <v>796</v>
      </c>
      <c r="B35" s="259" t="s">
        <v>60</v>
      </c>
      <c r="C35" s="264">
        <f>ROUND(C34*F35,0)</f>
        <v>113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236</v>
      </c>
      <c r="D37" s="261">
        <f>'数据-汇总表'!E3</f>
        <v>11819.969999999998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93</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91</v>
      </c>
      <c r="D42" s="282"/>
      <c r="E42" s="282"/>
      <c r="F42" s="283"/>
      <c r="G42" s="3340" t="s">
        <v>121</v>
      </c>
    </row>
    <row r="43" spans="1:7" ht="13.5" customHeight="1">
      <c r="A43" s="951" t="s">
        <v>792</v>
      </c>
      <c r="B43" s="259" t="s">
        <v>1060</v>
      </c>
      <c r="C43" s="282">
        <f ca="1">ROUND(IF('数据-取费表'!B22&lt;=1,C39*F22*'数据-取费表'!B21/2,C39*(POWER((1+F22),'数据-取费表'!B21/2)-1)),0)</f>
        <v>2</v>
      </c>
      <c r="D43" s="282"/>
      <c r="E43" s="282"/>
      <c r="F43" s="283"/>
      <c r="G43" s="3341"/>
    </row>
    <row r="44" spans="1:7" ht="13.5" customHeight="1">
      <c r="A44" s="951" t="s">
        <v>793</v>
      </c>
      <c r="B44" s="259" t="s">
        <v>1062</v>
      </c>
      <c r="C44" s="282">
        <f ca="1">ROUND(IF('数据-取费表'!B22&lt;=1,C40*F22*'数据-取费表'!B21/2,C40*(POWER((1+F22),'数据-取费表'!B21/2)-1)),4)</f>
        <v>4.0000000000000002E-4</v>
      </c>
      <c r="D44" s="282"/>
      <c r="E44" s="282"/>
      <c r="F44" s="283"/>
      <c r="G44" s="3342"/>
    </row>
    <row r="45" spans="1:7" s="258" customFormat="1" ht="13.5" customHeight="1">
      <c r="A45" s="948" t="s">
        <v>786</v>
      </c>
      <c r="B45" s="288" t="s">
        <v>112</v>
      </c>
      <c r="C45" s="289">
        <f>C46</f>
        <v>855</v>
      </c>
      <c r="D45" s="279">
        <f>C47</f>
        <v>4.0000000000000001E-3</v>
      </c>
      <c r="E45" s="280" t="s">
        <v>129</v>
      </c>
      <c r="F45" s="290"/>
      <c r="G45" s="291" t="s">
        <v>1068</v>
      </c>
    </row>
    <row r="46" spans="1:7" s="258" customFormat="1" ht="13.5" customHeight="1">
      <c r="A46" s="951" t="s">
        <v>794</v>
      </c>
      <c r="B46" s="292" t="s">
        <v>1061</v>
      </c>
      <c r="C46" s="293">
        <f>ROUND((C33+C39)*F27,0)</f>
        <v>855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5655</v>
      </c>
      <c r="D49" s="276"/>
      <c r="E49" s="276"/>
      <c r="F49" s="308"/>
      <c r="G49" s="278" t="s">
        <v>1069</v>
      </c>
    </row>
    <row r="50" spans="1:7" s="302" customFormat="1" ht="24">
      <c r="A50" s="948" t="s">
        <v>789</v>
      </c>
      <c r="B50" s="254" t="s">
        <v>124</v>
      </c>
      <c r="C50" s="276"/>
      <c r="D50" s="276"/>
      <c r="E50" s="276"/>
      <c r="F50" s="308">
        <f>IF('数据-取费表'!B24=0,'数据-取费表'!N16,1)</f>
        <v>0.629</v>
      </c>
      <c r="G50" s="291" t="s">
        <v>125</v>
      </c>
    </row>
    <row r="51" spans="1:7" ht="16.5" customHeight="1">
      <c r="A51" s="948" t="s">
        <v>790</v>
      </c>
      <c r="B51" s="254" t="s">
        <v>132</v>
      </c>
      <c r="C51" s="276">
        <f ca="1">ROUND(C49*F50,0)</f>
        <v>3557</v>
      </c>
      <c r="D51" s="276"/>
      <c r="E51" s="276"/>
      <c r="F51" s="308"/>
      <c r="G51" s="278" t="s">
        <v>64</v>
      </c>
    </row>
    <row r="52" spans="1:7" s="252" customFormat="1" ht="16.5" thickBot="1">
      <c r="A52" s="309" t="s">
        <v>65</v>
      </c>
      <c r="B52" s="310"/>
      <c r="C52" s="311">
        <f ca="1">C31+C51</f>
        <v>32187</v>
      </c>
      <c r="D52" s="310"/>
      <c r="E52" s="310"/>
      <c r="F52" s="310"/>
      <c r="G52" s="312"/>
    </row>
    <row r="55" spans="1:7" ht="15">
      <c r="B55" s="314" t="s">
        <v>66</v>
      </c>
      <c r="C55" s="315"/>
    </row>
    <row r="56" spans="1:7">
      <c r="B56" s="317" t="s">
        <v>67</v>
      </c>
      <c r="C56" s="318">
        <f ca="1">ROUND(C51/C52,3)</f>
        <v>0.111</v>
      </c>
    </row>
    <row r="57" spans="1:7">
      <c r="B57" s="317" t="s">
        <v>68</v>
      </c>
      <c r="C57" s="319">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430" t="s">
        <v>156</v>
      </c>
      <c r="B1" s="3430"/>
      <c r="C1" s="3430"/>
      <c r="D1" s="3430"/>
      <c r="E1" s="3430"/>
      <c r="F1" s="34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31" t="s">
        <v>169</v>
      </c>
      <c r="B2" s="3431"/>
      <c r="C2" s="3431"/>
      <c r="D2" s="3431"/>
      <c r="E2" s="3431"/>
      <c r="F2" s="34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430" t="s">
        <v>867</v>
      </c>
      <c r="B1" s="343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8.875" style="1644"/>
    <col min="7" max="7" width="9.375" style="1644" bestFit="1" customWidth="1"/>
    <col min="8" max="8" width="12.125" style="1644" customWidth="1"/>
    <col min="9" max="9" width="8.875" style="1644"/>
    <col min="10" max="10" width="9.375" style="1644" bestFit="1" customWidth="1"/>
    <col min="11" max="11" width="4" style="1638" customWidth="1"/>
    <col min="12" max="12" width="5.125" style="1644" customWidth="1"/>
    <col min="13" max="13" width="13.875" style="1644" customWidth="1"/>
    <col min="14" max="256" width="8.875"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8.875" style="1635"/>
    <col min="263" max="263" width="9.375" style="1635" bestFit="1" customWidth="1"/>
    <col min="264" max="265" width="8.875" style="1635"/>
    <col min="266" max="266" width="9.375" style="1635" bestFit="1" customWidth="1"/>
    <col min="267" max="267" width="4" style="1635" customWidth="1"/>
    <col min="268" max="268" width="5.125" style="1635" customWidth="1"/>
    <col min="269" max="269" width="13.875" style="1635" customWidth="1"/>
    <col min="270" max="512" width="8.875"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8.875" style="1635"/>
    <col min="519" max="519" width="9.375" style="1635" bestFit="1" customWidth="1"/>
    <col min="520" max="521" width="8.875" style="1635"/>
    <col min="522" max="522" width="9.375" style="1635" bestFit="1" customWidth="1"/>
    <col min="523" max="523" width="4" style="1635" customWidth="1"/>
    <col min="524" max="524" width="5.125" style="1635" customWidth="1"/>
    <col min="525" max="525" width="13.875" style="1635" customWidth="1"/>
    <col min="526" max="768" width="8.875"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8.875" style="1635"/>
    <col min="775" max="775" width="9.375" style="1635" bestFit="1" customWidth="1"/>
    <col min="776" max="777" width="8.875" style="1635"/>
    <col min="778" max="778" width="9.375" style="1635" bestFit="1" customWidth="1"/>
    <col min="779" max="779" width="4" style="1635" customWidth="1"/>
    <col min="780" max="780" width="5.125" style="1635" customWidth="1"/>
    <col min="781" max="781" width="13.875" style="1635" customWidth="1"/>
    <col min="782" max="1024" width="8.875"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8.875" style="1635"/>
    <col min="1031" max="1031" width="9.375" style="1635" bestFit="1" customWidth="1"/>
    <col min="1032" max="1033" width="8.875" style="1635"/>
    <col min="1034" max="1034" width="9.375" style="1635" bestFit="1" customWidth="1"/>
    <col min="1035" max="1035" width="4" style="1635" customWidth="1"/>
    <col min="1036" max="1036" width="5.125" style="1635" customWidth="1"/>
    <col min="1037" max="1037" width="13.875" style="1635" customWidth="1"/>
    <col min="1038" max="1280" width="8.875"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8.875" style="1635"/>
    <col min="1287" max="1287" width="9.375" style="1635" bestFit="1" customWidth="1"/>
    <col min="1288" max="1289" width="8.875" style="1635"/>
    <col min="1290" max="1290" width="9.375" style="1635" bestFit="1" customWidth="1"/>
    <col min="1291" max="1291" width="4" style="1635" customWidth="1"/>
    <col min="1292" max="1292" width="5.125" style="1635" customWidth="1"/>
    <col min="1293" max="1293" width="13.875" style="1635" customWidth="1"/>
    <col min="1294" max="1536" width="8.875"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8.875" style="1635"/>
    <col min="1543" max="1543" width="9.375" style="1635" bestFit="1" customWidth="1"/>
    <col min="1544" max="1545" width="8.875" style="1635"/>
    <col min="1546" max="1546" width="9.375" style="1635" bestFit="1" customWidth="1"/>
    <col min="1547" max="1547" width="4" style="1635" customWidth="1"/>
    <col min="1548" max="1548" width="5.125" style="1635" customWidth="1"/>
    <col min="1549" max="1549" width="13.875" style="1635" customWidth="1"/>
    <col min="1550" max="1792" width="8.875"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8.875" style="1635"/>
    <col min="1799" max="1799" width="9.375" style="1635" bestFit="1" customWidth="1"/>
    <col min="1800" max="1801" width="8.875" style="1635"/>
    <col min="1802" max="1802" width="9.375" style="1635" bestFit="1" customWidth="1"/>
    <col min="1803" max="1803" width="4" style="1635" customWidth="1"/>
    <col min="1804" max="1804" width="5.125" style="1635" customWidth="1"/>
    <col min="1805" max="1805" width="13.875" style="1635" customWidth="1"/>
    <col min="1806" max="2048" width="8.875"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8.875" style="1635"/>
    <col min="2055" max="2055" width="9.375" style="1635" bestFit="1" customWidth="1"/>
    <col min="2056" max="2057" width="8.875" style="1635"/>
    <col min="2058" max="2058" width="9.375" style="1635" bestFit="1" customWidth="1"/>
    <col min="2059" max="2059" width="4" style="1635" customWidth="1"/>
    <col min="2060" max="2060" width="5.125" style="1635" customWidth="1"/>
    <col min="2061" max="2061" width="13.875" style="1635" customWidth="1"/>
    <col min="2062" max="2304" width="8.875"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8.875" style="1635"/>
    <col min="2311" max="2311" width="9.375" style="1635" bestFit="1" customWidth="1"/>
    <col min="2312" max="2313" width="8.875" style="1635"/>
    <col min="2314" max="2314" width="9.375" style="1635" bestFit="1" customWidth="1"/>
    <col min="2315" max="2315" width="4" style="1635" customWidth="1"/>
    <col min="2316" max="2316" width="5.125" style="1635" customWidth="1"/>
    <col min="2317" max="2317" width="13.875" style="1635" customWidth="1"/>
    <col min="2318" max="2560" width="8.875"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8.875" style="1635"/>
    <col min="2567" max="2567" width="9.375" style="1635" bestFit="1" customWidth="1"/>
    <col min="2568" max="2569" width="8.875" style="1635"/>
    <col min="2570" max="2570" width="9.375" style="1635" bestFit="1" customWidth="1"/>
    <col min="2571" max="2571" width="4" style="1635" customWidth="1"/>
    <col min="2572" max="2572" width="5.125" style="1635" customWidth="1"/>
    <col min="2573" max="2573" width="13.875" style="1635" customWidth="1"/>
    <col min="2574" max="2816" width="8.875"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8.875" style="1635"/>
    <col min="2823" max="2823" width="9.375" style="1635" bestFit="1" customWidth="1"/>
    <col min="2824" max="2825" width="8.875" style="1635"/>
    <col min="2826" max="2826" width="9.375" style="1635" bestFit="1" customWidth="1"/>
    <col min="2827" max="2827" width="4" style="1635" customWidth="1"/>
    <col min="2828" max="2828" width="5.125" style="1635" customWidth="1"/>
    <col min="2829" max="2829" width="13.875" style="1635" customWidth="1"/>
    <col min="2830" max="3072" width="8.875"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8.875" style="1635"/>
    <col min="3079" max="3079" width="9.375" style="1635" bestFit="1" customWidth="1"/>
    <col min="3080" max="3081" width="8.875" style="1635"/>
    <col min="3082" max="3082" width="9.375" style="1635" bestFit="1" customWidth="1"/>
    <col min="3083" max="3083" width="4" style="1635" customWidth="1"/>
    <col min="3084" max="3084" width="5.125" style="1635" customWidth="1"/>
    <col min="3085" max="3085" width="13.875" style="1635" customWidth="1"/>
    <col min="3086" max="3328" width="8.875"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8.875" style="1635"/>
    <col min="3335" max="3335" width="9.375" style="1635" bestFit="1" customWidth="1"/>
    <col min="3336" max="3337" width="8.875" style="1635"/>
    <col min="3338" max="3338" width="9.375" style="1635" bestFit="1" customWidth="1"/>
    <col min="3339" max="3339" width="4" style="1635" customWidth="1"/>
    <col min="3340" max="3340" width="5.125" style="1635" customWidth="1"/>
    <col min="3341" max="3341" width="13.875" style="1635" customWidth="1"/>
    <col min="3342" max="3584" width="8.875"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8.875" style="1635"/>
    <col min="3591" max="3591" width="9.375" style="1635" bestFit="1" customWidth="1"/>
    <col min="3592" max="3593" width="8.875" style="1635"/>
    <col min="3594" max="3594" width="9.375" style="1635" bestFit="1" customWidth="1"/>
    <col min="3595" max="3595" width="4" style="1635" customWidth="1"/>
    <col min="3596" max="3596" width="5.125" style="1635" customWidth="1"/>
    <col min="3597" max="3597" width="13.875" style="1635" customWidth="1"/>
    <col min="3598" max="3840" width="8.875"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8.875" style="1635"/>
    <col min="3847" max="3847" width="9.375" style="1635" bestFit="1" customWidth="1"/>
    <col min="3848" max="3849" width="8.875" style="1635"/>
    <col min="3850" max="3850" width="9.375" style="1635" bestFit="1" customWidth="1"/>
    <col min="3851" max="3851" width="4" style="1635" customWidth="1"/>
    <col min="3852" max="3852" width="5.125" style="1635" customWidth="1"/>
    <col min="3853" max="3853" width="13.875" style="1635" customWidth="1"/>
    <col min="3854" max="4096" width="8.875"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8.875" style="1635"/>
    <col min="4103" max="4103" width="9.375" style="1635" bestFit="1" customWidth="1"/>
    <col min="4104" max="4105" width="8.875" style="1635"/>
    <col min="4106" max="4106" width="9.375" style="1635" bestFit="1" customWidth="1"/>
    <col min="4107" max="4107" width="4" style="1635" customWidth="1"/>
    <col min="4108" max="4108" width="5.125" style="1635" customWidth="1"/>
    <col min="4109" max="4109" width="13.875" style="1635" customWidth="1"/>
    <col min="4110" max="4352" width="8.875"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8.875" style="1635"/>
    <col min="4359" max="4359" width="9.375" style="1635" bestFit="1" customWidth="1"/>
    <col min="4360" max="4361" width="8.875" style="1635"/>
    <col min="4362" max="4362" width="9.375" style="1635" bestFit="1" customWidth="1"/>
    <col min="4363" max="4363" width="4" style="1635" customWidth="1"/>
    <col min="4364" max="4364" width="5.125" style="1635" customWidth="1"/>
    <col min="4365" max="4365" width="13.875" style="1635" customWidth="1"/>
    <col min="4366" max="4608" width="8.875"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8.875" style="1635"/>
    <col min="4615" max="4615" width="9.375" style="1635" bestFit="1" customWidth="1"/>
    <col min="4616" max="4617" width="8.875" style="1635"/>
    <col min="4618" max="4618" width="9.375" style="1635" bestFit="1" customWidth="1"/>
    <col min="4619" max="4619" width="4" style="1635" customWidth="1"/>
    <col min="4620" max="4620" width="5.125" style="1635" customWidth="1"/>
    <col min="4621" max="4621" width="13.875" style="1635" customWidth="1"/>
    <col min="4622" max="4864" width="8.875"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8.875" style="1635"/>
    <col min="4871" max="4871" width="9.375" style="1635" bestFit="1" customWidth="1"/>
    <col min="4872" max="4873" width="8.875" style="1635"/>
    <col min="4874" max="4874" width="9.375" style="1635" bestFit="1" customWidth="1"/>
    <col min="4875" max="4875" width="4" style="1635" customWidth="1"/>
    <col min="4876" max="4876" width="5.125" style="1635" customWidth="1"/>
    <col min="4877" max="4877" width="13.875" style="1635" customWidth="1"/>
    <col min="4878" max="5120" width="8.875"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8.875" style="1635"/>
    <col min="5127" max="5127" width="9.375" style="1635" bestFit="1" customWidth="1"/>
    <col min="5128" max="5129" width="8.875" style="1635"/>
    <col min="5130" max="5130" width="9.375" style="1635" bestFit="1" customWidth="1"/>
    <col min="5131" max="5131" width="4" style="1635" customWidth="1"/>
    <col min="5132" max="5132" width="5.125" style="1635" customWidth="1"/>
    <col min="5133" max="5133" width="13.875" style="1635" customWidth="1"/>
    <col min="5134" max="5376" width="8.875"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8.875" style="1635"/>
    <col min="5383" max="5383" width="9.375" style="1635" bestFit="1" customWidth="1"/>
    <col min="5384" max="5385" width="8.875" style="1635"/>
    <col min="5386" max="5386" width="9.375" style="1635" bestFit="1" customWidth="1"/>
    <col min="5387" max="5387" width="4" style="1635" customWidth="1"/>
    <col min="5388" max="5388" width="5.125" style="1635" customWidth="1"/>
    <col min="5389" max="5389" width="13.875" style="1635" customWidth="1"/>
    <col min="5390" max="5632" width="8.875"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8.875" style="1635"/>
    <col min="5639" max="5639" width="9.375" style="1635" bestFit="1" customWidth="1"/>
    <col min="5640" max="5641" width="8.875" style="1635"/>
    <col min="5642" max="5642" width="9.375" style="1635" bestFit="1" customWidth="1"/>
    <col min="5643" max="5643" width="4" style="1635" customWidth="1"/>
    <col min="5644" max="5644" width="5.125" style="1635" customWidth="1"/>
    <col min="5645" max="5645" width="13.875" style="1635" customWidth="1"/>
    <col min="5646" max="5888" width="8.875"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8.875" style="1635"/>
    <col min="5895" max="5895" width="9.375" style="1635" bestFit="1" customWidth="1"/>
    <col min="5896" max="5897" width="8.875" style="1635"/>
    <col min="5898" max="5898" width="9.375" style="1635" bestFit="1" customWidth="1"/>
    <col min="5899" max="5899" width="4" style="1635" customWidth="1"/>
    <col min="5900" max="5900" width="5.125" style="1635" customWidth="1"/>
    <col min="5901" max="5901" width="13.875" style="1635" customWidth="1"/>
    <col min="5902" max="6144" width="8.875"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8.875" style="1635"/>
    <col min="6151" max="6151" width="9.375" style="1635" bestFit="1" customWidth="1"/>
    <col min="6152" max="6153" width="8.875" style="1635"/>
    <col min="6154" max="6154" width="9.375" style="1635" bestFit="1" customWidth="1"/>
    <col min="6155" max="6155" width="4" style="1635" customWidth="1"/>
    <col min="6156" max="6156" width="5.125" style="1635" customWidth="1"/>
    <col min="6157" max="6157" width="13.875" style="1635" customWidth="1"/>
    <col min="6158" max="6400" width="8.875"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8.875" style="1635"/>
    <col min="6407" max="6407" width="9.375" style="1635" bestFit="1" customWidth="1"/>
    <col min="6408" max="6409" width="8.875" style="1635"/>
    <col min="6410" max="6410" width="9.375" style="1635" bestFit="1" customWidth="1"/>
    <col min="6411" max="6411" width="4" style="1635" customWidth="1"/>
    <col min="6412" max="6412" width="5.125" style="1635" customWidth="1"/>
    <col min="6413" max="6413" width="13.875" style="1635" customWidth="1"/>
    <col min="6414" max="6656" width="8.875"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8.875" style="1635"/>
    <col min="6663" max="6663" width="9.375" style="1635" bestFit="1" customWidth="1"/>
    <col min="6664" max="6665" width="8.875" style="1635"/>
    <col min="6666" max="6666" width="9.375" style="1635" bestFit="1" customWidth="1"/>
    <col min="6667" max="6667" width="4" style="1635" customWidth="1"/>
    <col min="6668" max="6668" width="5.125" style="1635" customWidth="1"/>
    <col min="6669" max="6669" width="13.875" style="1635" customWidth="1"/>
    <col min="6670" max="6912" width="8.875"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8.875" style="1635"/>
    <col min="6919" max="6919" width="9.375" style="1635" bestFit="1" customWidth="1"/>
    <col min="6920" max="6921" width="8.875" style="1635"/>
    <col min="6922" max="6922" width="9.375" style="1635" bestFit="1" customWidth="1"/>
    <col min="6923" max="6923" width="4" style="1635" customWidth="1"/>
    <col min="6924" max="6924" width="5.125" style="1635" customWidth="1"/>
    <col min="6925" max="6925" width="13.875" style="1635" customWidth="1"/>
    <col min="6926" max="7168" width="8.875"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8.875" style="1635"/>
    <col min="7175" max="7175" width="9.375" style="1635" bestFit="1" customWidth="1"/>
    <col min="7176" max="7177" width="8.875" style="1635"/>
    <col min="7178" max="7178" width="9.375" style="1635" bestFit="1" customWidth="1"/>
    <col min="7179" max="7179" width="4" style="1635" customWidth="1"/>
    <col min="7180" max="7180" width="5.125" style="1635" customWidth="1"/>
    <col min="7181" max="7181" width="13.875" style="1635" customWidth="1"/>
    <col min="7182" max="7424" width="8.875"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8.875" style="1635"/>
    <col min="7431" max="7431" width="9.375" style="1635" bestFit="1" customWidth="1"/>
    <col min="7432" max="7433" width="8.875" style="1635"/>
    <col min="7434" max="7434" width="9.375" style="1635" bestFit="1" customWidth="1"/>
    <col min="7435" max="7435" width="4" style="1635" customWidth="1"/>
    <col min="7436" max="7436" width="5.125" style="1635" customWidth="1"/>
    <col min="7437" max="7437" width="13.875" style="1635" customWidth="1"/>
    <col min="7438" max="7680" width="8.875"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8.875" style="1635"/>
    <col min="7687" max="7687" width="9.375" style="1635" bestFit="1" customWidth="1"/>
    <col min="7688" max="7689" width="8.875" style="1635"/>
    <col min="7690" max="7690" width="9.375" style="1635" bestFit="1" customWidth="1"/>
    <col min="7691" max="7691" width="4" style="1635" customWidth="1"/>
    <col min="7692" max="7692" width="5.125" style="1635" customWidth="1"/>
    <col min="7693" max="7693" width="13.875" style="1635" customWidth="1"/>
    <col min="7694" max="7936" width="8.875"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8.875" style="1635"/>
    <col min="7943" max="7943" width="9.375" style="1635" bestFit="1" customWidth="1"/>
    <col min="7944" max="7945" width="8.875" style="1635"/>
    <col min="7946" max="7946" width="9.375" style="1635" bestFit="1" customWidth="1"/>
    <col min="7947" max="7947" width="4" style="1635" customWidth="1"/>
    <col min="7948" max="7948" width="5.125" style="1635" customWidth="1"/>
    <col min="7949" max="7949" width="13.875" style="1635" customWidth="1"/>
    <col min="7950" max="8192" width="8.875"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8.875" style="1635"/>
    <col min="8199" max="8199" width="9.375" style="1635" bestFit="1" customWidth="1"/>
    <col min="8200" max="8201" width="8.875" style="1635"/>
    <col min="8202" max="8202" width="9.375" style="1635" bestFit="1" customWidth="1"/>
    <col min="8203" max="8203" width="4" style="1635" customWidth="1"/>
    <col min="8204" max="8204" width="5.125" style="1635" customWidth="1"/>
    <col min="8205" max="8205" width="13.875" style="1635" customWidth="1"/>
    <col min="8206" max="8448" width="8.875"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8.875" style="1635"/>
    <col min="8455" max="8455" width="9.375" style="1635" bestFit="1" customWidth="1"/>
    <col min="8456" max="8457" width="8.875" style="1635"/>
    <col min="8458" max="8458" width="9.375" style="1635" bestFit="1" customWidth="1"/>
    <col min="8459" max="8459" width="4" style="1635" customWidth="1"/>
    <col min="8460" max="8460" width="5.125" style="1635" customWidth="1"/>
    <col min="8461" max="8461" width="13.875" style="1635" customWidth="1"/>
    <col min="8462" max="8704" width="8.875"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8.875" style="1635"/>
    <col min="8711" max="8711" width="9.375" style="1635" bestFit="1" customWidth="1"/>
    <col min="8712" max="8713" width="8.875" style="1635"/>
    <col min="8714" max="8714" width="9.375" style="1635" bestFit="1" customWidth="1"/>
    <col min="8715" max="8715" width="4" style="1635" customWidth="1"/>
    <col min="8716" max="8716" width="5.125" style="1635" customWidth="1"/>
    <col min="8717" max="8717" width="13.875" style="1635" customWidth="1"/>
    <col min="8718" max="8960" width="8.875"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8.875" style="1635"/>
    <col min="8967" max="8967" width="9.375" style="1635" bestFit="1" customWidth="1"/>
    <col min="8968" max="8969" width="8.875" style="1635"/>
    <col min="8970" max="8970" width="9.375" style="1635" bestFit="1" customWidth="1"/>
    <col min="8971" max="8971" width="4" style="1635" customWidth="1"/>
    <col min="8972" max="8972" width="5.125" style="1635" customWidth="1"/>
    <col min="8973" max="8973" width="13.875" style="1635" customWidth="1"/>
    <col min="8974" max="9216" width="8.875"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8.875" style="1635"/>
    <col min="9223" max="9223" width="9.375" style="1635" bestFit="1" customWidth="1"/>
    <col min="9224" max="9225" width="8.875" style="1635"/>
    <col min="9226" max="9226" width="9.375" style="1635" bestFit="1" customWidth="1"/>
    <col min="9227" max="9227" width="4" style="1635" customWidth="1"/>
    <col min="9228" max="9228" width="5.125" style="1635" customWidth="1"/>
    <col min="9229" max="9229" width="13.875" style="1635" customWidth="1"/>
    <col min="9230" max="9472" width="8.875"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8.875" style="1635"/>
    <col min="9479" max="9479" width="9.375" style="1635" bestFit="1" customWidth="1"/>
    <col min="9480" max="9481" width="8.875" style="1635"/>
    <col min="9482" max="9482" width="9.375" style="1635" bestFit="1" customWidth="1"/>
    <col min="9483" max="9483" width="4" style="1635" customWidth="1"/>
    <col min="9484" max="9484" width="5.125" style="1635" customWidth="1"/>
    <col min="9485" max="9485" width="13.875" style="1635" customWidth="1"/>
    <col min="9486" max="9728" width="8.875"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8.875" style="1635"/>
    <col min="9735" max="9735" width="9.375" style="1635" bestFit="1" customWidth="1"/>
    <col min="9736" max="9737" width="8.875" style="1635"/>
    <col min="9738" max="9738" width="9.375" style="1635" bestFit="1" customWidth="1"/>
    <col min="9739" max="9739" width="4" style="1635" customWidth="1"/>
    <col min="9740" max="9740" width="5.125" style="1635" customWidth="1"/>
    <col min="9741" max="9741" width="13.875" style="1635" customWidth="1"/>
    <col min="9742" max="9984" width="8.875"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8.875" style="1635"/>
    <col min="9991" max="9991" width="9.375" style="1635" bestFit="1" customWidth="1"/>
    <col min="9992" max="9993" width="8.875" style="1635"/>
    <col min="9994" max="9994" width="9.375" style="1635" bestFit="1" customWidth="1"/>
    <col min="9995" max="9995" width="4" style="1635" customWidth="1"/>
    <col min="9996" max="9996" width="5.125" style="1635" customWidth="1"/>
    <col min="9997" max="9997" width="13.875" style="1635" customWidth="1"/>
    <col min="9998" max="10240" width="8.875"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8.875" style="1635"/>
    <col min="10247" max="10247" width="9.375" style="1635" bestFit="1" customWidth="1"/>
    <col min="10248" max="10249" width="8.875" style="1635"/>
    <col min="10250" max="10250" width="9.375" style="1635" bestFit="1" customWidth="1"/>
    <col min="10251" max="10251" width="4" style="1635" customWidth="1"/>
    <col min="10252" max="10252" width="5.125" style="1635" customWidth="1"/>
    <col min="10253" max="10253" width="13.875" style="1635" customWidth="1"/>
    <col min="10254" max="10496" width="8.875"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8.875" style="1635"/>
    <col min="10503" max="10503" width="9.375" style="1635" bestFit="1" customWidth="1"/>
    <col min="10504" max="10505" width="8.875" style="1635"/>
    <col min="10506" max="10506" width="9.375" style="1635" bestFit="1" customWidth="1"/>
    <col min="10507" max="10507" width="4" style="1635" customWidth="1"/>
    <col min="10508" max="10508" width="5.125" style="1635" customWidth="1"/>
    <col min="10509" max="10509" width="13.875" style="1635" customWidth="1"/>
    <col min="10510" max="10752" width="8.875"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8.875" style="1635"/>
    <col min="10759" max="10759" width="9.375" style="1635" bestFit="1" customWidth="1"/>
    <col min="10760" max="10761" width="8.875" style="1635"/>
    <col min="10762" max="10762" width="9.375" style="1635" bestFit="1" customWidth="1"/>
    <col min="10763" max="10763" width="4" style="1635" customWidth="1"/>
    <col min="10764" max="10764" width="5.125" style="1635" customWidth="1"/>
    <col min="10765" max="10765" width="13.875" style="1635" customWidth="1"/>
    <col min="10766" max="11008" width="8.875"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8.875" style="1635"/>
    <col min="11015" max="11015" width="9.375" style="1635" bestFit="1" customWidth="1"/>
    <col min="11016" max="11017" width="8.875" style="1635"/>
    <col min="11018" max="11018" width="9.375" style="1635" bestFit="1" customWidth="1"/>
    <col min="11019" max="11019" width="4" style="1635" customWidth="1"/>
    <col min="11020" max="11020" width="5.125" style="1635" customWidth="1"/>
    <col min="11021" max="11021" width="13.875" style="1635" customWidth="1"/>
    <col min="11022" max="11264" width="8.875"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8.875" style="1635"/>
    <col min="11271" max="11271" width="9.375" style="1635" bestFit="1" customWidth="1"/>
    <col min="11272" max="11273" width="8.875" style="1635"/>
    <col min="11274" max="11274" width="9.375" style="1635" bestFit="1" customWidth="1"/>
    <col min="11275" max="11275" width="4" style="1635" customWidth="1"/>
    <col min="11276" max="11276" width="5.125" style="1635" customWidth="1"/>
    <col min="11277" max="11277" width="13.875" style="1635" customWidth="1"/>
    <col min="11278" max="11520" width="8.875"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8.875" style="1635"/>
    <col min="11527" max="11527" width="9.375" style="1635" bestFit="1" customWidth="1"/>
    <col min="11528" max="11529" width="8.875" style="1635"/>
    <col min="11530" max="11530" width="9.375" style="1635" bestFit="1" customWidth="1"/>
    <col min="11531" max="11531" width="4" style="1635" customWidth="1"/>
    <col min="11532" max="11532" width="5.125" style="1635" customWidth="1"/>
    <col min="11533" max="11533" width="13.875" style="1635" customWidth="1"/>
    <col min="11534" max="11776" width="8.875"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8.875" style="1635"/>
    <col min="11783" max="11783" width="9.375" style="1635" bestFit="1" customWidth="1"/>
    <col min="11784" max="11785" width="8.875" style="1635"/>
    <col min="11786" max="11786" width="9.375" style="1635" bestFit="1" customWidth="1"/>
    <col min="11787" max="11787" width="4" style="1635" customWidth="1"/>
    <col min="11788" max="11788" width="5.125" style="1635" customWidth="1"/>
    <col min="11789" max="11789" width="13.875" style="1635" customWidth="1"/>
    <col min="11790" max="12032" width="8.875"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8.875" style="1635"/>
    <col min="12039" max="12039" width="9.375" style="1635" bestFit="1" customWidth="1"/>
    <col min="12040" max="12041" width="8.875" style="1635"/>
    <col min="12042" max="12042" width="9.375" style="1635" bestFit="1" customWidth="1"/>
    <col min="12043" max="12043" width="4" style="1635" customWidth="1"/>
    <col min="12044" max="12044" width="5.125" style="1635" customWidth="1"/>
    <col min="12045" max="12045" width="13.875" style="1635" customWidth="1"/>
    <col min="12046" max="12288" width="8.875"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8.875" style="1635"/>
    <col min="12295" max="12295" width="9.375" style="1635" bestFit="1" customWidth="1"/>
    <col min="12296" max="12297" width="8.875" style="1635"/>
    <col min="12298" max="12298" width="9.375" style="1635" bestFit="1" customWidth="1"/>
    <col min="12299" max="12299" width="4" style="1635" customWidth="1"/>
    <col min="12300" max="12300" width="5.125" style="1635" customWidth="1"/>
    <col min="12301" max="12301" width="13.875" style="1635" customWidth="1"/>
    <col min="12302" max="12544" width="8.875"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8.875" style="1635"/>
    <col min="12551" max="12551" width="9.375" style="1635" bestFit="1" customWidth="1"/>
    <col min="12552" max="12553" width="8.875" style="1635"/>
    <col min="12554" max="12554" width="9.375" style="1635" bestFit="1" customWidth="1"/>
    <col min="12555" max="12555" width="4" style="1635" customWidth="1"/>
    <col min="12556" max="12556" width="5.125" style="1635" customWidth="1"/>
    <col min="12557" max="12557" width="13.875" style="1635" customWidth="1"/>
    <col min="12558" max="12800" width="8.875"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8.875" style="1635"/>
    <col min="12807" max="12807" width="9.375" style="1635" bestFit="1" customWidth="1"/>
    <col min="12808" max="12809" width="8.875" style="1635"/>
    <col min="12810" max="12810" width="9.375" style="1635" bestFit="1" customWidth="1"/>
    <col min="12811" max="12811" width="4" style="1635" customWidth="1"/>
    <col min="12812" max="12812" width="5.125" style="1635" customWidth="1"/>
    <col min="12813" max="12813" width="13.875" style="1635" customWidth="1"/>
    <col min="12814" max="13056" width="8.875"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8.875" style="1635"/>
    <col min="13063" max="13063" width="9.375" style="1635" bestFit="1" customWidth="1"/>
    <col min="13064" max="13065" width="8.875" style="1635"/>
    <col min="13066" max="13066" width="9.375" style="1635" bestFit="1" customWidth="1"/>
    <col min="13067" max="13067" width="4" style="1635" customWidth="1"/>
    <col min="13068" max="13068" width="5.125" style="1635" customWidth="1"/>
    <col min="13069" max="13069" width="13.875" style="1635" customWidth="1"/>
    <col min="13070" max="13312" width="8.875"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8.875" style="1635"/>
    <col min="13319" max="13319" width="9.375" style="1635" bestFit="1" customWidth="1"/>
    <col min="13320" max="13321" width="8.875" style="1635"/>
    <col min="13322" max="13322" width="9.375" style="1635" bestFit="1" customWidth="1"/>
    <col min="13323" max="13323" width="4" style="1635" customWidth="1"/>
    <col min="13324" max="13324" width="5.125" style="1635" customWidth="1"/>
    <col min="13325" max="13325" width="13.875" style="1635" customWidth="1"/>
    <col min="13326" max="13568" width="8.875"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8.875" style="1635"/>
    <col min="13575" max="13575" width="9.375" style="1635" bestFit="1" customWidth="1"/>
    <col min="13576" max="13577" width="8.875" style="1635"/>
    <col min="13578" max="13578" width="9.375" style="1635" bestFit="1" customWidth="1"/>
    <col min="13579" max="13579" width="4" style="1635" customWidth="1"/>
    <col min="13580" max="13580" width="5.125" style="1635" customWidth="1"/>
    <col min="13581" max="13581" width="13.875" style="1635" customWidth="1"/>
    <col min="13582" max="13824" width="8.875"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8.875" style="1635"/>
    <col min="13831" max="13831" width="9.375" style="1635" bestFit="1" customWidth="1"/>
    <col min="13832" max="13833" width="8.875" style="1635"/>
    <col min="13834" max="13834" width="9.375" style="1635" bestFit="1" customWidth="1"/>
    <col min="13835" max="13835" width="4" style="1635" customWidth="1"/>
    <col min="13836" max="13836" width="5.125" style="1635" customWidth="1"/>
    <col min="13837" max="13837" width="13.875" style="1635" customWidth="1"/>
    <col min="13838" max="14080" width="8.875"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8.875" style="1635"/>
    <col min="14087" max="14087" width="9.375" style="1635" bestFit="1" customWidth="1"/>
    <col min="14088" max="14089" width="8.875" style="1635"/>
    <col min="14090" max="14090" width="9.375" style="1635" bestFit="1" customWidth="1"/>
    <col min="14091" max="14091" width="4" style="1635" customWidth="1"/>
    <col min="14092" max="14092" width="5.125" style="1635" customWidth="1"/>
    <col min="14093" max="14093" width="13.875" style="1635" customWidth="1"/>
    <col min="14094" max="14336" width="8.875"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8.875" style="1635"/>
    <col min="14343" max="14343" width="9.375" style="1635" bestFit="1" customWidth="1"/>
    <col min="14344" max="14345" width="8.875" style="1635"/>
    <col min="14346" max="14346" width="9.375" style="1635" bestFit="1" customWidth="1"/>
    <col min="14347" max="14347" width="4" style="1635" customWidth="1"/>
    <col min="14348" max="14348" width="5.125" style="1635" customWidth="1"/>
    <col min="14349" max="14349" width="13.875" style="1635" customWidth="1"/>
    <col min="14350" max="14592" width="8.875"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8.875" style="1635"/>
    <col min="14599" max="14599" width="9.375" style="1635" bestFit="1" customWidth="1"/>
    <col min="14600" max="14601" width="8.875" style="1635"/>
    <col min="14602" max="14602" width="9.375" style="1635" bestFit="1" customWidth="1"/>
    <col min="14603" max="14603" width="4" style="1635" customWidth="1"/>
    <col min="14604" max="14604" width="5.125" style="1635" customWidth="1"/>
    <col min="14605" max="14605" width="13.875" style="1635" customWidth="1"/>
    <col min="14606" max="14848" width="8.875"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8.875" style="1635"/>
    <col min="14855" max="14855" width="9.375" style="1635" bestFit="1" customWidth="1"/>
    <col min="14856" max="14857" width="8.875" style="1635"/>
    <col min="14858" max="14858" width="9.375" style="1635" bestFit="1" customWidth="1"/>
    <col min="14859" max="14859" width="4" style="1635" customWidth="1"/>
    <col min="14860" max="14860" width="5.125" style="1635" customWidth="1"/>
    <col min="14861" max="14861" width="13.875" style="1635" customWidth="1"/>
    <col min="14862" max="15104" width="8.875"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8.875" style="1635"/>
    <col min="15111" max="15111" width="9.375" style="1635" bestFit="1" customWidth="1"/>
    <col min="15112" max="15113" width="8.875" style="1635"/>
    <col min="15114" max="15114" width="9.375" style="1635" bestFit="1" customWidth="1"/>
    <col min="15115" max="15115" width="4" style="1635" customWidth="1"/>
    <col min="15116" max="15116" width="5.125" style="1635" customWidth="1"/>
    <col min="15117" max="15117" width="13.875" style="1635" customWidth="1"/>
    <col min="15118" max="15360" width="8.875"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8.875" style="1635"/>
    <col min="15367" max="15367" width="9.375" style="1635" bestFit="1" customWidth="1"/>
    <col min="15368" max="15369" width="8.875" style="1635"/>
    <col min="15370" max="15370" width="9.375" style="1635" bestFit="1" customWidth="1"/>
    <col min="15371" max="15371" width="4" style="1635" customWidth="1"/>
    <col min="15372" max="15372" width="5.125" style="1635" customWidth="1"/>
    <col min="15373" max="15373" width="13.875" style="1635" customWidth="1"/>
    <col min="15374" max="15616" width="8.875"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8.875" style="1635"/>
    <col min="15623" max="15623" width="9.375" style="1635" bestFit="1" customWidth="1"/>
    <col min="15624" max="15625" width="8.875" style="1635"/>
    <col min="15626" max="15626" width="9.375" style="1635" bestFit="1" customWidth="1"/>
    <col min="15627" max="15627" width="4" style="1635" customWidth="1"/>
    <col min="15628" max="15628" width="5.125" style="1635" customWidth="1"/>
    <col min="15629" max="15629" width="13.875" style="1635" customWidth="1"/>
    <col min="15630" max="15872" width="8.875"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8.875" style="1635"/>
    <col min="15879" max="15879" width="9.375" style="1635" bestFit="1" customWidth="1"/>
    <col min="15880" max="15881" width="8.875" style="1635"/>
    <col min="15882" max="15882" width="9.375" style="1635" bestFit="1" customWidth="1"/>
    <col min="15883" max="15883" width="4" style="1635" customWidth="1"/>
    <col min="15884" max="15884" width="5.125" style="1635" customWidth="1"/>
    <col min="15885" max="15885" width="13.875" style="1635" customWidth="1"/>
    <col min="15886" max="16128" width="8.875"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8.875" style="1635"/>
    <col min="16135" max="16135" width="9.375" style="1635" bestFit="1" customWidth="1"/>
    <col min="16136" max="16137" width="8.875" style="1635"/>
    <col min="16138" max="16138" width="9.375" style="1635" bestFit="1" customWidth="1"/>
    <col min="16139" max="16139" width="4" style="1635" customWidth="1"/>
    <col min="16140" max="16140" width="5.125" style="1635" customWidth="1"/>
    <col min="16141" max="16141" width="13.875" style="1635" customWidth="1"/>
    <col min="16142" max="16384" width="8.875" style="1635"/>
  </cols>
  <sheetData>
    <row r="1" spans="1:257" s="1699" customFormat="1" ht="14.25" thickBot="1">
      <c r="A1" s="1693"/>
      <c r="B1" s="1700" t="s">
        <v>1295</v>
      </c>
      <c r="C1" s="1694">
        <f>项目基本情况!D3</f>
        <v>43923</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3" t="str">
        <f>IF(项目基本情况!B9="房地产市场价值","估价结果一览表","结果表-2")</f>
        <v>估价结果一览表</v>
      </c>
      <c r="B1" s="3073"/>
      <c r="C1" s="3073"/>
      <c r="D1" s="3073"/>
      <c r="E1" s="3073"/>
      <c r="F1" s="3073"/>
      <c r="G1" s="3073"/>
      <c r="H1" s="3073"/>
      <c r="I1" s="3073"/>
    </row>
    <row r="2" spans="1:9" ht="30" customHeight="1" thickTop="1">
      <c r="A2" s="3074" t="s">
        <v>1635</v>
      </c>
      <c r="B2" s="3074" t="s">
        <v>1636</v>
      </c>
      <c r="C2" s="3074" t="s">
        <v>1637</v>
      </c>
      <c r="D2" s="3074" t="str">
        <f>结果表!D116</f>
        <v>出让国有建设用地使用权价值</v>
      </c>
      <c r="E2" s="3074"/>
      <c r="F2" s="3074" t="str">
        <f>结果表!F116</f>
        <v>在建建筑物价值</v>
      </c>
      <c r="G2" s="3074"/>
      <c r="H2" s="3074" t="str">
        <f>IF(项目基本情况!B9="房地产市场价值","房地产市场价值","房地产价值")</f>
        <v>房地产市场价值</v>
      </c>
      <c r="I2" s="3074"/>
    </row>
    <row r="3" spans="1:9" ht="15">
      <c r="A3" s="3068"/>
      <c r="B3" s="3068"/>
      <c r="C3" s="3068"/>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11819.969999999998</v>
      </c>
      <c r="C4" s="1044">
        <f>项目基本情况!C18</f>
        <v>21120.11</v>
      </c>
      <c r="D4" s="1044" t="e">
        <f ca="1">结果表!D118</f>
        <v>#REF!</v>
      </c>
      <c r="E4" s="1044" t="e">
        <f ca="1">结果表!E118</f>
        <v>#REF!</v>
      </c>
      <c r="F4" s="1044" t="e">
        <f ca="1">结果表!F118</f>
        <v>#REF!</v>
      </c>
      <c r="G4" s="1044" t="e">
        <f ca="1">结果表!G118</f>
        <v>#REF!</v>
      </c>
      <c r="H4" s="1044" t="e">
        <f ca="1">结果表!H118</f>
        <v>#REF!</v>
      </c>
      <c r="I4" s="1044" t="e">
        <f ca="1">结果表!I118</f>
        <v>#REF!</v>
      </c>
    </row>
    <row r="5" spans="1:9" ht="30" customHeight="1">
      <c r="A5" s="3068" t="s">
        <v>1634</v>
      </c>
      <c r="B5" s="3068"/>
      <c r="C5" s="3068"/>
      <c r="D5" s="3069" t="e">
        <f ca="1">结果表!D119</f>
        <v>#REF!</v>
      </c>
      <c r="E5" s="3069"/>
      <c r="F5" s="3069" t="e">
        <f ca="1">结果表!F119</f>
        <v>#REF!</v>
      </c>
      <c r="G5" s="3069"/>
      <c r="H5" s="3069" t="e">
        <f ca="1">结果表!H119</f>
        <v>#REF!</v>
      </c>
      <c r="I5" s="3069"/>
    </row>
    <row r="6" spans="1:9" ht="15.75">
      <c r="A6" s="3067" t="str">
        <f>结果表!A120</f>
        <v/>
      </c>
      <c r="B6" s="3067"/>
      <c r="C6" s="3067"/>
      <c r="D6" s="3067">
        <f>结果表!D120</f>
        <v>0</v>
      </c>
      <c r="E6" s="3067"/>
      <c r="F6" s="3067"/>
      <c r="G6" s="3067"/>
      <c r="H6" s="3067"/>
      <c r="I6" s="3067"/>
    </row>
    <row r="7" spans="1:9" ht="15">
      <c r="A7" s="3068" t="s">
        <v>1634</v>
      </c>
      <c r="B7" s="3068"/>
      <c r="C7" s="3068"/>
      <c r="D7" s="3070" t="str">
        <f>结果表!D121</f>
        <v>零元整</v>
      </c>
      <c r="E7" s="3071"/>
      <c r="F7" s="3071"/>
      <c r="G7" s="3071"/>
      <c r="H7" s="3071"/>
      <c r="I7" s="3072"/>
    </row>
    <row r="8" spans="1:9" ht="15.75">
      <c r="A8" s="3067" t="str">
        <f>结果表!A122</f>
        <v/>
      </c>
      <c r="B8" s="3067"/>
      <c r="C8" s="3067"/>
      <c r="D8" s="3067" t="e">
        <f ca="1">结果表!D122</f>
        <v>#REF!</v>
      </c>
      <c r="E8" s="3067"/>
      <c r="F8" s="3067"/>
      <c r="G8" s="3067"/>
      <c r="H8" s="3067"/>
      <c r="I8" s="3067"/>
    </row>
    <row r="9" spans="1:9" ht="15">
      <c r="A9" s="3068" t="s">
        <v>1634</v>
      </c>
      <c r="B9" s="3068"/>
      <c r="C9" s="3068"/>
      <c r="D9" s="3069" t="e">
        <f ca="1">结果表!D123</f>
        <v>#REF!</v>
      </c>
      <c r="E9" s="3069"/>
      <c r="F9" s="3069"/>
      <c r="G9" s="3069"/>
      <c r="H9" s="3069"/>
      <c r="I9" s="3069"/>
    </row>
    <row r="10" spans="1:9" ht="15.75">
      <c r="A10" s="3067" t="str">
        <f>结果表!A124</f>
        <v/>
      </c>
      <c r="B10" s="3067"/>
      <c r="C10" s="3067"/>
      <c r="D10" s="3067" t="str">
        <f>结果表!D124</f>
        <v>——</v>
      </c>
      <c r="E10" s="3067"/>
      <c r="F10" s="3067"/>
      <c r="G10" s="3067"/>
      <c r="H10" s="3067"/>
      <c r="I10" s="3067"/>
    </row>
    <row r="11" spans="1:9" ht="15">
      <c r="A11" s="3068" t="s">
        <v>1634</v>
      </c>
      <c r="B11" s="3068"/>
      <c r="C11" s="3068"/>
      <c r="D11" s="3069" t="e">
        <f>结果表!D125</f>
        <v>#VALUE!</v>
      </c>
      <c r="E11" s="3069"/>
      <c r="F11" s="3069"/>
      <c r="G11" s="3069"/>
      <c r="H11" s="3069"/>
      <c r="I11" s="3069"/>
    </row>
    <row r="12" spans="1:9" ht="15.75">
      <c r="A12" s="3067" t="str">
        <f>结果表!A126</f>
        <v/>
      </c>
      <c r="B12" s="3067"/>
      <c r="C12" s="3067"/>
      <c r="D12" s="3067" t="str">
        <f>结果表!D126</f>
        <v>——</v>
      </c>
      <c r="E12" s="3067"/>
      <c r="F12" s="3067"/>
      <c r="G12" s="3067"/>
      <c r="H12" s="3067"/>
      <c r="I12" s="3067"/>
    </row>
    <row r="13" spans="1:9" ht="15.75" thickBot="1">
      <c r="A13" s="3064" t="s">
        <v>1634</v>
      </c>
      <c r="B13" s="3064"/>
      <c r="C13" s="3064"/>
      <c r="D13" s="3065" t="e">
        <f>结果表!D127</f>
        <v>#VALUE!</v>
      </c>
      <c r="E13" s="3065"/>
      <c r="F13" s="3065"/>
      <c r="G13" s="3065"/>
      <c r="H13" s="3065"/>
      <c r="I13" s="3065"/>
    </row>
    <row r="14" spans="1:9" ht="15" thickTop="1">
      <c r="A14" s="3066" t="s">
        <v>1639</v>
      </c>
      <c r="B14" s="3066"/>
      <c r="C14" s="3066"/>
      <c r="D14" s="3066"/>
      <c r="E14" s="3066"/>
      <c r="F14" s="3066"/>
      <c r="G14" s="3066"/>
      <c r="H14" s="3066"/>
      <c r="I14" s="306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81" t="s">
        <v>1656</v>
      </c>
      <c r="B1" s="3081"/>
      <c r="C1" s="3081"/>
      <c r="D1" s="3081"/>
    </row>
    <row r="2" spans="1:4" ht="18">
      <c r="A2" s="3082" t="s">
        <v>1640</v>
      </c>
      <c r="B2" s="3082"/>
      <c r="C2" s="3082"/>
      <c r="D2" s="3082"/>
    </row>
    <row r="3" spans="1:4" ht="18.75">
      <c r="A3" s="1976" t="s">
        <v>1641</v>
      </c>
      <c r="B3" s="1976" t="s">
        <v>1642</v>
      </c>
      <c r="C3" s="1976" t="s">
        <v>1643</v>
      </c>
      <c r="D3" s="1976" t="s">
        <v>1644</v>
      </c>
    </row>
    <row r="4" spans="1:4" ht="56.25" customHeight="1">
      <c r="A4" s="1977" t="str">
        <f>项目基本情况!B4</f>
        <v>陈颖</v>
      </c>
      <c r="B4" s="1978">
        <f ca="1">项目基本情况!C4</f>
        <v>1120060040</v>
      </c>
      <c r="C4" s="1979"/>
      <c r="D4" s="1980" t="s">
        <v>1645</v>
      </c>
    </row>
    <row r="5" spans="1:4" ht="56.25" customHeight="1">
      <c r="A5" s="1977" t="str">
        <f>项目基本情况!D4</f>
        <v>叶凌</v>
      </c>
      <c r="B5" s="1978">
        <f ca="1">项目基本情况!E4</f>
        <v>1119970111</v>
      </c>
      <c r="C5" s="1981"/>
      <c r="D5" s="1980" t="s">
        <v>1645</v>
      </c>
    </row>
    <row r="6" spans="1:4" ht="18">
      <c r="A6" s="3082" t="s">
        <v>1646</v>
      </c>
      <c r="B6" s="3082"/>
      <c r="C6" s="3082"/>
      <c r="D6" s="308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83" t="s">
        <v>1649</v>
      </c>
      <c r="B11" s="3075"/>
      <c r="C11" s="3075"/>
      <c r="D11" s="3075"/>
    </row>
    <row r="12" spans="1:4" ht="15.75">
      <c r="A12" s="30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0"/>
      <c r="C12" s="3080"/>
      <c r="D12" s="3080"/>
    </row>
    <row r="13" spans="1:4" ht="30" customHeight="1">
      <c r="A13" s="3075" t="str">
        <f>IF(项目基本情况!B8="抵押","3.抵押双方在办理抵押登记手续时，应使用本公司出具的正式《房地产评估报告》，特提醒报告使用者注意。","——")</f>
        <v>——</v>
      </c>
      <c r="B13" s="3080"/>
      <c r="C13" s="3080"/>
      <c r="D13" s="3080"/>
    </row>
    <row r="14" spans="1:4" ht="15.75" customHeight="1">
      <c r="A14" s="3075" t="str">
        <f>IF(项目基本情况!B8="抵押","4.本次评估估价师所知悉的法定优先受偿款情况说明如下：","——")</f>
        <v>——</v>
      </c>
      <c r="B14" s="3080"/>
      <c r="C14" s="3080"/>
      <c r="D14" s="3080"/>
    </row>
    <row r="15" spans="1:4" ht="42" customHeight="1">
      <c r="A15" s="3075" t="str">
        <f>IF(项目基本情况!B8="抵押","（1）"&amp;CONCATENATE(项目基本情况!L20,项目基本情况!L21,项目基本情况!L22),"——")</f>
        <v>——</v>
      </c>
      <c r="B15" s="3075"/>
      <c r="C15" s="3075"/>
      <c r="D15" s="3075"/>
    </row>
    <row r="16" spans="1:4" ht="30" customHeight="1">
      <c r="A16" s="3077" t="s">
        <v>1650</v>
      </c>
      <c r="B16" s="3077"/>
      <c r="C16" s="3077"/>
      <c r="D16" s="3077"/>
    </row>
    <row r="17" spans="1:4" ht="144" customHeight="1">
      <c r="A17" s="3077" t="s">
        <v>1651</v>
      </c>
      <c r="B17" s="3077"/>
      <c r="C17" s="3077"/>
      <c r="D17" s="3077"/>
    </row>
    <row r="18" spans="1:4" ht="15.75" customHeight="1">
      <c r="A18" s="3075" t="str">
        <f>IF(项目基本情况!B8="抵押",结果表!K120,"——")</f>
        <v>——</v>
      </c>
      <c r="B18" s="3075"/>
      <c r="C18" s="3075"/>
      <c r="D18" s="3075"/>
    </row>
    <row r="19" spans="1:4" ht="46.5" customHeight="1">
      <c r="A19" s="30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5"/>
      <c r="C19" s="3075"/>
      <c r="D19" s="3075"/>
    </row>
    <row r="20" spans="1:4" ht="57.75" customHeight="1">
      <c r="A20" s="30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5"/>
      <c r="C20" s="3075"/>
      <c r="D20" s="3075"/>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8"/>
      <c r="C21" s="3078"/>
      <c r="D21" s="3078"/>
    </row>
    <row r="22" spans="1:4" ht="18.75" customHeight="1">
      <c r="A22" s="3079" t="s">
        <v>1652</v>
      </c>
      <c r="B22" s="3079"/>
      <c r="C22" s="3079"/>
      <c r="D22" s="307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76">
        <v>42551</v>
      </c>
      <c r="D31" s="30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89" t="s">
        <v>1663</v>
      </c>
      <c r="B15" s="3084" t="s">
        <v>136</v>
      </c>
      <c r="C15" s="3085"/>
    </row>
    <row r="16" spans="1:7" ht="13.5">
      <c r="A16" s="3090"/>
      <c r="B16" s="3084" t="s">
        <v>69</v>
      </c>
      <c r="C16" s="3085"/>
    </row>
    <row r="17" spans="1:3" ht="13.5">
      <c r="A17" s="3090"/>
      <c r="B17" s="3087" t="s">
        <v>1664</v>
      </c>
      <c r="C17" s="1999" t="s">
        <v>1663</v>
      </c>
    </row>
    <row r="18" spans="1:3" ht="13.5">
      <c r="A18" s="3090"/>
      <c r="B18" s="3087"/>
      <c r="C18" s="1999" t="s">
        <v>1665</v>
      </c>
    </row>
    <row r="19" spans="1:3" ht="13.5">
      <c r="A19" s="3090"/>
      <c r="B19" s="3087"/>
      <c r="C19" s="1999" t="s">
        <v>1666</v>
      </c>
    </row>
    <row r="20" spans="1:3" ht="13.5">
      <c r="A20" s="3091"/>
      <c r="B20" s="3086" t="s">
        <v>1667</v>
      </c>
      <c r="C20" s="3085"/>
    </row>
    <row r="21" spans="1:3" ht="13.5">
      <c r="A21" s="2000" t="s">
        <v>1668</v>
      </c>
      <c r="B21" s="2001"/>
      <c r="C21" s="2002"/>
    </row>
    <row r="22" spans="1:3" ht="13.5">
      <c r="A22" s="3088" t="s">
        <v>1669</v>
      </c>
      <c r="B22" s="3086" t="s">
        <v>1670</v>
      </c>
      <c r="C22" s="3085"/>
    </row>
    <row r="23" spans="1:3" ht="13.5">
      <c r="A23" s="3088"/>
      <c r="B23" s="3086" t="s">
        <v>1671</v>
      </c>
      <c r="C23" s="3085"/>
    </row>
    <row r="24" spans="1:3" ht="13.5">
      <c r="A24" s="3088"/>
      <c r="B24" s="3086" t="s">
        <v>1672</v>
      </c>
      <c r="C24" s="3085"/>
    </row>
    <row r="25" spans="1:3" ht="13.5">
      <c r="A25" s="3088"/>
      <c r="B25" s="3087" t="s">
        <v>1673</v>
      </c>
      <c r="C25" s="1999" t="s">
        <v>1674</v>
      </c>
    </row>
    <row r="26" spans="1:3" ht="13.5">
      <c r="A26" s="3088"/>
      <c r="B26" s="3087"/>
      <c r="C26" s="1999" t="s">
        <v>1675</v>
      </c>
    </row>
    <row r="27" spans="1:3" ht="13.5">
      <c r="A27" s="3088"/>
      <c r="B27" s="3087"/>
      <c r="C27" s="1999" t="s">
        <v>1676</v>
      </c>
    </row>
    <row r="28" spans="1:3" ht="13.5">
      <c r="A28" s="3088"/>
      <c r="B28" s="3087"/>
      <c r="C28" s="1999" t="s">
        <v>1677</v>
      </c>
    </row>
    <row r="29" spans="1:3" ht="13.5">
      <c r="A29" s="3088"/>
      <c r="B29" s="3087"/>
      <c r="C29" s="1999" t="s">
        <v>1678</v>
      </c>
    </row>
    <row r="30" spans="1:3" ht="13.5">
      <c r="A30" s="3088"/>
      <c r="B30" s="3087"/>
      <c r="C30" s="1999" t="s">
        <v>1679</v>
      </c>
    </row>
    <row r="31" spans="1:3" ht="13.5">
      <c r="A31" s="3088"/>
      <c r="B31" s="3087"/>
      <c r="C31" s="1999" t="s">
        <v>1680</v>
      </c>
    </row>
    <row r="32" spans="1:3" ht="13.5">
      <c r="A32" s="3088"/>
      <c r="B32" s="3087"/>
      <c r="C32" s="1999" t="s">
        <v>1681</v>
      </c>
    </row>
    <row r="33" spans="1:3" ht="13.5">
      <c r="A33" s="3088"/>
      <c r="B33" s="308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C23" sqref="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44060</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928">
        <v>44876</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928">
        <v>44876</v>
      </c>
      <c r="D8" s="2349" t="s">
        <v>835</v>
      </c>
      <c r="E8" s="1022">
        <f ca="1">IF(F8&lt;B2,"已过期",2000110082)</f>
        <v>2000110082</v>
      </c>
      <c r="F8" s="1030">
        <v>46387</v>
      </c>
    </row>
    <row r="9" spans="1:6" ht="24" customHeight="1">
      <c r="A9" s="1702" t="s">
        <v>836</v>
      </c>
      <c r="B9" s="1022">
        <f ca="1">IF(C9&lt;B2,"已过期",1419970001)</f>
        <v>1419970001</v>
      </c>
      <c r="C9" s="2928">
        <v>44899</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3042</v>
      </c>
      <c r="B14" s="1022">
        <f ca="1">IF(C14&lt;B2,"已过期",1120040230)</f>
        <v>1120040230</v>
      </c>
      <c r="C14" s="2346">
        <v>44864</v>
      </c>
      <c r="D14" s="2349" t="s">
        <v>3042</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3049</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3051</v>
      </c>
      <c r="B23" s="1022">
        <v>1119980106</v>
      </c>
      <c r="C23" s="2346">
        <v>44969</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92" t="s">
        <v>842</v>
      </c>
      <c r="B25" s="3092"/>
      <c r="C25" s="3092"/>
      <c r="D25" s="3092"/>
      <c r="E25" s="3092"/>
      <c r="F25" s="3092"/>
      <c r="G25" s="3092"/>
    </row>
    <row r="26" spans="1:7" s="1025" customFormat="1" ht="24" customHeight="1">
      <c r="A26" s="3093" t="s">
        <v>843</v>
      </c>
      <c r="B26" s="3093"/>
      <c r="C26" s="3094"/>
      <c r="D26" s="3095" t="s">
        <v>844</v>
      </c>
      <c r="E26" s="3093"/>
      <c r="F26" s="309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7" stopIfTrue="1" operator="lessThan">
      <formula>$B$2</formula>
    </cfRule>
  </conditionalFormatting>
  <conditionalFormatting sqref="C5">
    <cfRule type="expression" dxfId="234" priority="102">
      <formula>AND($C5-TODAY()&lt;30,TODAY()&lt;$C5)</formula>
    </cfRule>
  </conditionalFormatting>
  <conditionalFormatting sqref="C5 F5">
    <cfRule type="cellIs" dxfId="233" priority="103" stopIfTrue="1" operator="lessThan">
      <formula>$B$2</formula>
    </cfRule>
  </conditionalFormatting>
  <conditionalFormatting sqref="F6 F8 F10">
    <cfRule type="cellIs" dxfId="232" priority="101" stopIfTrue="1" operator="lessThan">
      <formula>$B$2</formula>
    </cfRule>
  </conditionalFormatting>
  <conditionalFormatting sqref="C5:C7 C13 C17 C19:C21 C10:C11">
    <cfRule type="expression" dxfId="231" priority="99">
      <formula>AND($C5-TODAY()&lt;30,TODAY()&lt;$C5)</formula>
    </cfRule>
  </conditionalFormatting>
  <conditionalFormatting sqref="F7 F9 F11 C5:C7 C13 C17 C19:C21 C10:C11">
    <cfRule type="cellIs" dxfId="230" priority="100" stopIfTrue="1" operator="lessThan">
      <formula>$B$2</formula>
    </cfRule>
  </conditionalFormatting>
  <conditionalFormatting sqref="C20">
    <cfRule type="expression" dxfId="229" priority="87">
      <formula>AND($C20-TODAY()&lt;30,TODAY()&lt;$C20)</formula>
    </cfRule>
  </conditionalFormatting>
  <conditionalFormatting sqref="C20">
    <cfRule type="cellIs" dxfId="228" priority="88" stopIfTrue="1" operator="lessThan">
      <formula>$B$2</formula>
    </cfRule>
  </conditionalFormatting>
  <conditionalFormatting sqref="C17">
    <cfRule type="expression" dxfId="227" priority="81">
      <formula>AND($C17-TODAY()&lt;30,TODAY()&lt;$C17)</formula>
    </cfRule>
  </conditionalFormatting>
  <conditionalFormatting sqref="C17">
    <cfRule type="cellIs" dxfId="226" priority="82" stopIfTrue="1" operator="lessThan">
      <formula>$B$2</formula>
    </cfRule>
  </conditionalFormatting>
  <conditionalFormatting sqref="C19">
    <cfRule type="expression" dxfId="225" priority="79">
      <formula>AND($C19-TODAY()&lt;30,TODAY()&lt;$C19)</formula>
    </cfRule>
  </conditionalFormatting>
  <conditionalFormatting sqref="C19">
    <cfRule type="cellIs" dxfId="224" priority="80" stopIfTrue="1" operator="lessThan">
      <formula>$B$2</formula>
    </cfRule>
  </conditionalFormatting>
  <conditionalFormatting sqref="C21">
    <cfRule type="expression" dxfId="223" priority="77">
      <formula>AND($C21-TODAY()&lt;30,TODAY()&lt;$C21)</formula>
    </cfRule>
  </conditionalFormatting>
  <conditionalFormatting sqref="C21">
    <cfRule type="cellIs" dxfId="222" priority="78" stopIfTrue="1" operator="lessThan">
      <formula>$B$2</formula>
    </cfRule>
  </conditionalFormatting>
  <conditionalFormatting sqref="F18">
    <cfRule type="cellIs" dxfId="221" priority="72" stopIfTrue="1" operator="lessThan">
      <formula>$B$2</formula>
    </cfRule>
  </conditionalFormatting>
  <conditionalFormatting sqref="F22">
    <cfRule type="cellIs" dxfId="220" priority="71" stopIfTrue="1" operator="lessThan">
      <formula>$B$2</formula>
    </cfRule>
  </conditionalFormatting>
  <conditionalFormatting sqref="F21">
    <cfRule type="cellIs" dxfId="219" priority="70" stopIfTrue="1" operator="lessThan">
      <formula>$B$2</formula>
    </cfRule>
  </conditionalFormatting>
  <conditionalFormatting sqref="B4:B11 E4:E11 B17 E18:E23 B13 E13 B19:B23">
    <cfRule type="cellIs" dxfId="218" priority="68" stopIfTrue="1" operator="equal">
      <formula>"已过期"</formula>
    </cfRule>
  </conditionalFormatting>
  <conditionalFormatting sqref="A24:F24">
    <cfRule type="cellIs" dxfId="217" priority="64" stopIfTrue="1" operator="equal">
      <formula>"已过期"</formula>
    </cfRule>
  </conditionalFormatting>
  <conditionalFormatting sqref="F28">
    <cfRule type="expression" dxfId="216" priority="62">
      <formula>AND($E28-TODAY()&lt;30,TODAY()&lt;$E28)</formula>
    </cfRule>
  </conditionalFormatting>
  <conditionalFormatting sqref="F28">
    <cfRule type="cellIs" dxfId="215" priority="63" stopIfTrue="1" operator="lessThan">
      <formula>$B$2</formula>
    </cfRule>
  </conditionalFormatting>
  <conditionalFormatting sqref="F29">
    <cfRule type="expression" dxfId="214" priority="58" stopIfTrue="1">
      <formula>AND($E29-TODAY()&lt;30,TODAY()&lt;$E29)</formula>
    </cfRule>
  </conditionalFormatting>
  <conditionalFormatting sqref="F29">
    <cfRule type="cellIs" dxfId="213" priority="59" stopIfTrue="1" operator="lessThan">
      <formula>$B$2</formula>
    </cfRule>
  </conditionalFormatting>
  <conditionalFormatting sqref="F13">
    <cfRule type="cellIs" dxfId="212" priority="51" stopIfTrue="1" operator="lessThan">
      <formula>$B$2</formula>
    </cfRule>
  </conditionalFormatting>
  <conditionalFormatting sqref="C12">
    <cfRule type="expression" dxfId="211" priority="49">
      <formula>AND($C12-TODAY()&lt;30,TODAY()&lt;$C12)</formula>
    </cfRule>
  </conditionalFormatting>
  <conditionalFormatting sqref="C12">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B12">
    <cfRule type="cellIs" dxfId="207" priority="46" stopIfTrue="1" operator="equal">
      <formula>"已过期"</formula>
    </cfRule>
  </conditionalFormatting>
  <conditionalFormatting sqref="E12">
    <cfRule type="cellIs" dxfId="206" priority="45" stopIfTrue="1" operator="equal">
      <formula>"已过期"</formula>
    </cfRule>
  </conditionalFormatting>
  <conditionalFormatting sqref="F12">
    <cfRule type="cellIs" dxfId="205" priority="44" stopIfTrue="1" operator="lessThan">
      <formula>$B$2</formula>
    </cfRule>
  </conditionalFormatting>
  <conditionalFormatting sqref="C22">
    <cfRule type="expression" dxfId="204" priority="42">
      <formula>AND($C22-TODAY()&lt;30,TODAY()&lt;$C22)</formula>
    </cfRule>
  </conditionalFormatting>
  <conditionalFormatting sqref="C22">
    <cfRule type="cellIs" dxfId="203" priority="43"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16">
    <cfRule type="expression" dxfId="200" priority="38">
      <formula>AND($C16-TODAY()&lt;30,TODAY()&lt;$C16)</formula>
    </cfRule>
  </conditionalFormatting>
  <conditionalFormatting sqref="C16">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B16">
    <cfRule type="cellIs" dxfId="196" priority="35" stopIfTrue="1" operator="equal">
      <formula>"已过期"</formula>
    </cfRule>
  </conditionalFormatting>
  <conditionalFormatting sqref="C14:C15">
    <cfRule type="expression" dxfId="195" priority="33">
      <formula>AND($C14-TODAY()&lt;30,TODAY()&lt;$C14)</formula>
    </cfRule>
  </conditionalFormatting>
  <conditionalFormatting sqref="C14:C15">
    <cfRule type="cellIs" dxfId="194" priority="34" stopIfTrue="1" operator="lessThan">
      <formula>$B$2</formula>
    </cfRule>
  </conditionalFormatting>
  <conditionalFormatting sqref="C14">
    <cfRule type="expression" dxfId="193" priority="31">
      <formula>AND($C14-TODAY()&lt;30,TODAY()&lt;$C14)</formula>
    </cfRule>
  </conditionalFormatting>
  <conditionalFormatting sqref="C14">
    <cfRule type="cellIs" dxfId="192" priority="32" stopIfTrue="1" operator="lessThan">
      <formula>$B$2</formula>
    </cfRule>
  </conditionalFormatting>
  <conditionalFormatting sqref="C15">
    <cfRule type="expression" dxfId="191" priority="29">
      <formula>AND($C15-TODAY()&lt;30,TODAY()&lt;$C15)</formula>
    </cfRule>
  </conditionalFormatting>
  <conditionalFormatting sqref="C15">
    <cfRule type="cellIs" dxfId="190" priority="30" stopIfTrue="1" operator="lessThan">
      <formula>$B$2</formula>
    </cfRule>
  </conditionalFormatting>
  <conditionalFormatting sqref="B14">
    <cfRule type="cellIs" dxfId="189" priority="28" stopIfTrue="1" operator="equal">
      <formula>"已过期"</formula>
    </cfRule>
  </conditionalFormatting>
  <conditionalFormatting sqref="B15">
    <cfRule type="cellIs" dxfId="188" priority="27" stopIfTrue="1" operator="equal">
      <formula>"已过期"</formula>
    </cfRule>
  </conditionalFormatting>
  <conditionalFormatting sqref="A15">
    <cfRule type="cellIs" dxfId="187" priority="26" stopIfTrue="1" operator="equal">
      <formula>"已过期"</formula>
    </cfRule>
  </conditionalFormatting>
  <conditionalFormatting sqref="C15">
    <cfRule type="expression" dxfId="186" priority="25">
      <formula>AND($C15-TODAY()&lt;30,TODAY()&lt;$C15)</formula>
    </cfRule>
  </conditionalFormatting>
  <conditionalFormatting sqref="F16">
    <cfRule type="cellIs" dxfId="185" priority="24" stopIfTrue="1" operator="lessThan">
      <formula>$B$2</formula>
    </cfRule>
  </conditionalFormatting>
  <conditionalFormatting sqref="E16 E14">
    <cfRule type="cellIs" dxfId="184" priority="23" stopIfTrue="1" operator="equal">
      <formula>"已过期"</formula>
    </cfRule>
  </conditionalFormatting>
  <conditionalFormatting sqref="E15">
    <cfRule type="cellIs" dxfId="183" priority="22" stopIfTrue="1" operator="equal">
      <formula>"已过期"</formula>
    </cfRule>
  </conditionalFormatting>
  <conditionalFormatting sqref="D15">
    <cfRule type="cellIs" dxfId="182" priority="21" stopIfTrue="1" operator="equal">
      <formula>"已过期"</formula>
    </cfRule>
  </conditionalFormatting>
  <conditionalFormatting sqref="F17">
    <cfRule type="cellIs" dxfId="181" priority="20" stopIfTrue="1" operator="lessThan">
      <formula>$B$2</formula>
    </cfRule>
  </conditionalFormatting>
  <conditionalFormatting sqref="E17">
    <cfRule type="cellIs" dxfId="180" priority="19" stopIfTrue="1" operator="equal">
      <formula>"已过期"</formula>
    </cfRule>
  </conditionalFormatting>
  <conditionalFormatting sqref="F14">
    <cfRule type="cellIs" dxfId="179" priority="18" stopIfTrue="1" operator="lessThan">
      <formula>$B$2</formula>
    </cfRule>
  </conditionalFormatting>
  <conditionalFormatting sqref="C18">
    <cfRule type="expression" dxfId="178" priority="16">
      <formula>AND($C18-TODAY()&lt;30,TODAY()&lt;$C18)</formula>
    </cfRule>
  </conditionalFormatting>
  <conditionalFormatting sqref="C18">
    <cfRule type="cellIs" dxfId="177" priority="17"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B18">
    <cfRule type="cellIs" dxfId="174" priority="13" stopIfTrue="1" operator="equal">
      <formula>"已过期"</formula>
    </cfRule>
  </conditionalFormatting>
  <conditionalFormatting sqref="C28">
    <cfRule type="expression" dxfId="173" priority="11">
      <formula>AND($C28-TODAY()&lt;30,TODAY()&lt;$C28)</formula>
    </cfRule>
  </conditionalFormatting>
  <conditionalFormatting sqref="C28">
    <cfRule type="cellIs" dxfId="172" priority="12" stopIfTrue="1" operator="lessThan">
      <formula>$B$2</formula>
    </cfRule>
  </conditionalFormatting>
  <conditionalFormatting sqref="C4">
    <cfRule type="expression" dxfId="171" priority="9">
      <formula>AND($C4-TODAY()&lt;30,TODAY()&lt;$C4)</formula>
    </cfRule>
  </conditionalFormatting>
  <conditionalFormatting sqref="C4">
    <cfRule type="cellIs" dxfId="170" priority="10" stopIfTrue="1" operator="lessThan">
      <formula>$B$2</formula>
    </cfRule>
  </conditionalFormatting>
  <conditionalFormatting sqref="C8">
    <cfRule type="expression" dxfId="169" priority="7">
      <formula>AND($C8-TODAY()&lt;30,TODAY()&lt;$C8)</formula>
    </cfRule>
  </conditionalFormatting>
  <conditionalFormatting sqref="C8">
    <cfRule type="cellIs" dxfId="168" priority="8" stopIfTrue="1" operator="lessThan">
      <formula>$B$2</formula>
    </cfRule>
  </conditionalFormatting>
  <conditionalFormatting sqref="C9">
    <cfRule type="expression" dxfId="167" priority="5">
      <formula>AND($C9-TODAY()&lt;30,TODAY()&lt;$C9)</formula>
    </cfRule>
  </conditionalFormatting>
  <conditionalFormatting sqref="C9">
    <cfRule type="cellIs" dxfId="166" priority="6" stopIfTrue="1" operator="lessThan">
      <formula>$B$2</formula>
    </cfRule>
  </conditionalFormatting>
  <conditionalFormatting sqref="C23">
    <cfRule type="expression" dxfId="165" priority="3">
      <formula>AND($C23-TODAY()&lt;30,TODAY()&lt;$C23)</formula>
    </cfRule>
  </conditionalFormatting>
  <conditionalFormatting sqref="C23">
    <cfRule type="cellIs" dxfId="164" priority="4" stopIfTrue="1" operator="lessThan">
      <formula>$B$2</formula>
    </cfRule>
  </conditionalFormatting>
  <conditionalFormatting sqref="C23">
    <cfRule type="expression" dxfId="163" priority="1">
      <formula>AND($C23-TODAY()&lt;30,TODAY()&lt;$C23)</formula>
    </cfRule>
  </conditionalFormatting>
  <conditionalFormatting sqref="C23">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汇总表</vt:lpstr>
      <vt:lpstr>租金案例</vt:lpstr>
      <vt:lpstr>比较法-其他办公</vt:lpstr>
      <vt:lpstr>收益法 (倒推)-其他办公</vt:lpstr>
      <vt:lpstr>成本法-其他办公（1995年）</vt:lpstr>
      <vt:lpstr>基准地价修正</vt:lpstr>
      <vt:lpstr>比较法-综合楼</vt:lpstr>
      <vt:lpstr>收益法 (倒推)-综合楼</vt:lpstr>
      <vt:lpstr>假设开发法</vt:lpstr>
      <vt:lpstr>成本法 (元)</vt:lpstr>
      <vt:lpstr>成本法-综合楼（2004年）</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(倒推)-其他办公'!Print_Area</vt:lpstr>
      <vt:lpstr>'收益法 (倒推)-综合楼'!Print_Area</vt:lpstr>
      <vt:lpstr>'收益法 (元)'!Print_Area</vt:lpstr>
      <vt:lpstr>'数据-汇总表'!Print_Area</vt:lpstr>
      <vt:lpstr>八级</vt:lpstr>
      <vt:lpstr>'比较法-综合楼'!办公层高</vt:lpstr>
      <vt:lpstr>办公层高</vt:lpstr>
      <vt:lpstr>'比较法-综合楼'!办公朝向</vt:lpstr>
      <vt:lpstr>办公朝向</vt:lpstr>
      <vt:lpstr>'比较法-综合楼'!办公道路级别</vt:lpstr>
      <vt:lpstr>办公道路级别</vt:lpstr>
      <vt:lpstr>'比较法-综合楼'!办公公共部分装修</vt:lpstr>
      <vt:lpstr>办公公共部分装修</vt:lpstr>
      <vt:lpstr>'比较法-综合楼'!办公基础设施水平</vt:lpstr>
      <vt:lpstr>办公基础设施水平</vt:lpstr>
      <vt:lpstr>办公集聚程度</vt:lpstr>
      <vt:lpstr>'比较法-综合楼'!办公建筑结构</vt:lpstr>
      <vt:lpstr>办公建筑结构</vt:lpstr>
      <vt:lpstr>'比较法-综合楼'!办公建筑类型</vt:lpstr>
      <vt:lpstr>办公建筑类型</vt:lpstr>
      <vt:lpstr>'比较法-综合楼'!办公交易情况</vt:lpstr>
      <vt:lpstr>办公交易情况</vt:lpstr>
      <vt:lpstr>'比较法-综合楼'!办公楼层</vt:lpstr>
      <vt:lpstr>办公楼层</vt:lpstr>
      <vt:lpstr>'比较法-综合楼'!办公内部装修</vt:lpstr>
      <vt:lpstr>办公内部装修</vt:lpstr>
      <vt:lpstr>'比较法-综合楼'!办公物业管理</vt:lpstr>
      <vt:lpstr>办公物业管理</vt:lpstr>
      <vt:lpstr>'比较法-综合楼'!办公用途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'比较法-综合楼'!写字楼等级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2020-08-17T01:32:44Z</dcterms:modified>
</cp:coreProperties>
</file>