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35" windowWidth="19440" windowHeight="570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1" i="1" l="1"/>
  <c r="N19" i="1"/>
  <c r="C14" i="74"/>
  <c r="B14" i="74"/>
  <c r="G73" i="43" l="1"/>
  <c r="G74" i="43"/>
  <c r="G75" i="43"/>
  <c r="G76" i="43"/>
  <c r="G77" i="43"/>
  <c r="G78" i="43"/>
  <c r="G79" i="43"/>
  <c r="G80" i="43"/>
  <c r="G72" i="43"/>
  <c r="Y6" i="1"/>
  <c r="F19" i="6"/>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L52" i="67" s="1"/>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D34" i="79" s="1"/>
  <c r="AB33" i="79"/>
  <c r="AA33" i="79"/>
  <c r="Z33" i="79"/>
  <c r="N33" i="79"/>
  <c r="U33" i="79" s="1"/>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c r="S64" i="71" s="1"/>
  <c r="D61" i="71"/>
  <c r="Q60" i="71"/>
  <c r="P60" i="71"/>
  <c r="O60" i="71"/>
  <c r="N60" i="71"/>
  <c r="Q59" i="71"/>
  <c r="P59" i="71"/>
  <c r="O59" i="71"/>
  <c r="N59" i="71"/>
  <c r="Q58" i="71"/>
  <c r="P58" i="71"/>
  <c r="O58" i="71"/>
  <c r="N58" i="71"/>
  <c r="Q57" i="71"/>
  <c r="F58" i="71"/>
  <c r="F59" i="71" s="1"/>
  <c r="F60" i="71"/>
  <c r="V60" i="71" s="1"/>
  <c r="P57" i="71"/>
  <c r="E58" i="71" s="1"/>
  <c r="O57" i="71"/>
  <c r="C58" i="71" s="1"/>
  <c r="N57" i="71"/>
  <c r="B58" i="71" s="1"/>
  <c r="B59" i="71"/>
  <c r="B60" i="71" s="1"/>
  <c r="S60" i="71" s="1"/>
  <c r="D57" i="71"/>
  <c r="Q56" i="71"/>
  <c r="P56" i="71"/>
  <c r="O56" i="71"/>
  <c r="N56" i="71"/>
  <c r="Q55" i="71"/>
  <c r="P55" i="71"/>
  <c r="O55" i="71"/>
  <c r="N55" i="71"/>
  <c r="Q54" i="71"/>
  <c r="P54" i="71"/>
  <c r="O54" i="71"/>
  <c r="N54" i="71"/>
  <c r="Q53" i="71"/>
  <c r="F54" i="71"/>
  <c r="F55" i="71" s="1"/>
  <c r="F56" i="7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C38" i="71"/>
  <c r="Y37" i="71"/>
  <c r="Z37" i="71" s="1"/>
  <c r="AB37" i="71"/>
  <c r="X38" i="71"/>
  <c r="AA38" i="71"/>
  <c r="F51" i="71"/>
  <c r="F52" i="71"/>
  <c r="V52" i="71" s="1"/>
  <c r="C28" i="71"/>
  <c r="C27" i="71" s="1"/>
  <c r="B28" i="71"/>
  <c r="B27" i="71"/>
  <c r="B26" i="71" s="1"/>
  <c r="X25" i="71"/>
  <c r="X26" i="71"/>
  <c r="X27" i="71"/>
  <c r="X28" i="71"/>
  <c r="C31" i="71"/>
  <c r="D31" i="71" s="1"/>
  <c r="D34" i="71"/>
  <c r="C39" i="71"/>
  <c r="D38" i="71"/>
  <c r="C51" i="71"/>
  <c r="D51" i="71" s="1"/>
  <c r="D50" i="71"/>
  <c r="P28" i="71"/>
  <c r="AA3" i="71" s="1"/>
  <c r="E55" i="71"/>
  <c r="E56" i="71"/>
  <c r="U56" i="71" s="1"/>
  <c r="E59" i="71"/>
  <c r="E60" i="71" s="1"/>
  <c r="U60" i="71" s="1"/>
  <c r="E63" i="71"/>
  <c r="E64" i="71"/>
  <c r="U64" i="71" s="1"/>
  <c r="U68" i="71"/>
  <c r="E67" i="71"/>
  <c r="E66" i="71" s="1"/>
  <c r="Q28" i="71"/>
  <c r="C59" i="71"/>
  <c r="D59" i="71" s="1"/>
  <c r="D58" i="71"/>
  <c r="C63" i="71"/>
  <c r="C64" i="71" s="1"/>
  <c r="D62" i="71"/>
  <c r="N67" i="71"/>
  <c r="B66"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S28" i="71"/>
  <c r="F28" i="71"/>
  <c r="F27" i="71"/>
  <c r="F26" i="71" s="1"/>
  <c r="AB25" i="71"/>
  <c r="AB26" i="71"/>
  <c r="AB27" i="71"/>
  <c r="AB28" i="71"/>
  <c r="E28" i="71"/>
  <c r="E27" i="71" s="1"/>
  <c r="E26" i="71" s="1"/>
  <c r="AA25" i="71"/>
  <c r="AA27" i="71"/>
  <c r="D28" i="71"/>
  <c r="U28" i="71" s="1"/>
  <c r="C66" i="71"/>
  <c r="D66" i="71" s="1"/>
  <c r="D67" i="71"/>
  <c r="D63" i="71"/>
  <c r="C82" i="71"/>
  <c r="D82" i="71" s="1"/>
  <c r="D75" i="71"/>
  <c r="N65" i="71"/>
  <c r="N66" i="71"/>
  <c r="D87" i="71"/>
  <c r="C86" i="71"/>
  <c r="D86" i="71" s="1"/>
  <c r="D79" i="71"/>
  <c r="C70" i="71"/>
  <c r="D70" i="71" s="1"/>
  <c r="C60" i="71"/>
  <c r="T60" i="71" s="1"/>
  <c r="P67" i="71"/>
  <c r="C52" i="71"/>
  <c r="T52" i="71" s="1"/>
  <c r="C40" i="71"/>
  <c r="T40" i="71" s="1"/>
  <c r="D39" i="71"/>
  <c r="C32" i="71"/>
  <c r="T32" i="71" s="1"/>
  <c r="O66" i="71"/>
  <c r="O65" i="71"/>
  <c r="D32" i="71"/>
  <c r="D40" i="71"/>
  <c r="D52"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S21" i="21"/>
  <c r="H1" i="69"/>
  <c r="W25" i="40"/>
  <c r="U25" i="40"/>
  <c r="U29" i="39"/>
  <c r="W29" i="39"/>
  <c r="W18" i="36"/>
  <c r="AB21" i="37"/>
  <c r="U21" i="37"/>
  <c r="U21" i="34"/>
  <c r="AB21" i="33"/>
  <c r="AA21" i="33"/>
  <c r="S21" i="33"/>
  <c r="U18" i="35"/>
  <c r="AC18" i="35"/>
  <c r="W18" i="35"/>
  <c r="J21" i="37"/>
  <c r="G84" i="34"/>
  <c r="J21" i="34"/>
  <c r="J21" i="33"/>
  <c r="W21" i="33" s="1"/>
  <c r="F83" i="21"/>
  <c r="H21" i="21"/>
  <c r="U21" i="21" s="1"/>
  <c r="F38" i="69"/>
  <c r="E37" i="69"/>
  <c r="F36" i="69"/>
  <c r="F35" i="69"/>
  <c r="F21" i="69"/>
  <c r="F40" i="69" s="1"/>
  <c r="F20" i="69"/>
  <c r="F39" i="69" s="1"/>
  <c r="E10" i="69"/>
  <c r="E9" i="69"/>
  <c r="C7" i="69"/>
  <c r="AC21" i="37"/>
  <c r="W21" i="37"/>
  <c r="AC21" i="34"/>
  <c r="W21" i="34"/>
  <c r="AC21" i="33"/>
  <c r="AB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H12" i="35" s="1"/>
  <c r="U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W34" i="35"/>
  <c r="W22" i="35"/>
  <c r="S31" i="35"/>
  <c r="F36" i="34"/>
  <c r="J35" i="34"/>
  <c r="W9" i="34"/>
  <c r="U34" i="34"/>
  <c r="H39" i="33"/>
  <c r="AB39" i="33" s="1"/>
  <c r="F26" i="33"/>
  <c r="AA26" i="33" s="1"/>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G509" i="3"/>
  <c r="BL493" i="3"/>
  <c r="AZ493" i="3" s="1"/>
  <c r="AZ491" i="3"/>
  <c r="AZ376" i="3"/>
  <c r="AZ390" i="3"/>
  <c r="AZ382" i="3"/>
  <c r="U36" i="40"/>
  <c r="F83" i="43"/>
  <c r="H85" i="43" s="1"/>
  <c r="F50" i="43"/>
  <c r="H54" i="43" s="1"/>
  <c r="F72" i="43"/>
  <c r="H75" i="43" s="1"/>
  <c r="U17" i="39"/>
  <c r="S14" i="35"/>
  <c r="U43" i="21"/>
  <c r="U35" i="21"/>
  <c r="AC35" i="21"/>
  <c r="G8" i="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AC15" i="21"/>
  <c r="U13" i="21"/>
  <c r="AB13" i="21"/>
  <c r="S35" i="21"/>
  <c r="J37" i="21"/>
  <c r="W37" i="21" s="1"/>
  <c r="H15" i="21"/>
  <c r="U15" i="2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6" i="15"/>
  <c r="J15" i="67"/>
  <c r="M6" i="67"/>
  <c r="M24" i="15"/>
  <c r="C76" i="67"/>
  <c r="M6" i="15"/>
  <c r="F13" i="15"/>
  <c r="B9" i="76"/>
  <c r="E7" i="76"/>
  <c r="M23" i="15"/>
  <c r="F7" i="67"/>
  <c r="L47" i="67"/>
  <c r="F37" i="67"/>
  <c r="F13" i="67"/>
  <c r="M23" i="67"/>
  <c r="F20" i="31"/>
  <c r="F36" i="15"/>
  <c r="F16" i="67"/>
  <c r="F9" i="67"/>
  <c r="F26" i="15"/>
  <c r="M28" i="15"/>
  <c r="F5" i="73"/>
  <c r="F43" i="15"/>
  <c r="F38" i="67"/>
  <c r="B11" i="76"/>
  <c r="F40" i="67"/>
  <c r="D3" i="73"/>
  <c r="F8" i="67"/>
  <c r="F16" i="15"/>
  <c r="F26" i="67"/>
  <c r="E13" i="76"/>
  <c r="F4" i="73"/>
  <c r="E12" i="76"/>
  <c r="L48" i="67"/>
  <c r="F42" i="15"/>
  <c r="B7" i="76"/>
  <c r="E9" i="76"/>
  <c r="D5" i="73"/>
  <c r="M9" i="67"/>
  <c r="D6" i="73"/>
  <c r="M8" i="67"/>
  <c r="M26" i="67"/>
  <c r="M22" i="15"/>
  <c r="F6" i="73"/>
  <c r="J15" i="15"/>
  <c r="F7" i="73"/>
  <c r="F37" i="15"/>
  <c r="F38" i="15"/>
  <c r="F42" i="67"/>
  <c r="F6" i="15"/>
  <c r="F7" i="15"/>
  <c r="D7" i="73"/>
  <c r="E11" i="76"/>
  <c r="F9" i="15"/>
  <c r="M28" i="67"/>
  <c r="B13" i="76"/>
  <c r="E8" i="76"/>
  <c r="D4" i="73"/>
  <c r="M29" i="15"/>
  <c r="M22" i="67"/>
  <c r="B10" i="76"/>
  <c r="M9" i="15"/>
  <c r="F36" i="67"/>
  <c r="B12" i="76"/>
  <c r="C76" i="15"/>
  <c r="L48" i="15"/>
  <c r="E10" i="76"/>
  <c r="E2" i="68"/>
  <c r="M29" i="67"/>
  <c r="F8" i="15"/>
  <c r="M8" i="15"/>
  <c r="M24" i="67"/>
  <c r="B8" i="76"/>
  <c r="L47" i="15"/>
  <c r="F43" i="67"/>
  <c r="F3" i="73"/>
  <c r="F6" i="67"/>
  <c r="AO13" i="1"/>
  <c r="E2" i="69"/>
  <c r="F40" i="15"/>
  <c r="G6" i="1" l="1"/>
  <c r="I24" i="43"/>
  <c r="C28" i="67"/>
  <c r="C21" i="68"/>
  <c r="C40" i="69"/>
  <c r="E19" i="71"/>
  <c r="E18" i="71" s="1"/>
  <c r="E17" i="71" s="1"/>
  <c r="E16" i="71" s="1"/>
  <c r="V20" i="71"/>
  <c r="AB31" i="21"/>
  <c r="U31" i="21"/>
  <c r="W45" i="21"/>
  <c r="AC45" i="21"/>
  <c r="AZ521" i="3"/>
  <c r="BL5" i="3"/>
  <c r="G5" i="3"/>
  <c r="B3" i="3" s="1"/>
  <c r="E77" i="3" s="1"/>
  <c r="AC11" i="35"/>
  <c r="B101" i="43"/>
  <c r="B79" i="43"/>
  <c r="B97" i="43"/>
  <c r="B75" i="43"/>
  <c r="AZ399" i="3"/>
  <c r="AZ404" i="3"/>
  <c r="AZ411" i="3"/>
  <c r="AZ414" i="3"/>
  <c r="D17" i="71"/>
  <c r="C16" i="71"/>
  <c r="D19" i="53"/>
  <c r="B38" i="72" s="1"/>
  <c r="D16" i="53"/>
  <c r="B34" i="72" s="1"/>
  <c r="G28" i="6"/>
  <c r="B94" i="43"/>
  <c r="B73" i="43"/>
  <c r="B99" i="43"/>
  <c r="B76" i="43"/>
  <c r="AZ431" i="3"/>
  <c r="AZ436" i="3"/>
  <c r="AZ448" i="3"/>
  <c r="AZ452" i="3"/>
  <c r="AZ461" i="3"/>
  <c r="AZ463" i="3"/>
  <c r="AZ468" i="3"/>
  <c r="AZ470" i="3"/>
  <c r="AZ479" i="3"/>
  <c r="AZ485" i="3"/>
  <c r="AZ385" i="3"/>
  <c r="AZ210" i="3"/>
  <c r="AZ225" i="3"/>
  <c r="AZ239" i="3"/>
  <c r="AZ255" i="3"/>
  <c r="AZ270" i="3"/>
  <c r="AZ274" i="3"/>
  <c r="AZ277" i="3"/>
  <c r="F9" i="34"/>
  <c r="AA9" i="34" s="1"/>
  <c r="F12" i="34"/>
  <c r="F34" i="35"/>
  <c r="H34" i="35"/>
  <c r="J36" i="35"/>
  <c r="F23" i="36"/>
  <c r="H23" i="36"/>
  <c r="AZ420" i="3"/>
  <c r="AZ424" i="3"/>
  <c r="AZ426" i="3"/>
  <c r="AZ298" i="3"/>
  <c r="AZ301" i="3"/>
  <c r="AZ122" i="3"/>
  <c r="AZ125" i="3"/>
  <c r="AZ22" i="3"/>
  <c r="AZ40" i="3"/>
  <c r="AZ49" i="3"/>
  <c r="AZ62" i="3"/>
  <c r="AZ65" i="3"/>
  <c r="AZ76" i="3"/>
  <c r="AZ81" i="3"/>
  <c r="AZ90" i="3"/>
  <c r="AZ96" i="3"/>
  <c r="AZ99" i="3"/>
  <c r="AZ106" i="3"/>
  <c r="AZ112" i="3"/>
  <c r="C55" i="71"/>
  <c r="D54" i="71"/>
  <c r="S21" i="37"/>
  <c r="D64" i="71"/>
  <c r="T64" i="71"/>
  <c r="P65" i="71"/>
  <c r="P66" i="71"/>
  <c r="C26" i="71"/>
  <c r="D26" i="71" s="1"/>
  <c r="D27" i="71"/>
  <c r="C36" i="71"/>
  <c r="D35" i="71"/>
  <c r="D42" i="71"/>
  <c r="C43" i="71"/>
  <c r="C47" i="71"/>
  <c r="D47" i="71" s="1"/>
  <c r="D46" i="71"/>
  <c r="V28" i="71"/>
  <c r="AA28" i="71"/>
  <c r="AA26" i="71"/>
  <c r="Y28" i="71"/>
  <c r="Z28" i="71" s="1"/>
  <c r="Y27" i="71"/>
  <c r="Z27" i="71" s="1"/>
  <c r="Y26" i="71"/>
  <c r="Z26" i="71" s="1"/>
  <c r="Y25" i="71"/>
  <c r="Z25" i="71" s="1"/>
  <c r="X35" i="71"/>
  <c r="X34" i="71"/>
  <c r="AA32" i="71"/>
  <c r="AA31" i="71"/>
  <c r="AB29" i="71"/>
  <c r="AA37" i="71"/>
  <c r="X9" i="71"/>
  <c r="AB10" i="71"/>
  <c r="AB9" i="71"/>
  <c r="AB24" i="71"/>
  <c r="Y21" i="71"/>
  <c r="Z21" i="71" s="1"/>
  <c r="AB23" i="71"/>
  <c r="AB21" i="71"/>
  <c r="Y18" i="71"/>
  <c r="Z18" i="71" s="1"/>
  <c r="X17" i="71"/>
  <c r="Y17" i="71"/>
  <c r="Z17" i="71" s="1"/>
  <c r="AB18" i="71"/>
  <c r="Y14" i="71"/>
  <c r="Z14" i="71" s="1"/>
  <c r="AA17" i="71"/>
  <c r="U18" i="36"/>
  <c r="Y9" i="71"/>
  <c r="Z9" i="71" s="1"/>
  <c r="Y10" i="71"/>
  <c r="Z10" i="71" s="1"/>
  <c r="AA10" i="71"/>
  <c r="AA9" i="71"/>
  <c r="X22" i="71"/>
  <c r="AA24" i="71"/>
  <c r="AA22" i="71"/>
  <c r="X21" i="71"/>
  <c r="AA21" i="71"/>
  <c r="X18" i="71"/>
  <c r="AA18" i="71"/>
  <c r="X10" i="71"/>
  <c r="AA14" i="71"/>
  <c r="AB17" i="71"/>
  <c r="F67" i="71"/>
  <c r="X24" i="71"/>
  <c r="Y24" i="71"/>
  <c r="Z24" i="71" s="1"/>
  <c r="AB15" i="71"/>
  <c r="AA12" i="71"/>
  <c r="X13" i="71"/>
  <c r="AB12" i="71"/>
  <c r="Y11" i="71"/>
  <c r="Z11" i="71" s="1"/>
  <c r="Y13" i="71"/>
  <c r="Z13" i="71" s="1"/>
  <c r="Y23" i="71"/>
  <c r="Z23" i="71" s="1"/>
  <c r="Y22" i="71"/>
  <c r="Z22" i="71" s="1"/>
  <c r="AA23" i="71"/>
  <c r="X15" i="71"/>
  <c r="AA15" i="71"/>
  <c r="AA11" i="71"/>
  <c r="AA13" i="71"/>
  <c r="X12" i="71"/>
  <c r="X11" i="71"/>
  <c r="X14" i="71"/>
  <c r="AB11" i="71"/>
  <c r="AB13" i="71"/>
  <c r="AB14" i="71"/>
  <c r="Y12" i="71"/>
  <c r="Z12"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E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D33" i="43" s="1"/>
  <c r="D1" i="43" s="1"/>
  <c r="F27" i="69"/>
  <c r="C36" i="69"/>
  <c r="D9" i="68"/>
  <c r="C16" i="67"/>
  <c r="C16" i="15"/>
  <c r="G1" i="73"/>
  <c r="N370" i="46" l="1"/>
  <c r="J26" i="43"/>
  <c r="G26" i="43"/>
  <c r="D26" i="43" s="1"/>
  <c r="C25" i="43" s="1"/>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15" i="71"/>
  <c r="B14" i="71" s="1"/>
  <c r="B13" i="71" s="1"/>
  <c r="B12" i="71" s="1"/>
  <c r="S16" i="71"/>
  <c r="F7" i="36"/>
  <c r="J7" i="37"/>
  <c r="H7" i="36"/>
  <c r="D36" i="71"/>
  <c r="T36" i="71"/>
  <c r="AA23" i="36"/>
  <c r="S23" i="36"/>
  <c r="AB34" i="35"/>
  <c r="U34" i="35"/>
  <c r="S12" i="34"/>
  <c r="AA12"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 i="3"/>
  <c r="E242" i="3"/>
  <c r="AL6" i="3"/>
  <c r="E60" i="3"/>
  <c r="E43" i="3"/>
  <c r="E540" i="3"/>
  <c r="E473" i="3"/>
  <c r="E15" i="3"/>
  <c r="E18" i="3"/>
  <c r="E96" i="3"/>
  <c r="E38" i="3"/>
  <c r="E100" i="3"/>
  <c r="E170" i="3"/>
  <c r="E137" i="3"/>
  <c r="E194" i="3"/>
  <c r="E234" i="3"/>
  <c r="E219" i="3"/>
  <c r="E299" i="3"/>
  <c r="E339" i="3"/>
  <c r="E325" i="3"/>
  <c r="E342" i="3"/>
  <c r="E522" i="3"/>
  <c r="E35" i="3"/>
  <c r="E86" i="3"/>
  <c r="E34" i="3"/>
  <c r="E49" i="3"/>
  <c r="E206" i="3"/>
  <c r="E147" i="3"/>
  <c r="E289" i="3"/>
  <c r="E340" i="3"/>
  <c r="E364" i="3"/>
  <c r="E50" i="3"/>
  <c r="E20" i="3"/>
  <c r="E62" i="3"/>
  <c r="E176" i="3"/>
  <c r="E218" i="3"/>
  <c r="E265" i="3"/>
  <c r="E365" i="3"/>
  <c r="E326" i="3"/>
  <c r="E22" i="3"/>
  <c r="E83"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41" i="3"/>
  <c r="E108" i="3"/>
  <c r="E115" i="3"/>
  <c r="E178" i="3"/>
  <c r="E198" i="3"/>
  <c r="E119" i="3"/>
  <c r="E139" i="3"/>
  <c r="E202" i="3"/>
  <c r="E225" i="3"/>
  <c r="E281" i="3"/>
  <c r="E226" i="3"/>
  <c r="E243" i="3"/>
  <c r="E276" i="3"/>
  <c r="E332" i="3"/>
  <c r="E346" i="3"/>
  <c r="E391" i="3"/>
  <c r="E333" i="3"/>
  <c r="E356" i="3"/>
  <c r="E372" i="3"/>
  <c r="L6" i="3"/>
  <c r="E42" i="3"/>
  <c r="E94" i="3"/>
  <c r="E75" i="3"/>
  <c r="E428" i="3"/>
  <c r="E482" i="3"/>
  <c r="E412" i="3"/>
  <c r="E455" i="3"/>
  <c r="E79" i="3"/>
  <c r="E78" i="3"/>
  <c r="E129" i="3"/>
  <c r="E190" i="3"/>
  <c r="E174" i="3"/>
  <c r="E220" i="3"/>
  <c r="E275" i="3"/>
  <c r="E235" i="3"/>
  <c r="E324" i="3"/>
  <c r="E383" i="3"/>
  <c r="E392" i="3"/>
  <c r="AQ6" i="3"/>
  <c r="E52" i="3"/>
  <c r="E36" i="3"/>
  <c r="E112" i="3"/>
  <c r="E123" i="3"/>
  <c r="E232" i="3"/>
  <c r="E251" i="3"/>
  <c r="E370" i="3"/>
  <c r="AF6" i="3"/>
  <c r="E102" i="3"/>
  <c r="E80" i="3"/>
  <c r="E113" i="3"/>
  <c r="E158" i="3"/>
  <c r="E287" i="3"/>
  <c r="E308" i="3"/>
  <c r="E524" i="3"/>
  <c r="E101" i="3"/>
  <c r="F66" i="71"/>
  <c r="Q67" i="71"/>
  <c r="C44" i="71"/>
  <c r="D43" i="71"/>
  <c r="C56" i="71"/>
  <c r="D55" i="71"/>
  <c r="AB23" i="36"/>
  <c r="U23" i="36"/>
  <c r="AC36" i="35"/>
  <c r="W36" i="35"/>
  <c r="AA34" i="35"/>
  <c r="S34" i="35"/>
  <c r="C15" i="71"/>
  <c r="T16" i="71"/>
  <c r="E521" i="3"/>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B29" i="1" s="1"/>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C8" i="68" l="1"/>
  <c r="C28" i="43"/>
  <c r="T15" i="43" s="1"/>
  <c r="V15" i="43" s="1"/>
  <c r="E11" i="71"/>
  <c r="E10" i="71" s="1"/>
  <c r="E9" i="71" s="1"/>
  <c r="E8" i="71" s="1"/>
  <c r="E7" i="71" s="1"/>
  <c r="E6" i="71" s="1"/>
  <c r="E5" i="71" s="1"/>
  <c r="V12" i="71"/>
  <c r="E65" i="39"/>
  <c r="C14" i="71"/>
  <c r="D15" i="71"/>
  <c r="D56" i="71"/>
  <c r="T56" i="71"/>
  <c r="D44" i="71"/>
  <c r="T44" i="71"/>
  <c r="Q66" i="71"/>
  <c r="Q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C38" i="43" l="1"/>
  <c r="G38" i="43" s="1"/>
  <c r="I38" i="43" s="1"/>
  <c r="C39" i="43"/>
  <c r="C33" i="43"/>
  <c r="I7" i="69" s="1"/>
  <c r="T3" i="43"/>
  <c r="V3" i="43" s="1"/>
  <c r="T12" i="43"/>
  <c r="V12" i="43" s="1"/>
  <c r="T9" i="43"/>
  <c r="V9" i="43" s="1"/>
  <c r="C42" i="43"/>
  <c r="E42" i="43" s="1"/>
  <c r="C37" i="43"/>
  <c r="T6" i="43"/>
  <c r="V6" i="43" s="1"/>
  <c r="T8" i="43"/>
  <c r="V8" i="43" s="1"/>
  <c r="T16" i="43"/>
  <c r="V16" i="43" s="1"/>
  <c r="T13" i="43"/>
  <c r="V13" i="43" s="1"/>
  <c r="C41" i="43"/>
  <c r="G41" i="43" s="1"/>
  <c r="I41" i="43" s="1"/>
  <c r="C40" i="43"/>
  <c r="T5" i="43"/>
  <c r="V5" i="43" s="1"/>
  <c r="T2" i="43"/>
  <c r="V2" i="43" s="1"/>
  <c r="T4" i="43"/>
  <c r="V4" i="43" s="1"/>
  <c r="T10" i="43"/>
  <c r="V10" i="43" s="1"/>
  <c r="T14" i="43"/>
  <c r="V14" i="43" s="1"/>
  <c r="T7" i="43"/>
  <c r="V7" i="43" s="1"/>
  <c r="T11" i="43"/>
  <c r="V11" i="43" s="1"/>
  <c r="D14" i="71"/>
  <c r="C13" i="71"/>
  <c r="P37" i="43"/>
  <c r="M37" i="43"/>
  <c r="Q37" i="43"/>
  <c r="O37" i="43"/>
  <c r="N37" i="43"/>
  <c r="M21" i="6"/>
  <c r="I21" i="6" s="1"/>
  <c r="S21" i="6" s="1"/>
  <c r="E6" i="70"/>
  <c r="C34" i="43"/>
  <c r="E34" i="43" s="1"/>
  <c r="F69" i="15"/>
  <c r="E33" i="43"/>
  <c r="C6"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37" i="43"/>
  <c r="G37" i="43"/>
  <c r="I37" i="43" s="1"/>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15"/>
  <c r="C14" i="67"/>
  <c r="C17" i="67"/>
  <c r="E38" i="43" l="1"/>
  <c r="E41" i="43"/>
  <c r="C7" i="68"/>
  <c r="C5" i="68" s="1"/>
  <c r="C23" i="68" s="1"/>
  <c r="G42" i="43"/>
  <c r="I42" i="43" s="1"/>
  <c r="C25" i="11"/>
  <c r="C12" i="71"/>
  <c r="D13" i="71"/>
  <c r="C18" i="67"/>
  <c r="C15" i="67"/>
  <c r="H23" i="6"/>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C30" i="43" l="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E6" i="76"/>
  <c r="E2" i="76" l="1"/>
  <c r="B2" i="43"/>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B6" i="76"/>
  <c r="B2" i="76" l="1"/>
  <c r="B3" i="76" s="1"/>
  <c r="B3" i="43"/>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L51" i="67"/>
  <c r="D35" i="9"/>
  <c r="C20" i="9"/>
  <c r="D2" i="21"/>
  <c r="C103" i="9" l="1"/>
  <c r="D7" i="71"/>
  <c r="C6"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D6" i="71" l="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4"/>
  <c r="D2" i="35"/>
  <c r="D2" i="37"/>
  <c r="L51" i="1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6" i="1"/>
  <c r="AO10" i="1"/>
  <c r="AO8" i="1"/>
  <c r="AO12" i="1"/>
  <c r="AO9" i="1"/>
  <c r="AO11" i="1"/>
  <c r="AO7"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s="1"/>
  <c r="H101" i="9" l="1"/>
  <c r="M48" i="9" s="1"/>
  <c r="I118" i="9"/>
  <c r="C105" i="9" s="1"/>
  <c r="F119" i="9"/>
  <c r="F5" i="52" s="1"/>
  <c r="B53" i="72" s="1"/>
  <c r="G118" i="9"/>
  <c r="G4" i="52" s="1"/>
  <c r="B52" i="72" s="1"/>
  <c r="H107" i="9"/>
  <c r="D119" i="9"/>
  <c r="D5" i="52" s="1"/>
  <c r="B49" i="72" s="1"/>
  <c r="D14" i="74"/>
  <c r="H119" i="9"/>
  <c r="H5" i="52" s="1"/>
  <c r="H4" i="52"/>
  <c r="H102" i="9" l="1"/>
  <c r="D7" i="53" s="1"/>
  <c r="B21" i="72" s="1"/>
  <c r="I4" i="52"/>
  <c r="E118" i="9"/>
  <c r="E4" i="52" s="1"/>
  <c r="B48" i="72" s="1"/>
  <c r="D5" i="53"/>
  <c r="D6" i="53" s="1"/>
  <c r="B22" i="72" s="1"/>
  <c r="D45" i="9"/>
  <c r="D53" i="9" s="1"/>
  <c r="B20" i="72"/>
  <c r="F14" i="74"/>
  <c r="B5" i="74"/>
  <c r="E14" i="74"/>
  <c r="D122" i="9"/>
  <c r="G14" i="74" s="1"/>
  <c r="B6" i="74" s="1"/>
  <c r="D6" i="74" s="1"/>
  <c r="D13" i="53"/>
  <c r="H108" i="9"/>
  <c r="M49" i="9"/>
  <c r="C64" i="9" l="1"/>
  <c r="C63" i="9" s="1"/>
  <c r="C67" i="9" s="1"/>
  <c r="C68" i="9" s="1"/>
  <c r="D54" i="9" s="1"/>
  <c r="C85" i="9"/>
  <c r="D55" i="9"/>
  <c r="M53" i="9" s="1"/>
  <c r="C78" i="9"/>
  <c r="C73" i="9" s="1"/>
  <c r="C93" i="9"/>
  <c r="C86" i="9" s="1"/>
  <c r="D52" i="9"/>
  <c r="C72" i="9"/>
  <c r="C6" i="74"/>
  <c r="D15" i="53"/>
  <c r="B31" i="72" s="1"/>
  <c r="D8" i="52"/>
  <c r="D123" i="9"/>
  <c r="D9" i="52" s="1"/>
  <c r="C5" i="74"/>
  <c r="D5" i="74"/>
  <c r="L64" i="9"/>
  <c r="M64" i="9" s="1"/>
  <c r="L66" i="9"/>
  <c r="M66" i="9" s="1"/>
  <c r="L63" i="9"/>
  <c r="M63" i="9" s="1"/>
  <c r="L65" i="9"/>
  <c r="M65" i="9" s="1"/>
  <c r="L67" i="9"/>
  <c r="M67" i="9" s="1"/>
  <c r="L68" i="9"/>
  <c r="M68" i="9" s="1"/>
  <c r="B30" i="72"/>
  <c r="D14" i="53"/>
  <c r="B32" i="72" s="1"/>
  <c r="D59" i="9" l="1"/>
  <c r="M55" i="9" s="1"/>
  <c r="C79" i="9"/>
  <c r="C80" i="9" s="1"/>
  <c r="E80" i="9" s="1"/>
  <c r="E81" i="9" s="1"/>
  <c r="C95" i="9"/>
  <c r="C96" i="9" s="1"/>
  <c r="E96" i="9" s="1"/>
  <c r="E97" i="9" s="1"/>
  <c r="C81" i="9"/>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<sst xmlns="http://schemas.openxmlformats.org/spreadsheetml/2006/main" count="7822" uniqueCount="3421">
  <si>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</si>
  <si>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</si>
  <si>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</si>
  <si>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</si>
  <si>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</si>
  <si>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</si>
  <si>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</si>
  <si>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</si>
  <si>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</si>
  <si>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</si>
  <si>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</si>
  <si>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</si>
  <si>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</si>
  <si>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</si>
  <si>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</si>
  <si>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</si>
  <si>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</si>
  <si>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</si>
  <si>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</si>
  <si>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</si>
  <si>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</si>
  <si>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</si>
  <si>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</si>
  <si>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</si>
  <si>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</si>
  <si>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</si>
  <si>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</si>
  <si>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</si>
  <si>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</si>
  <si>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</si>
  <si>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</si>
  <si>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</si>
  <si>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</si>
  <si>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</si>
  <si>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</si>
  <si>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</si>
  <si>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</si>
  <si>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</si>
  <si>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</si>
  <si>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</si>
  <si>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</si>
  <si>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</si>
  <si>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</si>
  <si>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</si>
  <si>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</si>
  <si>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</si>
  <si>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</si>
  <si>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</si>
  <si>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</si>
  <si>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</si>
  <si>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</si>
  <si>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</si>
  <si>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</si>
  <si>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</si>
  <si>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</si>
  <si>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</si>
  <si>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</si>
  <si>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</si>
  <si>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</si>
  <si>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</si>
  <si>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</si>
  <si>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</si>
  <si>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</si>
  <si>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</si>
  <si>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</si>
  <si>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</si>
  <si>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</si>
  <si>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</si>
  <si>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</si>
  <si>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</si>
  <si>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</si>
  <si>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</si>
  <si>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</si>
  <si>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</si>
  <si>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</si>
  <si>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</si>
  <si>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</si>
  <si>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</si>
  <si>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</si>
  <si>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</si>
  <si>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</si>
  <si>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</si>
  <si>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</si>
  <si>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</si>
  <si>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</si>
  <si>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</si>
  <si>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</si>
  <si>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</si>
  <si>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</si>
  <si>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</si>
  <si>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</si>
  <si>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</si>
  <si>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</si>
  <si>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</si>
  <si>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</si>
  <si>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</si>
  <si>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</si>
  <si>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</si>
  <si>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</si>
  <si>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</si>
  <si>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</si>
  <si>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</si>
  <si>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</si>
  <si>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</si>
  <si>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</si>
  <si>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</si>
  <si>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</si>
  <si>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</si>
  <si>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</si>
  <si>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</si>
  <si>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</si>
  <si>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</si>
  <si>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</si>
  <si>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</si>
  <si>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</si>
  <si>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</si>
  <si>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</si>
  <si>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</si>
  <si>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</si>
  <si>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</si>
  <si>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</si>
  <si>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</si>
  <si>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</si>
  <si>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</si>
  <si>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</si>
  <si>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</si>
  <si>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</si>
  <si>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</si>
  <si>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</si>
  <si>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</si>
  <si>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</si>
  <si>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</si>
  <si>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</si>
  <si>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</si>
  <si>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</si>
  <si>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</si>
  <si>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</si>
  <si>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</si>
  <si>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</si>
  <si>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</si>
  <si>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</si>
  <si>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</si>
  <si>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</si>
  <si>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</si>
  <si>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</si>
  <si>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</si>
  <si>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</si>
  <si>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</si>
  <si>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</si>
  <si>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</si>
  <si>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</si>
  <si>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</si>
  <si>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</si>
  <si>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</si>
  <si>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</si>
  <si>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</si>
  <si>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</si>
  <si>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</si>
  <si>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</si>
  <si>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</si>
  <si>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</si>
  <si>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</si>
  <si>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</si>
  <si>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</si>
  <si>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</si>
  <si>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</si>
  <si>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</si>
  <si>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</si>
  <si>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</si>
  <si>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</si>
  <si>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</si>
  <si>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</si>
  <si>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</si>
  <si>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</si>
  <si>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</si>
  <si>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</si>
  <si>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</si>
  <si>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</si>
  <si>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</si>
  <si>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</si>
  <si>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</si>
  <si>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</si>
  <si>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</si>
  <si>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</si>
  <si>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</si>
  <si>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</si>
  <si>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</si>
  <si>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</si>
  <si>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</si>
  <si>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</si>
  <si>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</si>
  <si>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</si>
  <si>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</si>
  <si>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</si>
  <si>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</si>
  <si>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</si>
  <si>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</si>
  <si>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</si>
  <si>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</si>
  <si>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</si>
  <si>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</si>
  <si>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</si>
  <si>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</si>
  <si>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</si>
  <si>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</si>
  <si>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</si>
  <si>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</si>
  <si>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</si>
  <si>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</si>
  <si>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</si>
  <si>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</si>
  <si>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</si>
  <si>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</si>
  <si>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</si>
  <si>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</si>
  <si>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</si>
  <si>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</si>
  <si>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</si>
  <si>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</si>
  <si>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</si>
  <si>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</si>
  <si>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</si>
  <si>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</si>
  <si>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</si>
  <si>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</si>
  <si>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</si>
  <si>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</si>
  <si>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</si>
  <si>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</si>
  <si>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</si>
  <si>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</si>
  <si>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</si>
  <si>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</si>
  <si>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</si>
  <si>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</si>
  <si>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</si>
  <si>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</si>
  <si>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</si>
  <si>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</si>
  <si>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</si>
  <si>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</si>
  <si>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</si>
  <si>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</si>
  <si>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</si>
  <si>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</si>
  <si>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</si>
  <si>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</si>
  <si>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</si>
  <si>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</si>
  <si>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</si>
  <si>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</si>
  <si>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</si>
  <si>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</si>
  <si>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</si>
  <si>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</si>
  <si>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</si>
  <si>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</si>
  <si>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</si>
  <si>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</si>
  <si>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</si>
  <si>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</si>
  <si>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</si>
  <si>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</si>
  <si>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</si>
  <si>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</si>
  <si>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</si>
  <si>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</si>
  <si>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</si>
  <si>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</si>
  <si>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</si>
  <si>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</si>
  <si>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</si>
  <si>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</si>
  <si>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</si>
  <si>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</si>
  <si>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</si>
  <si>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</si>
  <si>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</si>
  <si>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</si>
  <si>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</si>
  <si>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</si>
  <si>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</si>
  <si>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</si>
  <si>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</si>
  <si>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</si>
  <si>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</si>
  <si>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</si>
  <si>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</si>
  <si>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</si>
  <si>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</si>
  <si>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</si>
  <si>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</si>
  <si>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</si>
  <si>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</si>
  <si>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</si>
  <si>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</si>
  <si>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</si>
  <si>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</si>
  <si>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</si>
  <si>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</si>
  <si>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</si>
  <si>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</si>
  <si>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</si>
  <si>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</si>
  <si>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</si>
  <si>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</si>
  <si>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</si>
  <si>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</si>
  <si>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</si>
  <si>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</si>
  <si>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</si>
  <si>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</si>
  <si>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</si>
  <si>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</si>
  <si>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</si>
  <si>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</si>
  <si>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</si>
  <si>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</si>
  <si>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</si>
  <si>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</si>
  <si>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</si>
  <si>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</si>
  <si>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</si>
  <si>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</si>
  <si>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</si>
  <si>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</si>
  <si>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</si>
  <si>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</si>
  <si>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</si>
  <si>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</si>
  <si>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</si>
  <si>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</si>
  <si>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</si>
  <si>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</si>
  <si>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</si>
  <si>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</si>
  <si>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</si>
  <si>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</si>
  <si>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</si>
  <si>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</si>
  <si>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</si>
  <si>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</si>
  <si>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</si>
  <si>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</si>
  <si>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</si>
  <si>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</si>
  <si>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</si>
  <si>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</si>
  <si>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</si>
  <si>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</si>
  <si>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</si>
  <si>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</si>
  <si>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</si>
  <si>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</si>
  <si>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</si>
  <si>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</si>
  <si>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</si>
  <si>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</si>
  <si>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</si>
  <si>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</si>
  <si>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</si>
  <si>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</si>
  <si>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</si>
  <si>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</si>
  <si>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</si>
  <si>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</si>
  <si>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</si>
  <si>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</si>
  <si>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</si>
  <si>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</si>
  <si>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</si>
  <si>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</si>
  <si>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</si>
  <si>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</si>
  <si>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</si>
  <si>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</si>
  <si>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</si>
  <si>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</si>
  <si>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</si>
  <si>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</si>
  <si>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</si>
  <si>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</si>
  <si>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</si>
  <si>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</si>
  <si>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</si>
  <si>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</si>
  <si>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</si>
  <si>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</si>
  <si>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</si>
  <si>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</si>
  <si>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</si>
  <si>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</si>
  <si>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</si>
  <si>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</si>
  <si>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</si>
  <si>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</si>
  <si>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</si>
  <si>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</si>
  <si>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</si>
  <si>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</si>
  <si>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</si>
  <si>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</si>
  <si>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</si>
  <si>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</si>
  <si>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</si>
  <si>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</si>
  <si>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</si>
  <si>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</si>
  <si>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</si>
  <si>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</si>
  <si>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</si>
  <si>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</si>
  <si>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</si>
  <si>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</si>
  <si>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</si>
  <si>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</si>
  <si>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</si>
  <si>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</si>
  <si>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</si>
  <si>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</si>
  <si>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</si>
  <si>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</si>
  <si>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</si>
  <si>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</si>
  <si>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</si>
  <si>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</si>
  <si>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</si>
  <si>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</si>
  <si>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</si>
  <si>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</si>
  <si>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</si>
  <si>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</si>
  <si>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</si>
  <si>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</si>
  <si>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</si>
  <si>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</si>
  <si>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</si>
  <si>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</si>
  <si>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</si>
  <si>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</si>
  <si>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</si>
  <si>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</si>
  <si>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</si>
  <si>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</si>
  <si>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</si>
  <si>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</si>
  <si>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</si>
  <si>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</si>
  <si>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</si>
  <si>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</si>
  <si>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</si>
  <si>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</si>
  <si>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</si>
  <si>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</si>
  <si>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</si>
  <si>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</si>
  <si>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</si>
  <si>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</si>
  <si>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</si>
  <si>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</si>
  <si>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</si>
  <si>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</si>
  <si>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</si>
  <si>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</si>
  <si>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</si>
  <si>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</si>
  <si>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</si>
  <si>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</si>
  <si>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</si>
  <si>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</si>
  <si>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</si>
  <si>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</si>
  <si>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</si>
  <si>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</si>
  <si>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</si>
  <si>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</si>
  <si>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</si>
  <si>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</si>
  <si>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</si>
  <si>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</si>
  <si>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</si>
  <si>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</si>
  <si>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</si>
  <si>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</si>
  <si>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</si>
  <si>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</si>
  <si>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</si>
  <si>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</si>
  <si>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</si>
  <si>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</si>
  <si>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</si>
  <si>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</si>
  <si>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</si>
  <si>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</si>
  <si>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</si>
  <si>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</si>
  <si>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</si>
  <si>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</si>
  <si>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</si>
  <si>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</si>
  <si>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</si>
  <si>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</si>
  <si>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</si>
  <si>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</si>
  <si>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</si>
  <si>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</si>
  <si>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</si>
  <si>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</si>
  <si>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</si>
  <si>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</si>
  <si>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</si>
  <si>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</si>
  <si>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</si>
  <si>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</si>
  <si>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</si>
  <si>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</si>
  <si>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</si>
  <si>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</si>
  <si>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</si>
  <si>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</si>
  <si>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</si>
  <si>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</si>
  <si>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</si>
  <si>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</si>
  <si>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</si>
  <si>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</si>
  <si>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</si>
  <si>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</si>
  <si>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</si>
  <si>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</si>
  <si>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</si>
  <si>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</si>
  <si>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</si>
  <si>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</si>
  <si>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</si>
  <si>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</si>
  <si>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</si>
  <si>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</si>
  <si>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</si>
  <si>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</si>
  <si>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</si>
  <si>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</si>
  <si>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</si>
  <si>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</si>
  <si>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</si>
  <si>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</si>
  <si>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</si>
  <si>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</si>
  <si>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</si>
  <si>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</si>
  <si>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</si>
  <si>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</si>
  <si>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</si>
  <si>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</si>
  <si>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</si>
  <si>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</si>
  <si>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</si>
  <si>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</si>
  <si>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</si>
  <si>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</si>
  <si>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</si>
  <si>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</si>
  <si>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</si>
  <si>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</si>
  <si>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</si>
  <si>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</si>
  <si>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</si>
  <si>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</si>
  <si>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</si>
  <si>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</si>
  <si>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</si>
  <si>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</si>
  <si>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</si>
  <si>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</si>
  <si>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</si>
  <si>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</si>
  <si>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</si>
  <si>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</si>
  <si>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</si>
  <si>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</si>
  <si>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</si>
  <si>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</si>
  <si>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</si>
  <si>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</si>
  <si>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</si>
  <si>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</si>
  <si>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</si>
  <si>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</si>
  <si>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</si>
  <si>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</si>
  <si>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</si>
  <si>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</si>
  <si>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</si>
  <si>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</si>
  <si>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</si>
  <si>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</si>
  <si>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</si>
  <si>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</si>
  <si>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</si>
  <si>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</si>
  <si>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</si>
  <si>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</si>
  <si>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</si>
  <si>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</si>
  <si>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</si>
  <si>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</si>
  <si>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</si>
  <si>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</si>
  <si>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</si>
  <si>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</si>
  <si>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</si>
  <si>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</si>
  <si>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</si>
  <si>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</si>
  <si>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</si>
  <si>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</si>
  <si>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</si>
  <si>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</si>
  <si>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</si>
  <si>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</si>
  <si>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</si>
  <si>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</si>
  <si>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</si>
  <si>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</si>
  <si>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</si>
  <si>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</si>
  <si>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</si>
  <si>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</si>
  <si>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</si>
  <si>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</si>
  <si>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</si>
  <si>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</si>
  <si>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</si>
  <si>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</si>
  <si>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</si>
  <si>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</si>
  <si>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</si>
  <si>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</si>
  <si>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</si>
  <si>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</si>
  <si>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</si>
  <si>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</si>
  <si>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</si>
  <si>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</si>
  <si>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</si>
  <si>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</si>
  <si>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</si>
  <si>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</si>
  <si>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</si>
  <si>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</si>
  <si>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</si>
  <si>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</si>
  <si>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</si>
  <si>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</si>
  <si>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</si>
  <si>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</si>
  <si>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</si>
  <si>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</si>
  <si>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</si>
  <si>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</si>
  <si>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</si>
  <si>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</si>
  <si>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</si>
  <si>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</si>
  <si>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</si>
  <si>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</si>
  <si>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</si>
  <si>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</si>
  <si>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</si>
  <si>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</si>
  <si>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</si>
  <si>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</si>
  <si>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</si>
  <si>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</si>
  <si>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</si>
  <si>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</si>
  <si>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</si>
  <si>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</si>
  <si>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</si>
  <si>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</si>
  <si>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</si>
  <si>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</si>
  <si>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</si>
  <si>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</si>
  <si>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</si>
  <si>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</si>
  <si>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</si>
  <si>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</si>
  <si>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</si>
  <si>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</si>
  <si>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</si>
  <si>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</si>
  <si>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</si>
  <si>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</si>
  <si>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</si>
  <si>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</si>
  <si>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</si>
  <si>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</si>
  <si>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</si>
  <si>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</si>
  <si>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</si>
  <si>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</si>
  <si>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</si>
  <si>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</si>
  <si>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</si>
  <si>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</si>
  <si>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</si>
  <si>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</si>
  <si>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</si>
  <si>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</si>
  <si>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</si>
  <si>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</si>
  <si>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</si>
  <si>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</si>
  <si>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</si>
  <si>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</si>
  <si>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</si>
  <si>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</si>
  <si>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</si>
  <si>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</si>
  <si>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</si>
  <si>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</si>
  <si>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</si>
  <si>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</si>
  <si>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</si>
  <si>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</si>
  <si>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</si>
  <si>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</si>
  <si>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</si>
  <si>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</si>
  <si>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</si>
  <si>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</si>
  <si>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</si>
  <si>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</si>
  <si>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</si>
  <si>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</si>
  <si>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</si>
  <si>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</si>
  <si>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</si>
  <si>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</si>
  <si>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</si>
  <si>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</si>
  <si>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</si>
  <si>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</si>
  <si>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</si>
  <si>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</si>
  <si>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</si>
  <si>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</si>
  <si>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</si>
  <si>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</si>
  <si>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</si>
  <si>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</si>
  <si>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</si>
  <si>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</si>
  <si>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</si>
  <si>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</si>
  <si>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</si>
  <si>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</si>
  <si>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</si>
  <si>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</si>
  <si>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</si>
  <si>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</si>
  <si>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</si>
  <si>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</si>
  <si>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</si>
  <si>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</si>
  <si>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</si>
  <si>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</si>
  <si>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</si>
  <si>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</si>
  <si>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</si>
  <si>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</si>
  <si>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</si>
  <si>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</si>
  <si>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</si>
  <si>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</si>
  <si>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</si>
  <si>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</si>
  <si>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</si>
  <si>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</si>
  <si>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</si>
  <si>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</si>
  <si>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</si>
  <si>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</si>
  <si>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</si>
  <si>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</si>
  <si>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</si>
  <si>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</si>
  <si>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</si>
  <si>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</si>
  <si>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</si>
  <si>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</si>
  <si>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</si>
  <si>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</si>
  <si>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</si>
  <si>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</si>
  <si>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</si>
  <si>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</si>
  <si>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</si>
  <si>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</si>
  <si>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</si>
  <si>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</si>
  <si>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</si>
  <si>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</si>
  <si>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</si>
  <si>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</si>
  <si>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</si>
  <si>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</si>
  <si>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</si>
  <si>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</si>
  <si>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</si>
  <si>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</si>
  <si>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</si>
  <si>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</si>
  <si>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</si>
  <si>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</si>
  <si>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</si>
  <si>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</si>
  <si>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</si>
  <si>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</si>
  <si>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</si>
  <si>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</si>
  <si>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</si>
  <si>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</si>
  <si>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</si>
  <si>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</si>
  <si>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</si>
  <si>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</si>
  <si>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</si>
  <si>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</si>
  <si>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</si>
  <si>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</si>
  <si>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</si>
  <si>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</si>
  <si>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</si>
  <si>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</si>
  <si>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</si>
  <si>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</si>
  <si>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</si>
  <si>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</si>
  <si>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</si>
  <si>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</si>
  <si>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</si>
  <si>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</si>
  <si>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</si>
  <si>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</si>
  <si>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</si>
  <si>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</si>
  <si>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</si>
  <si>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</si>
  <si>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</si>
  <si>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</si>
  <si>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</si>
  <si>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</si>
  <si>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</si>
  <si>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</si>
  <si>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</si>
  <si>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</si>
  <si>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</si>
  <si>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</si>
  <si>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</si>
  <si>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</si>
  <si>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</si>
  <si>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</si>
  <si>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</si>
  <si>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</si>
  <si>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</si>
  <si>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</si>
  <si>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</si>
  <si>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</si>
  <si>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</si>
  <si>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</si>
  <si>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</si>
  <si>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</si>
  <si>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</si>
  <si>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</si>
  <si>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</si>
  <si>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</si>
  <si>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</si>
  <si>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</si>
  <si>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</si>
  <si>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</si>
  <si>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</si>
  <si>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</si>
  <si>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</si>
  <si>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</si>
  <si>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</si>
  <si>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</si>
  <si>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</si>
  <si>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</si>
  <si>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</si>
  <si>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</si>
  <si>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</si>
  <si>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</si>
  <si>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</si>
  <si>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</si>
  <si>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</si>
  <si>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</si>
  <si>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</si>
  <si>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</si>
  <si>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</si>
  <si>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</si>
  <si>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</si>
  <si>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</si>
  <si>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</si>
  <si>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</si>
  <si>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</si>
  <si>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</si>
  <si>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</si>
  <si>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</si>
  <si>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</si>
  <si>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</si>
  <si>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</si>
  <si>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</si>
  <si>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</si>
  <si>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</si>
  <si>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</si>
  <si>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</si>
  <si>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</si>
  <si>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</si>
  <si>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</si>
  <si>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</si>
  <si>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</si>
  <si>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</si>
  <si>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</si>
  <si>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</si>
  <si>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</si>
  <si>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</si>
  <si>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</si>
  <si>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</si>
  <si>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</si>
  <si>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</si>
  <si>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</si>
  <si>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</si>
  <si>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</si>
  <si>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</si>
  <si>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</si>
  <si>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</si>
  <si>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</si>
  <si>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</si>
  <si>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</si>
  <si>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</si>
  <si>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</si>
  <si>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</si>
  <si>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</si>
  <si>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</si>
  <si>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</si>
  <si>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</si>
  <si>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</si>
  <si>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</si>
  <si>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</si>
  <si>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</si>
  <si>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</si>
  <si>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</si>
  <si>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</si>
  <si>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</si>
  <si>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</si>
  <si>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</si>
  <si>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</si>
  <si>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</si>
  <si>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</si>
  <si>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</si>
  <si>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</si>
  <si>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</si>
  <si>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</si>
  <si>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</si>
  <si>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</si>
  <si>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</si>
  <si>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</si>
  <si>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</si>
  <si>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</si>
  <si>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</si>
  <si>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</si>
  <si>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</si>
  <si>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</si>
  <si>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</si>
  <si>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</si>
  <si>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</si>
  <si>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</si>
  <si>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</si>
  <si>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</si>
  <si>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</si>
  <si>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</si>
  <si>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</si>
  <si>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</si>
  <si>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</si>
  <si>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</si>
  <si>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</si>
  <si>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</si>
  <si>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</si>
  <si>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</si>
  <si>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</si>
  <si>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</si>
  <si>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</si>
  <si>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</si>
  <si>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</si>
  <si>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</si>
  <si>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</si>
  <si>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</si>
  <si>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</si>
  <si>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</si>
  <si>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</si>
  <si>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</si>
  <si>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</si>
  <si>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</si>
  <si>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</si>
  <si>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</si>
  <si>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</si>
  <si>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</si>
  <si>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</si>
  <si>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</si>
  <si>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</si>
  <si>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</si>
  <si>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</si>
  <si>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</si>
  <si>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</si>
  <si>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</si>
  <si>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</si>
  <si>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</si>
  <si>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</si>
  <si>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</si>
  <si>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</si>
  <si>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</si>
  <si>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</si>
  <si>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</si>
  <si>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</si>
  <si>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</si>
  <si>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</si>
  <si>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</si>
  <si>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</si>
  <si>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</si>
  <si>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</si>
  <si>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</si>
  <si>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</si>
  <si>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</si>
  <si>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</si>
  <si>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</si>
  <si>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</si>
  <si>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</si>
  <si>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</si>
  <si>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</si>
  <si>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</si>
  <si>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</si>
  <si>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</si>
  <si>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</si>
  <si>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</si>
  <si>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</si>
  <si>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</si>
  <si>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</si>
  <si>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</si>
  <si>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</si>
  <si>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</si>
  <si>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</si>
  <si>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</si>
  <si>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</si>
  <si>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</si>
  <si>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</si>
  <si>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</si>
  <si>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</si>
  <si>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</si>
  <si>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</si>
  <si>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</si>
  <si>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</si>
  <si>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</si>
  <si>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</si>
  <si>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</si>
  <si>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</si>
  <si>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</si>
  <si>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</si>
  <si>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</si>
  <si>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</si>
  <si>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</si>
  <si>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</si>
  <si>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</si>
  <si>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</si>
  <si>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</si>
  <si>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</si>
  <si>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</si>
  <si>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</si>
  <si>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</si>
  <si>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</si>
  <si>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</si>
  <si>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</si>
  <si>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</si>
  <si>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</si>
  <si>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</si>
  <si>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</si>
  <si>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</si>
  <si>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</si>
  <si>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</si>
  <si>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</si>
  <si>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</si>
  <si>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</si>
  <si>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</si>
  <si>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</si>
  <si>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</si>
  <si>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</si>
  <si>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</si>
  <si>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</si>
  <si>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</si>
  <si>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</si>
  <si>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</si>
  <si>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</si>
  <si>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</si>
  <si>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</si>
  <si>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</si>
  <si>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</si>
  <si>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</si>
  <si>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</si>
  <si>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</si>
  <si>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</si>
  <si>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</si>
  <si>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</si>
  <si>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</si>
  <si>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</si>
  <si>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</si>
  <si>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</si>
  <si>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</si>
  <si>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</si>
  <si>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</si>
  <si>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</si>
  <si>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</si>
  <si>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</si>
  <si>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</si>
  <si>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</si>
  <si>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</si>
  <si>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</si>
  <si>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</si>
  <si>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</si>
  <si>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</si>
  <si>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</si>
  <si>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</si>
  <si>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</si>
  <si>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</si>
  <si>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</si>
  <si>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</si>
  <si>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</si>
  <si>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</si>
  <si>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</si>
  <si>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</si>
  <si>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</si>
  <si>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</si>
  <si>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</si>
  <si>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</si>
  <si>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</si>
  <si>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</si>
  <si>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</si>
  <si>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</si>
  <si>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</si>
  <si>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</si>
  <si>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</si>
  <si>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</si>
  <si>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</si>
  <si>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</si>
  <si>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</si>
  <si>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</si>
  <si>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</si>
  <si>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</si>
  <si>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</si>
  <si>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</si>
  <si>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</si>
  <si>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</si>
  <si>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</si>
  <si>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</si>
  <si>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</si>
  <si>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</si>
  <si>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</si>
  <si>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</si>
  <si>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</si>
  <si>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</si>
  <si>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</si>
  <si>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</si>
  <si>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</si>
  <si>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</si>
  <si>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</si>
  <si>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</si>
  <si>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</si>
  <si>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</si>
  <si>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</si>
  <si>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</si>
  <si>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</si>
  <si>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</si>
  <si>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</si>
  <si>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</si>
  <si>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</si>
  <si>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</si>
  <si>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</si>
  <si>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</si>
  <si>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</si>
  <si>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</si>
  <si>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</si>
  <si>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</si>
  <si>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</si>
  <si>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</si>
  <si>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</si>
  <si>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</si>
  <si>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</si>
  <si>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</si>
  <si>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</si>
  <si>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</si>
  <si>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</si>
  <si>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</si>
  <si>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</si>
  <si>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</si>
  <si>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</si>
  <si>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</si>
  <si>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</si>
  <si>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</si>
  <si>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</si>
  <si>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</si>
  <si>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</si>
  <si>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</si>
  <si>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</si>
  <si>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</si>
  <si>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</si>
  <si>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</si>
  <si>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</si>
  <si>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</si>
  <si>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</si>
  <si>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</si>
  <si>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</si>
  <si>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</si>
  <si>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</si>
  <si>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</si>
  <si>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</si>
  <si>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</si>
  <si>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</si>
  <si>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</si>
  <si>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</si>
  <si>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</si>
  <si>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</si>
  <si>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</si>
  <si>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</si>
  <si>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</si>
  <si>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</si>
  <si>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</si>
  <si>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</si>
  <si>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</si>
  <si>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</si>
  <si>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</si>
  <si>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</si>
  <si>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</si>
  <si>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</si>
  <si>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</si>
  <si>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</si>
  <si>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</si>
  <si>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</si>
  <si>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</si>
  <si>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</si>
  <si>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</si>
  <si>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</si>
  <si>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</si>
  <si>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</si>
  <si>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</si>
  <si>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</si>
  <si>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</si>
  <si>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</si>
  <si>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</si>
  <si>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</si>
  <si>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</si>
  <si>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</si>
  <si>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</si>
  <si>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</si>
  <si>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</si>
  <si>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</si>
  <si>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</si>
  <si>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</si>
  <si>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</si>
  <si>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</si>
  <si>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</si>
  <si>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</si>
  <si>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</si>
  <si>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</si>
  <si>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</si>
  <si>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</si>
  <si>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</si>
  <si>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</si>
  <si>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</si>
  <si>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</si>
  <si>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</si>
  <si>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</si>
  <si>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</si>
  <si>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</si>
  <si>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</si>
  <si>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</si>
  <si>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</si>
  <si>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</si>
  <si>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</si>
  <si>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</si>
  <si>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</si>
  <si>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</si>
  <si>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</si>
  <si>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</si>
  <si>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</si>
  <si>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</si>
  <si>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</si>
  <si>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</si>
  <si>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</si>
  <si>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</si>
  <si>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</si>
  <si>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</si>
  <si>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</si>
  <si>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</si>
  <si>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</si>
  <si>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</si>
  <si>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</si>
  <si>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</si>
  <si>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</si>
  <si>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</si>
  <si>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</si>
  <si>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</si>
  <si>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</si>
  <si>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</si>
  <si>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</si>
  <si>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</si>
  <si>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</si>
  <si>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</si>
  <si>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</si>
  <si>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</si>
  <si>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</si>
  <si>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</si>
  <si>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</si>
  <si>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</si>
  <si>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</si>
  <si>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</si>
  <si>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</si>
  <si>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</si>
  <si>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</si>
  <si>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</si>
  <si>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</si>
  <si>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</si>
  <si>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</si>
  <si>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</si>
  <si>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</si>
  <si>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</si>
  <si>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</si>
  <si>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</si>
  <si>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</si>
  <si>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</si>
  <si>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</si>
  <si>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</si>
  <si>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</si>
  <si>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</si>
  <si>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</si>
  <si>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</si>
  <si>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</si>
  <si>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</si>
  <si>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</si>
  <si>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</si>
  <si>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</si>
  <si>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</si>
  <si>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</si>
  <si>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</si>
  <si>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</si>
  <si>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</si>
  <si>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</si>
  <si>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</si>
  <si>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</si>
  <si>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</si>
  <si>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</si>
  <si>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</si>
  <si>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</si>
  <si>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</si>
  <si>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</si>
  <si>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</si>
  <si>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</si>
  <si>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</si>
  <si>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</si>
  <si>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</si>
  <si>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</si>
  <si>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</si>
  <si>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</si>
  <si>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</si>
  <si>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</si>
  <si>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</si>
  <si>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</si>
  <si>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</si>
  <si>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</si>
  <si>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</si>
  <si>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</si>
  <si>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</si>
  <si>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</si>
  <si>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</si>
  <si>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</si>
  <si>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</si>
  <si>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</si>
  <si>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</si>
  <si>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</si>
  <si>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</si>
  <si>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</si>
  <si>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</si>
  <si>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</si>
  <si>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</si>
  <si>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</si>
  <si>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</si>
  <si>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</si>
  <si>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</si>
  <si>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</si>
  <si>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</si>
  <si>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</si>
  <si>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</si>
  <si>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</si>
  <si>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</si>
  <si>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</si>
  <si>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</si>
  <si>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</si>
  <si>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</si>
  <si>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</si>
  <si>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</si>
  <si>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</si>
  <si>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</si>
  <si>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</si>
  <si>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</si>
  <si>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</si>
  <si>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</si>
  <si>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</si>
  <si>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</si>
  <si>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</si>
  <si>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</si>
  <si>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</si>
  <si>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</si>
  <si>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</si>
  <si>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</si>
  <si>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</si>
  <si>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</si>
  <si>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</si>
  <si>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</si>
  <si>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</si>
  <si>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</si>
  <si>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</si>
  <si>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</si>
  <si>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</si>
  <si>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</si>
  <si>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</si>
  <si>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</si>
  <si>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</si>
  <si>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</si>
  <si>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</si>
  <si>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</si>
  <si>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</si>
  <si>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</si>
  <si>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</si>
  <si>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</si>
  <si>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</si>
  <si>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</si>
  <si>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</si>
  <si>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</si>
  <si>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</si>
  <si>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</si>
  <si>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</si>
  <si>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</si>
  <si>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</si>
  <si>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</si>
  <si>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</si>
  <si>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</si>
  <si>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</si>
  <si>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</si>
  <si>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</si>
  <si>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</si>
  <si>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</si>
  <si>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</si>
  <si>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</si>
  <si>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</si>
  <si>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</si>
  <si>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</si>
  <si>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</si>
  <si>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</si>
  <si>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</si>
  <si>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</si>
  <si>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</si>
  <si>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</si>
  <si>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</si>
  <si>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</si>
  <si>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</si>
  <si>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</si>
  <si>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</si>
  <si>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</si>
  <si>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</si>
  <si>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</si>
  <si>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</si>
  <si>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</si>
  <si>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</si>
  <si>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</si>
  <si>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</si>
  <si>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</si>
  <si>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</si>
  <si>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</si>
  <si>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</si>
  <si>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</si>
  <si>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</si>
  <si>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</si>
  <si>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</si>
  <si>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</si>
  <si>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</si>
  <si>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</si>
  <si>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</si>
  <si>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</si>
  <si>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</si>
  <si>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</si>
  <si>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</si>
  <si>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</si>
  <si>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</si>
  <si>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</si>
  <si>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</si>
  <si>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</si>
  <si>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</si>
  <si>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</si>
  <si>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</si>
  <si>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</si>
  <si>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</si>
  <si>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</si>
  <si>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</si>
  <si>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</si>
  <si>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</si>
  <si>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</si>
  <si>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</si>
  <si>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</si>
  <si>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</si>
  <si>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</si>
  <si>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</si>
  <si>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</si>
  <si>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</si>
  <si>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</si>
  <si>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</si>
  <si>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</si>
  <si>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</si>
  <si>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</si>
  <si>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</si>
  <si>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</si>
  <si>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</si>
  <si>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</si>
  <si>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</si>
  <si>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</si>
  <si>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</si>
  <si>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</si>
  <si>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</si>
  <si>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</si>
  <si>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</si>
  <si>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</si>
  <si>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</si>
  <si>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</si>
  <si>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</si>
  <si>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</si>
  <si>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</si>
  <si>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</si>
  <si>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</si>
  <si>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</si>
  <si>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</si>
  <si>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</si>
  <si>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</si>
  <si>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</si>
  <si>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</si>
  <si>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</si>
  <si>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</si>
  <si>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</si>
  <si>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</si>
  <si>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</si>
  <si>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</si>
  <si>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</si>
  <si>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</si>
  <si>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</si>
  <si>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</si>
  <si>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</si>
  <si>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</si>
  <si>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</si>
  <si>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</si>
  <si>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</si>
  <si>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</si>
  <si>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</si>
  <si>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</si>
  <si>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</si>
  <si>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</si>
  <si>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</si>
  <si>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</si>
  <si>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</si>
  <si>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</si>
  <si>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</si>
  <si>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</si>
  <si>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</si>
  <si>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</si>
  <si>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</si>
  <si>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</si>
  <si>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</si>
  <si>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</si>
  <si>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</si>
  <si>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</si>
  <si>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</si>
  <si>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</si>
  <si>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</si>
  <si>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</si>
  <si>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</si>
  <si>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</si>
  <si>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</si>
  <si>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</si>
  <si>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</si>
  <si>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</si>
  <si>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</si>
  <si>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</si>
  <si>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</si>
  <si>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</si>
  <si>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</si>
  <si>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</si>
  <si>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</si>
  <si>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</si>
  <si>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</si>
  <si>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</si>
  <si>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</si>
  <si>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</si>
  <si>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</si>
  <si>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</si>
  <si>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</si>
  <si>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</si>
  <si>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</si>
  <si>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</si>
  <si>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</si>
  <si>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</si>
  <si>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</si>
  <si>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</si>
  <si>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</si>
  <si>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</si>
  <si>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</si>
  <si>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</si>
  <si>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</si>
  <si>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</si>
  <si>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</si>
  <si>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</si>
  <si>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</si>
  <si>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</si>
  <si>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</si>
  <si>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</si>
  <si>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</si>
  <si>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</si>
  <si>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</si>
  <si>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</si>
  <si>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</si>
  <si>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</si>
  <si>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</si>
  <si>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</si>
  <si>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</si>
  <si>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</si>
  <si>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</si>
  <si>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</si>
  <si>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</si>
  <si>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</si>
  <si>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</si>
  <si>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</si>
  <si>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</si>
  <si>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</si>
  <si>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</si>
  <si>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</si>
  <si>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</si>
  <si>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</si>
  <si>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</si>
  <si>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</si>
  <si>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</si>
  <si>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</si>
  <si>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</si>
  <si>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</si>
  <si>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</si>
  <si>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</si>
  <si>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</si>
  <si>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</si>
  <si>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</si>
  <si>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</si>
  <si>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</si>
  <si>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</si>
  <si>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</si>
  <si>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</si>
  <si>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</si>
  <si>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</si>
  <si>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</si>
  <si>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</si>
  <si>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</si>
  <si>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</si>
  <si>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</si>
  <si>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</si>
  <si>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</si>
  <si>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</si>
  <si>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</si>
  <si>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</si>
  <si>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</si>
  <si>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</si>
  <si>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</si>
  <si>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</si>
  <si>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</si>
  <si>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</si>
  <si>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</si>
  <si>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</si>
  <si>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</si>
  <si>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</si>
  <si>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</si>
  <si>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</si>
  <si>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</si>
  <si>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</si>
  <si>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</si>
  <si>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</si>
  <si>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</si>
  <si>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</si>
  <si>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</si>
  <si>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</si>
  <si>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</si>
  <si>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</si>
  <si>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</si>
  <si>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</si>
  <si>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</si>
  <si>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</si>
  <si>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</si>
  <si>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</si>
  <si>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</si>
  <si>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</si>
  <si>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</si>
  <si>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</si>
  <si>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</si>
  <si>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</si>
  <si>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</si>
  <si>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</si>
  <si>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</si>
  <si>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</si>
  <si>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</si>
  <si>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</si>
  <si>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</si>
  <si>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</si>
  <si>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</si>
  <si>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</si>
  <si>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</si>
  <si>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</si>
  <si>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</si>
  <si>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</si>
  <si>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</si>
  <si>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</si>
  <si>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</si>
  <si>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</si>
  <si>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</si>
  <si>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</si>
  <si>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</si>
  <si>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</si>
  <si>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</si>
  <si>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</si>
  <si>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</si>
  <si>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</si>
  <si>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</si>
  <si>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</si>
  <si>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</si>
  <si>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</si>
  <si>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</si>
  <si>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</si>
  <si>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</si>
  <si>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</si>
  <si>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</si>
  <si>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</si>
  <si>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</si>
  <si>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</si>
  <si>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</si>
  <si>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</si>
  <si>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</si>
  <si>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</si>
  <si>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</si>
  <si>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</si>
  <si>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</si>
  <si>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</si>
  <si>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</si>
  <si>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</si>
  <si>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</si>
  <si>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</si>
  <si>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</si>
  <si>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</si>
  <si>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</si>
  <si>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</si>
  <si>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</si>
  <si>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</si>
  <si>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</si>
  <si>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</si>
  <si>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</si>
  <si>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</si>
  <si>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</si>
  <si>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</si>
  <si>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</si>
  <si>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</si>
  <si>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</si>
  <si>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</si>
  <si>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</si>
  <si>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</si>
  <si>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</si>
  <si>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</si>
  <si>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</si>
  <si>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</si>
  <si>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</si>
  <si>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</si>
  <si>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</si>
  <si>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</si>
  <si>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</si>
  <si>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</si>
  <si>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</si>
  <si>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</si>
  <si>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</si>
  <si>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</si>
  <si>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</si>
  <si>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</si>
  <si>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</si>
  <si>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</si>
  <si>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</si>
  <si>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</si>
  <si>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</si>
  <si>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</si>
  <si>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</si>
  <si>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</si>
  <si>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</si>
  <si>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</si>
  <si>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</si>
  <si>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</si>
  <si>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</si>
  <si>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</si>
  <si>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</si>
  <si>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</si>
  <si>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</si>
  <si>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</si>
  <si>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</si>
  <si>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</si>
  <si>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</si>
  <si>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</si>
  <si>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</si>
  <si>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</si>
  <si>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</si>
  <si>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</si>
  <si>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</si>
  <si>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</si>
  <si>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</si>
  <si>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</si>
  <si>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</si>
  <si>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</si>
  <si>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</si>
  <si>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</si>
  <si>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</si>
  <si>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</si>
  <si>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</si>
  <si>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</si>
  <si>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</si>
  <si>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</si>
  <si>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</si>
  <si>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</si>
  <si>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</si>
  <si>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</si>
  <si>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</si>
  <si>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</si>
  <si>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</si>
  <si>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</si>
  <si>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</si>
  <si>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</si>
  <si>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</si>
  <si>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</si>
  <si>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</si>
  <si>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</si>
  <si>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</si>
  <si>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</si>
  <si>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</si>
  <si>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</si>
  <si>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</si>
  <si>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</si>
  <si>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</si>
  <si>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</si>
  <si>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</si>
  <si>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</si>
  <si>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</si>
  <si>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</si>
  <si>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</si>
  <si>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</si>
  <si>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</si>
  <si>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</si>
  <si>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</si>
  <si>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</si>
  <si>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</si>
  <si>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</si>
  <si>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</si>
  <si>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</si>
  <si>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</si>
  <si>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</si>
  <si>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</si>
  <si>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</si>
  <si>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</si>
  <si>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</si>
  <si>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</si>
  <si>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</si>
  <si>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</si>
  <si>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</si>
  <si>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</si>
  <si>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</si>
  <si>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</si>
  <si>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</si>
  <si>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</si>
  <si>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</si>
  <si>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</si>
  <si>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</si>
  <si>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</si>
  <si>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</si>
  <si>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</si>
  <si>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</si>
  <si>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</si>
  <si>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</si>
  <si>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</si>
  <si>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</si>
  <si>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</si>
  <si>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</si>
  <si>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</si>
  <si>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</si>
  <si>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</si>
  <si>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</si>
  <si>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</si>
  <si>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</si>
  <si>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</si>
  <si>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</si>
  <si>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</si>
  <si>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</si>
  <si>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</si>
  <si>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</si>
  <si>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</si>
  <si>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</si>
  <si>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</si>
  <si>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</si>
  <si>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</si>
  <si>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</si>
  <si>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</si>
  <si>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</si>
  <si>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</si>
  <si>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</si>
  <si>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</si>
  <si>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</si>
  <si>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</si>
  <si>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</si>
  <si>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</si>
  <si>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</si>
  <si>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</si>
  <si>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</si>
  <si>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</si>
  <si>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</si>
  <si>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</si>
  <si>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</si>
  <si>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</si>
  <si>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</si>
  <si>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</si>
  <si>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</si>
  <si>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</si>
  <si>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</si>
  <si>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</si>
  <si>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</si>
  <si>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</si>
  <si>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</si>
  <si>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</si>
  <si>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</si>
  <si>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</si>
  <si>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</si>
  <si>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</si>
  <si>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</si>
  <si>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</si>
  <si>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</si>
  <si>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</si>
  <si>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</si>
  <si>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</si>
  <si>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</si>
  <si>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</si>
  <si>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</si>
  <si>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</si>
  <si>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</si>
  <si>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</si>
  <si>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</si>
  <si>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</si>
  <si>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</si>
  <si>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</si>
  <si>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</si>
  <si>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</si>
  <si>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</si>
  <si>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</si>
  <si>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</si>
  <si>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</si>
  <si>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</si>
  <si>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</si>
  <si>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</si>
  <si>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</si>
  <si>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</si>
  <si>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</si>
  <si>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</si>
  <si>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</si>
  <si>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</si>
  <si>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</si>
  <si>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</si>
  <si>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</si>
  <si>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</si>
  <si>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</si>
  <si>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</si>
  <si>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</si>
  <si>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</si>
  <si>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</si>
  <si>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</si>
  <si>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</si>
  <si>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</si>
  <si>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</si>
  <si>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</si>
  <si>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</si>
  <si>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</si>
  <si>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</si>
  <si>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</si>
  <si>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</si>
  <si>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</si>
  <si>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</si>
  <si>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</si>
  <si>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</si>
  <si>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</si>
  <si>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</si>
  <si>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</si>
  <si>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</si>
  <si>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</si>
  <si>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</si>
  <si>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</si>
  <si>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</si>
  <si>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</si>
  <si>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</si>
  <si>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</si>
  <si>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</si>
  <si>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</si>
  <si>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</si>
  <si>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</si>
  <si>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</si>
  <si>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</si>
  <si>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</si>
  <si>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</si>
  <si>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</si>
  <si>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</si>
  <si>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</si>
  <si>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</si>
  <si>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</si>
  <si>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</si>
  <si>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</si>
  <si>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</si>
  <si>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</si>
  <si>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</si>
  <si>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</si>
  <si>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</si>
  <si>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</si>
  <si>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</si>
  <si>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</si>
  <si>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</si>
  <si>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</si>
  <si>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</si>
  <si>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</si>
  <si>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</si>
  <si>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</si>
  <si>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</si>
  <si>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</si>
  <si>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</si>
  <si>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</si>
  <si>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</si>
  <si>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</si>
  <si>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</si>
  <si>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</si>
  <si>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</si>
  <si>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</si>
  <si>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</si>
  <si>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</si>
  <si>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</si>
  <si>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</si>
  <si>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</si>
  <si>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</si>
  <si>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</si>
  <si>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</si>
  <si>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</si>
  <si>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</si>
  <si>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</si>
  <si>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</si>
  <si>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</si>
  <si>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</si>
  <si>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</si>
  <si>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</si>
  <si>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</si>
  <si>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</si>
  <si>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</si>
  <si>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</si>
  <si>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</si>
  <si>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</si>
  <si>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</si>
  <si>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</si>
  <si>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</si>
  <si>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</si>
  <si>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</si>
  <si>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</si>
  <si>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</si>
  <si>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</si>
  <si>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</si>
  <si>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</si>
  <si>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</si>
  <si>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</si>
  <si>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</si>
  <si>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</si>
  <si>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</si>
  <si>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</si>
  <si>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</si>
  <si>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</si>
  <si>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</si>
  <si>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</si>
  <si>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</si>
  <si>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</si>
  <si>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</si>
  <si>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</si>
  <si>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</si>
  <si>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</si>
  <si>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</si>
  <si>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</si>
  <si>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</si>
  <si>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</si>
  <si>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</si>
  <si>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</si>
  <si>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</si>
  <si>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</si>
  <si>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</si>
  <si>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</si>
  <si>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</si>
  <si>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</si>
  <si>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</si>
  <si>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</si>
  <si>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</si>
  <si>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</si>
  <si>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</si>
  <si>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</si>
  <si>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</si>
  <si>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</si>
  <si>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</si>
  <si>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</si>
  <si>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</si>
  <si>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</si>
  <si>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</si>
  <si>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</si>
  <si>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</si>
  <si>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</si>
  <si>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</si>
  <si>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</si>
  <si>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</si>
  <si>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</si>
  <si>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</si>
  <si>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</si>
  <si>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</si>
  <si>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</si>
  <si>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</si>
  <si>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</si>
  <si>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</si>
  <si>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</si>
  <si>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</si>
  <si>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</si>
  <si>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</si>
  <si>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</si>
  <si>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</si>
  <si>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</si>
  <si>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</si>
  <si>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</si>
  <si>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</si>
  <si>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</si>
  <si>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</si>
  <si>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</si>
  <si>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</si>
  <si>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</si>
  <si>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</si>
  <si>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</si>
  <si>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</si>
  <si>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</si>
  <si>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</si>
  <si>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</si>
  <si>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</si>
  <si>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</si>
  <si>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</si>
  <si>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</si>
  <si>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</si>
  <si>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</si>
  <si>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</si>
  <si>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</si>
  <si>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</si>
  <si>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</si>
  <si>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</si>
  <si>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</si>
  <si>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</si>
  <si>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</si>
  <si>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</si>
  <si>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</si>
  <si>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</si>
  <si>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</si>
  <si>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</si>
  <si>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</si>
  <si>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</si>
  <si>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</si>
  <si>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</si>
  <si>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</si>
  <si>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</si>
  <si>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</si>
  <si>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</si>
  <si>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</si>
  <si>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</si>
  <si>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</si>
  <si>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</si>
  <si>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</si>
  <si>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</si>
  <si>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</si>
  <si>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</si>
  <si>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</si>
  <si>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</si>
  <si>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</si>
  <si>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</si>
  <si>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</si>
  <si>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</si>
  <si>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</si>
  <si>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</si>
  <si>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</si>
  <si>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</si>
  <si>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</si>
  <si>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</si>
  <si>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</si>
  <si>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</si>
  <si>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</si>
  <si>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</si>
  <si>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</si>
  <si>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</si>
  <si>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</si>
  <si>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</si>
  <si>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</si>
  <si>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</si>
  <si>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</si>
  <si>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</si>
  <si>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</si>
  <si>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</si>
  <si>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</si>
  <si>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</si>
  <si>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</si>
  <si>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</si>
  <si>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</si>
  <si>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</si>
  <si>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</si>
  <si>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</si>
  <si>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</si>
  <si>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</si>
  <si>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</si>
  <si>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</si>
  <si>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</si>
  <si>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</si>
  <si>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</si>
  <si>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</si>
  <si>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</si>
  <si>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</si>
  <si>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</si>
  <si>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</si>
  <si>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</si>
  <si>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</si>
  <si>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</si>
  <si>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</si>
  <si>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</si>
  <si>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</si>
  <si>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</si>
  <si>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</si>
  <si>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</si>
  <si>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</si>
  <si>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</si>
  <si>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</si>
  <si>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</si>
  <si>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</si>
  <si>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</si>
  <si>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</si>
  <si>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</si>
  <si>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</si>
  <si>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</si>
  <si>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</si>
  <si>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</si>
  <si>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</si>
  <si>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</si>
  <si>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</si>
  <si>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</si>
  <si>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</si>
  <si>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</si>
  <si>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</si>
  <si>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</si>
  <si>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</si>
  <si>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</si>
  <si>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</si>
  <si>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</si>
  <si>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</si>
  <si>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</si>
  <si>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</si>
  <si>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</si>
  <si>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</si>
  <si>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</si>
  <si>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</si>
  <si>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</si>
  <si>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</si>
  <si>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</si>
  <si>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</si>
  <si>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</si>
  <si>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</si>
  <si>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</si>
  <si>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</si>
  <si>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</si>
  <si>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</si>
  <si>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</si>
  <si>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</si>
  <si>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</si>
  <si>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</si>
  <si>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</si>
  <si>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</si>
  <si>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</si>
  <si>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</si>
  <si>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</si>
  <si>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</si>
  <si>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</si>
  <si>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</si>
  <si>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</si>
  <si>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</si>
  <si>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</si>
  <si>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</si>
  <si>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</si>
  <si>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</si>
  <si>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</si>
  <si>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</si>
  <si>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</si>
  <si>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</si>
  <si>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</si>
  <si>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</si>
  <si>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</si>
  <si>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</si>
  <si>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</si>
  <si>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</si>
  <si>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</si>
  <si>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</si>
  <si>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</si>
  <si>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</si>
  <si>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</si>
  <si>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</si>
  <si>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</si>
  <si>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</si>
  <si>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</si>
  <si>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</si>
  <si>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</si>
  <si>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</si>
  <si>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</si>
  <si>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</si>
  <si>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</si>
  <si>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</si>
  <si>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</si>
  <si>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</si>
  <si>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</si>
  <si>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</si>
  <si>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</si>
  <si>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</si>
  <si>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</si>
  <si>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</si>
  <si>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</si>
  <si>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</si>
  <si>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</si>
  <si>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</si>
  <si>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</si>
  <si>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</si>
  <si>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</si>
  <si>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</si>
  <si>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</si>
  <si>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</si>
  <si>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</si>
  <si>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</si>
  <si>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</si>
  <si>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</si>
  <si>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</si>
  <si>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</si>
  <si>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</si>
  <si>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</si>
  <si>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</si>
  <si>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</si>
  <si>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</si>
  <si>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</si>
  <si>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</si>
  <si>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</si>
  <si>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</si>
  <si>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</si>
  <si>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</si>
  <si>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</si>
  <si>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</si>
  <si>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</si>
  <si>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</si>
  <si>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</si>
  <si>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</si>
  <si>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</si>
  <si>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</si>
  <si>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</si>
  <si>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</si>
  <si>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</si>
  <si>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</si>
  <si>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</si>
  <si>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</si>
  <si>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</si>
  <si>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</si>
  <si>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</si>
  <si>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</si>
  <si>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</si>
  <si>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</si>
  <si>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</si>
  <si>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</si>
  <si>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</si>
  <si>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</si>
  <si>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</si>
  <si>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</si>
  <si>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</si>
  <si>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</si>
  <si>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</si>
  <si>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</si>
  <si>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</si>
  <si>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</si>
  <si>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</si>
  <si>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</si>
  <si>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</si>
  <si>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</si>
  <si>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</si>
  <si>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</si>
  <si>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</si>
  <si>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</si>
  <si>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</si>
  <si>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</si>
  <si>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</si>
  <si>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</si>
  <si>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</si>
  <si>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</si>
  <si>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</si>
  <si>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</si>
  <si>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</si>
  <si>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</si>
  <si>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</si>
  <si>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</si>
  <si>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</si>
  <si>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</si>
  <si>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</si>
  <si>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</si>
  <si>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</si>
  <si>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</si>
  <si>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</si>
  <si>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</si>
  <si>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</si>
  <si>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</si>
  <si>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</si>
  <si>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</si>
  <si>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</si>
  <si>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</si>
  <si>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</si>
  <si>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</si>
  <si>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</si>
  <si>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</si>
  <si>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</si>
  <si>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</si>
  <si>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</si>
  <si>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</si>
  <si>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</si>
  <si>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</si>
  <si>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</si>
  <si>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</si>
  <si>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</si>
  <si>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</si>
  <si>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</si>
  <si>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</si>
  <si>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</si>
  <si>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</si>
  <si>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</si>
  <si>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</si>
  <si>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</si>
  <si>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</si>
  <si>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</si>
  <si>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</si>
  <si>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</si>
  <si>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</si>
  <si>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</si>
  <si>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</si>
  <si>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</si>
  <si>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</si>
  <si>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</si>
  <si>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</si>
  <si>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</si>
  <si>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</si>
  <si>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</si>
  <si>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</si>
  <si>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</si>
  <si>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</si>
  <si>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</si>
  <si>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</si>
  <si>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</si>
  <si>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</si>
  <si>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</si>
  <si>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</si>
  <si>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</si>
  <si>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</si>
  <si>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</si>
  <si>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</si>
  <si>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</si>
  <si>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</si>
  <si>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</si>
  <si>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</si>
  <si>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</si>
  <si>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</si>
  <si>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</si>
  <si>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</si>
  <si>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</si>
  <si>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</si>
  <si>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</si>
  <si>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</si>
  <si>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</si>
  <si>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</si>
  <si>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</si>
  <si>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</si>
  <si>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</si>
  <si>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</si>
  <si>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</si>
  <si>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</si>
  <si>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</si>
  <si>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</si>
  <si>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</si>
  <si>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</si>
  <si>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</si>
  <si>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</si>
  <si>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</si>
  <si>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</si>
  <si>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</si>
  <si>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</si>
  <si>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</si>
  <si>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</si>
  <si>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</si>
  <si>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</si>
  <si>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</si>
  <si>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</si>
  <si>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</si>
  <si>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</si>
  <si>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</si>
  <si>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</si>
  <si>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</si>
  <si>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</si>
  <si>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</si>
  <si>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</si>
  <si>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</si>
  <si>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</si>
  <si>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</si>
  <si>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</si>
  <si>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</si>
  <si>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</si>
  <si>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</si>
  <si>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</si>
  <si>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</si>
  <si>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</si>
  <si>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</si>
  <si>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</si>
  <si>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</si>
  <si>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</si>
  <si>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</si>
  <si>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</si>
  <si>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</si>
  <si>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</si>
  <si>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</si>
  <si>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</si>
  <si>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</si>
  <si>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</si>
  <si>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</si>
  <si>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</si>
  <si>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</si>
  <si>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</si>
  <si>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</si>
  <si>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</si>
  <si>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</si>
  <si>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</si>
  <si>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</si>
  <si>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</si>
  <si>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</si>
  <si>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</si>
  <si>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</si>
  <si>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</si>
  <si>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</si>
  <si>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</si>
  <si>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</si>
  <si>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</si>
  <si>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</si>
  <si>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</si>
  <si>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</si>
  <si>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</si>
  <si>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</si>
  <si>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</si>
  <si>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</si>
  <si>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</si>
  <si>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</si>
  <si>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</si>
  <si>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</si>
  <si>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</si>
  <si>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</si>
  <si>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</si>
  <si>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</si>
  <si>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</si>
  <si>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</si>
  <si>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</si>
  <si>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</si>
  <si>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</si>
  <si>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</si>
  <si>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</si>
  <si>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</si>
  <si>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</si>
  <si>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</si>
  <si>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</si>
  <si>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</si>
  <si>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</si>
  <si>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</si>
  <si>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</si>
  <si>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</si>
  <si>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</si>
  <si>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</si>
  <si>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</si>
  <si>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</si>
  <si>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</si>
  <si>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</si>
  <si>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</si>
  <si>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</si>
  <si>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</si>
  <si>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</si>
  <si>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</si>
  <si>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</si>
  <si>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</si>
  <si>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</si>
  <si>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</si>
  <si>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</si>
  <si>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</si>
  <si>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</si>
  <si>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</si>
  <si>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</si>
  <si>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</si>
  <si>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</si>
  <si>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</si>
  <si>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</si>
  <si>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</si>
  <si>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</si>
  <si>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</si>
  <si>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</si>
  <si>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</si>
  <si>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</si>
  <si>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</si>
  <si>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</si>
  <si>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</si>
  <si>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</si>
  <si>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</si>
  <si>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</si>
  <si>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</si>
  <si>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</si>
  <si>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</si>
  <si>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</si>
  <si>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</si>
  <si>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</si>
  <si>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</si>
  <si>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</si>
  <si>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</si>
  <si>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</si>
  <si>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</si>
  <si>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</si>
  <si>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</si>
  <si>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</si>
  <si>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</si>
  <si>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</si>
  <si>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</si>
  <si>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</si>
  <si>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</si>
  <si>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</si>
  <si>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</si>
  <si>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</si>
  <si>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</si>
  <si>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</si>
  <si>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</si>
  <si>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</si>
  <si>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</si>
  <si>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</si>
  <si>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</si>
  <si>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</si>
  <si>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</si>
  <si>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</si>
  <si>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</si>
  <si>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</si>
  <si>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</si>
  <si>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</si>
  <si>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</si>
  <si>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</si>
  <si>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</si>
  <si>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</si>
  <si>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</si>
  <si>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</si>
  <si>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</si>
  <si>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</si>
  <si>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</si>
  <si>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</si>
  <si>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</si>
  <si>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</si>
  <si>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</si>
  <si>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</si>
  <si>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</si>
  <si>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</si>
  <si>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</si>
  <si>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</si>
  <si>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</si>
  <si>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</si>
  <si>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</si>
  <si>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</si>
  <si>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</si>
  <si>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</si>
  <si>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</si>
  <si>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</si>
  <si>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</si>
  <si>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</si>
  <si>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</si>
  <si>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</si>
  <si>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</si>
  <si>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</si>
  <si>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</si>
  <si>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</si>
  <si>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</si>
  <si>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</si>
  <si>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</si>
  <si>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</si>
  <si>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</si>
  <si>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</si>
  <si>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</si>
  <si>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</si>
  <si>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</si>
  <si>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</si>
  <si>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</si>
  <si>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</si>
  <si>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</si>
  <si>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</si>
  <si>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</si>
  <si>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</si>
  <si>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</si>
  <si>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</si>
  <si>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</si>
  <si>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</si>
  <si>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</si>
  <si>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</si>
  <si>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</si>
  <si>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</si>
  <si>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</si>
  <si>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</si>
  <si>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</si>
  <si>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</si>
  <si>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</si>
  <si>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</si>
  <si>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</si>
  <si>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</si>
  <si>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</si>
  <si>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</si>
  <si>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</si>
  <si>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</si>
  <si>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</si>
  <si>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</si>
  <si>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</si>
  <si>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</si>
  <si>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</si>
  <si>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</si>
  <si>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</si>
  <si>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</si>
  <si>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</si>
  <si>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</si>
  <si>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</si>
  <si>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</si>
  <si>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</si>
  <si>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</si>
  <si>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</si>
  <si>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</si>
  <si>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</si>
  <si>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</si>
  <si>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</si>
  <si>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</si>
  <si>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</si>
  <si>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</si>
  <si>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</si>
  <si>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</si>
  <si>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</si>
  <si>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</si>
  <si>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</si>
  <si>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</si>
  <si>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</si>
  <si>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</si>
  <si>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</si>
  <si>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</si>
  <si>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</si>
  <si>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</si>
  <si>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</si>
  <si>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</si>
  <si>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</si>
  <si>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</si>
  <si>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</si>
  <si>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</si>
  <si>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</si>
  <si>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</si>
  <si>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</si>
  <si>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</si>
  <si>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</si>
  <si>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</si>
  <si>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</si>
  <si>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</si>
  <si>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</si>
  <si>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</si>
  <si>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</si>
  <si>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</si>
  <si>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</si>
  <si>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</si>
  <si>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</si>
  <si>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</si>
  <si>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</si>
  <si>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</si>
  <si>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</si>
  <si>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</si>
  <si>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</si>
  <si>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</si>
  <si>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</si>
  <si>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</si>
  <si>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</si>
  <si>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</si>
  <si>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</si>
  <si>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</si>
  <si>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</si>
  <si>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</si>
  <si>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</si>
  <si>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</si>
  <si>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</si>
  <si>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</si>
  <si>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</si>
  <si>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</si>
  <si>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</si>
  <si>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</si>
  <si>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</si>
  <si>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</si>
  <si>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</si>
  <si>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</si>
  <si>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</si>
  <si>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</si>
  <si>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</si>
  <si>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</si>
  <si>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</si>
  <si>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</si>
  <si>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</si>
  <si>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</si>
  <si>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</si>
  <si>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</si>
  <si>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</si>
  <si>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</si>
  <si>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</si>
  <si>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</si>
  <si>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</si>
  <si>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</si>
  <si>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</si>
  <si>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</si>
  <si>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</si>
  <si>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</si>
  <si>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</si>
  <si>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</si>
  <si>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</si>
  <si>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</si>
  <si>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</si>
  <si>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</si>
  <si>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</si>
  <si>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</si>
  <si>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</si>
  <si>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</si>
  <si>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</si>
  <si>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</si>
  <si>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</si>
  <si>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</si>
  <si>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</si>
  <si>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</si>
  <si>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</si>
  <si>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</si>
  <si>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</si>
  <si>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</si>
  <si>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</si>
  <si>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</si>
  <si>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</si>
  <si>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</si>
  <si>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</si>
  <si>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</si>
  <si>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</si>
  <si>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</si>
  <si>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</si>
  <si>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</si>
  <si>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</si>
  <si>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</si>
  <si>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</si>
  <si>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</si>
  <si>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</si>
  <si>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</si>
  <si>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</si>
  <si>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</si>
  <si>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</si>
  <si>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</si>
  <si>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</si>
  <si>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</si>
  <si>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</si>
  <si>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</si>
  <si>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</si>
  <si>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</si>
  <si>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</si>
  <si>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</si>
  <si>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</si>
  <si>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</si>
  <si>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</si>
  <si>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</si>
  <si>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</si>
  <si>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</si>
  <si>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</si>
  <si>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</si>
  <si>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</si>
  <si>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</si>
  <si>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</si>
  <si>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</si>
  <si>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</si>
  <si>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</si>
  <si>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</si>
  <si>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</si>
  <si>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</si>
  <si>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</si>
  <si>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</si>
  <si>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</si>
  <si>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</si>
  <si>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</si>
  <si>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</si>
  <si>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</si>
  <si>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</si>
  <si>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</si>
  <si>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</si>
  <si>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</si>
  <si>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</si>
  <si>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</si>
  <si>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</si>
  <si>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</si>
  <si>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</si>
  <si>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</si>
  <si>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</si>
  <si>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</si>
  <si>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</si>
  <si>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</si>
  <si>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</si>
  <si>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</si>
  <si>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</si>
  <si>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</si>
  <si>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</si>
  <si>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</si>
  <si>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</si>
  <si>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</si>
  <si>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</si>
  <si>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</si>
  <si>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</si>
  <si>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</si>
  <si>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</si>
  <si>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</si>
  <si>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</si>
  <si>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</si>
  <si>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</si>
  <si>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</si>
  <si>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</si>
  <si>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</si>
  <si>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</si>
  <si>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</si>
  <si>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</si>
  <si>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</si>
  <si>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</si>
  <si>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</si>
  <si>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</si>
  <si>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</si>
  <si>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</si>
  <si>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</si>
  <si>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</si>
  <si>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</si>
  <si>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</si>
  <si>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</si>
  <si>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</si>
  <si>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</si>
  <si>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</si>
  <si>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</si>
  <si>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</si>
  <si>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</si>
  <si>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</si>
  <si>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</si>
  <si>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</si>
  <si>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</si>
  <si>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</si>
  <si>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</si>
  <si>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</si>
  <si>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</si>
  <si>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</si>
  <si>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</si>
  <si>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</si>
  <si>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</si>
  <si>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</si>
  <si>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</si>
  <si>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</si>
  <si>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</si>
  <si>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</si>
  <si>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</si>
  <si>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</si>
  <si>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</si>
  <si>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</si>
  <si>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</si>
  <si>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</si>
  <si>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</si>
  <si>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</si>
  <si>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</si>
  <si>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</si>
  <si>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</si>
  <si>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</si>
  <si>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</si>
  <si>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</si>
  <si>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</si>
  <si>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</si>
  <si>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</si>
  <si>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</si>
  <si>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</si>
  <si>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</si>
  <si>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</si>
  <si>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</si>
  <si>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</si>
  <si>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</si>
  <si>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</si>
  <si>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</si>
  <si>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</si>
  <si>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</si>
  <si>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</si>
  <si>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</si>
  <si>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</si>
  <si>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</si>
  <si>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</si>
  <si>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</si>
  <si>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</si>
  <si>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</si>
  <si>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</si>
  <si>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</si>
  <si>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</si>
  <si>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</si>
  <si>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</si>
  <si>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</si>
  <si>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</si>
  <si>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</si>
  <si>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</si>
  <si>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</si>
  <si>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</si>
  <si>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</si>
  <si>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</si>
  <si>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</si>
  <si>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</si>
  <si>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</si>
  <si>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</si>
  <si>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</si>
  <si>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</si>
  <si>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</si>
  <si>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</si>
  <si>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</si>
  <si>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</si>
  <si>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</si>
  <si>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</si>
  <si>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</si>
  <si>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</si>
  <si>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</si>
  <si>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</si>
  <si>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</si>
  <si>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</si>
  <si>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</si>
  <si>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</si>
  <si>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</si>
  <si>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</si>
  <si>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</si>
  <si>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</si>
  <si>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</si>
  <si>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</si>
  <si>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</si>
  <si>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</si>
  <si>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</si>
  <si>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</si>
  <si>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</si>
  <si>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</si>
  <si>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</si>
  <si>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</si>
  <si>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</si>
  <si>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</si>
  <si>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</si>
  <si>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</si>
  <si>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</si>
  <si>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</si>
  <si>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</si>
  <si>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</si>
  <si>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</si>
  <si>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</si>
  <si>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</si>
  <si>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</si>
  <si>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</si>
  <si>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</si>
  <si>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</si>
  <si>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</si>
  <si>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</si>
  <si>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</si>
  <si>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</si>
  <si>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</si>
  <si>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</si>
  <si>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</si>
  <si>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</si>
  <si>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</si>
  <si>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</si>
  <si>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</si>
  <si>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</si>
  <si>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</si>
  <si>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</si>
  <si>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</si>
  <si>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</si>
  <si>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</si>
  <si>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</si>
  <si>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</si>
  <si>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</si>
  <si>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</si>
  <si>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</si>
  <si>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</si>
  <si>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</si>
  <si>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</si>
  <si>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</si>
  <si>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</si>
  <si>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</si>
  <si>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</si>
  <si>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</si>
  <si>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</si>
  <si>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</si>
  <si>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</si>
  <si>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</si>
  <si>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</si>
  <si>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</si>
  <si>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</si>
  <si>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</si>
  <si>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</si>
  <si>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</si>
  <si>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</si>
  <si>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</si>
  <si>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</si>
  <si>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</si>
  <si>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</si>
  <si>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</si>
  <si>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</si>
  <si>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</si>
  <si>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</si>
  <si>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</si>
  <si>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</si>
  <si>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</si>
  <si>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</si>
  <si>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</si>
  <si>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</si>
  <si>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</si>
  <si>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</si>
  <si>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</si>
  <si>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</si>
  <si>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</si>
  <si>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</si>
  <si>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</si>
  <si>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</si>
  <si>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</si>
  <si>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</si>
  <si>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</si>
  <si>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</si>
  <si>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</si>
  <si>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</si>
  <si>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</si>
  <si>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</si>
  <si>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</si>
  <si>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</si>
  <si>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</si>
  <si>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</si>
  <si>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</si>
  <si>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</si>
  <si>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</si>
  <si>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</si>
  <si>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</si>
  <si>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</si>
  <si>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</si>
  <si>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</si>
  <si>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</si>
  <si>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</si>
  <si>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</si>
  <si>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</si>
  <si>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</si>
  <si>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</si>
  <si>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</si>
  <si>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</si>
  <si>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</si>
  <si>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</si>
  <si>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</si>
  <si>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</si>
  <si>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</si>
  <si>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</si>
  <si>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</si>
  <si>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</si>
  <si>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</si>
  <si>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</si>
  <si>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</si>
  <si>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</si>
  <si>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</si>
  <si>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</si>
  <si>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</si>
  <si>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</si>
  <si>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</si>
  <si>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</si>
  <si>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</si>
  <si>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</si>
  <si>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</si>
  <si>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</si>
  <si>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</si>
  <si>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</si>
  <si>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</si>
  <si>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</si>
  <si>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</si>
  <si>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</si>
  <si>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</si>
  <si>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</si>
  <si>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</si>
  <si>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</si>
  <si>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</si>
  <si>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</si>
  <si>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</si>
  <si>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</si>
  <si>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</si>
  <si>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</si>
  <si>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</si>
  <si>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</si>
  <si>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</si>
  <si>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</si>
  <si>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</si>
  <si>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</si>
  <si>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</si>
  <si>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</si>
  <si>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</si>
  <si>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</si>
  <si>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</si>
  <si>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</si>
  <si>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</si>
  <si>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</si>
  <si>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</si>
  <si>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</si>
  <si>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</si>
  <si>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</si>
  <si>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</si>
  <si>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</si>
  <si>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</si>
  <si>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</si>
  <si>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</si>
  <si>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</si>
  <si>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</si>
  <si>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</si>
  <si>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</si>
  <si>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</si>
  <si>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</si>
  <si>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</si>
  <si>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</si>
  <si>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</si>
  <si>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</si>
  <si>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</si>
  <si>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</si>
  <si>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</si>
  <si>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</si>
  <si>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</si>
  <si>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</si>
  <si>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</si>
  <si>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</si>
  <si>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</si>
  <si>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</si>
  <si>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</si>
  <si>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</si>
  <si>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</si>
  <si>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</si>
  <si>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</si>
  <si>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</si>
  <si>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</si>
  <si>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</si>
  <si>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</si>
  <si>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</si>
  <si>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</si>
  <si>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</si>
  <si>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</si>
  <si>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</si>
  <si>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</si>
  <si>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</si>
  <si>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</si>
  <si>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</si>
  <si>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</si>
  <si>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</si>
  <si>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</si>
  <si>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</si>
  <si>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</si>
  <si>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</si>
  <si>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</si>
  <si>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</si>
  <si>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</si>
  <si>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</si>
  <si>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</si>
  <si>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</si>
  <si>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</si>
  <si>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</si>
  <si>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</si>
  <si>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</si>
  <si>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</si>
  <si>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</si>
  <si>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</si>
  <si>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</si>
  <si>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</si>
  <si>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</si>
  <si>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</si>
  <si>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</si>
  <si>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</si>
  <si>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</si>
  <si>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</si>
  <si>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</si>
  <si>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</si>
  <si>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</si>
  <si>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</si>
  <si>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</si>
  <si>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</si>
  <si>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</si>
  <si>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</si>
  <si>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</si>
  <si>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</si>
  <si>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</si>
  <si>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</si>
  <si>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</si>
  <si>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</si>
  <si>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</si>
  <si>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</si>
  <si>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</si>
  <si>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</si>
  <si>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</si>
  <si>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</si>
  <si>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</si>
  <si>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</si>
  <si>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</si>
  <si>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</si>
  <si>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</si>
  <si>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</si>
  <si>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</si>
  <si>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</si>
  <si>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</si>
  <si>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</si>
  <si>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</si>
  <si>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</si>
  <si>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</si>
  <si>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</si>
  <si>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</si>
  <si>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</si>
  <si>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</si>
  <si>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</si>
  <si>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</si>
  <si>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</si>
  <si>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</si>
  <si>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</si>
  <si>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</si>
  <si>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</si>
  <si>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</si>
  <si>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</si>
  <si>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</si>
  <si>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</si>
  <si>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</si>
  <si>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</si>
  <si>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</si>
  <si>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</si>
  <si>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</si>
  <si>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</si>
  <si>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</si>
  <si>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</si>
  <si>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</si>
  <si>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</si>
  <si>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</si>
  <si>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</si>
  <si>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</si>
  <si>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</si>
  <si>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</si>
  <si>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</si>
  <si>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</si>
  <si>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</si>
  <si>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</si>
  <si>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</si>
  <si>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</si>
  <si>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</si>
  <si>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</si>
  <si>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</si>
  <si>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</si>
  <si>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</si>
  <si>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</si>
  <si>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</si>
  <si>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</si>
  <si>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</si>
  <si>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是</t>
  </si>
  <si>
    <t>地上</t>
  </si>
  <si>
    <t>住宅</t>
  </si>
  <si>
    <t>现状办公</t>
  </si>
  <si>
    <t>成新度</t>
  </si>
  <si>
    <t>押一</t>
  </si>
  <si>
    <t>钢混</t>
  </si>
  <si>
    <t>非生产用房</t>
  </si>
  <si>
    <t>否</t>
  </si>
  <si>
    <t>基准地价</t>
  </si>
  <si>
    <t>Ⅷ-密1</t>
  </si>
  <si>
    <t>城镇住宅用地</t>
  </si>
  <si>
    <t>估价对象容积率</t>
  </si>
  <si>
    <t>1000米以外</t>
  </si>
  <si>
    <t>通路</t>
  </si>
  <si>
    <t>通电</t>
  </si>
  <si>
    <t>通讯</t>
  </si>
  <si>
    <t>通上水</t>
  </si>
  <si>
    <t>通下水</t>
  </si>
  <si>
    <t>平整</t>
  </si>
  <si>
    <t>中心城区以外</t>
  </si>
  <si>
    <t>较好</t>
  </si>
  <si>
    <t>好</t>
  </si>
  <si>
    <t>收益法</t>
  </si>
  <si>
    <t>住宅</t>
    <phoneticPr fontId="7" type="noConversion"/>
  </si>
  <si>
    <t>未包含在土地购买价格中</t>
  </si>
  <si>
    <t>全部缴纳</t>
  </si>
  <si>
    <t>已包含在土地取得成本中</t>
  </si>
  <si>
    <t>成本法</t>
  </si>
  <si>
    <t>总价</t>
  </si>
  <si>
    <t>成本比率</t>
  </si>
  <si>
    <t>崔锴</t>
  </si>
  <si>
    <t>与级别开发程度不一致</t>
  </si>
  <si>
    <t>通热</t>
  </si>
  <si>
    <t>燃气</t>
  </si>
  <si>
    <t>砖混</t>
  </si>
  <si>
    <t>较差</t>
  </si>
  <si>
    <t>有</t>
  </si>
  <si>
    <t>收益还原</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</si>
</sst>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估价对象为北京市房地产，为所有。根据《国有土地使用证》[]，估价对象（分摊）出让国有建设用地使用权面积为1790.41平方米，建筑面积为3658.15平方米。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估价对象为北京市房地产,属开发建设的，该项目尚在开发建设中。根据《国有土地使用证》[]，估价对象（分摊）出让国有建设用地使用权面积为1790.41平方米，规划建筑面积为3658.15平方米。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2023年7月7日</v>
      </c>
    </row>
    <row r="13" spans="1:2" s="1203" customFormat="1">
      <c r="A13" s="1201" t="s">
        <v>529</v>
      </c>
      <c r="B13" s="1202" t="str">
        <f>'预评函-1'!A18</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3345</v>
      </c>
    </row>
    <row r="21" spans="1:2" s="1203" customFormat="1">
      <c r="A21" s="1201" t="s">
        <v>537</v>
      </c>
      <c r="B21" s="1202">
        <f ca="1">'预评函-2'!D7</f>
        <v>9144</v>
      </c>
    </row>
    <row r="22" spans="1:2" s="1203" customFormat="1">
      <c r="A22" s="1201" t="s">
        <v>538</v>
      </c>
      <c r="B22" s="1202" t="str">
        <f ca="1">'预评函-2'!D6</f>
        <v>叁仟叁佰肆拾伍万元整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3345</v>
      </c>
    </row>
    <row r="31" spans="1:2" s="1203" customFormat="1">
      <c r="A31" s="1201" t="s">
        <v>576</v>
      </c>
      <c r="B31" s="1202">
        <f ca="1">'预评函-2'!D15</f>
        <v>9144</v>
      </c>
    </row>
    <row r="32" spans="1:2" s="1203" customFormat="1">
      <c r="A32" s="1201" t="s">
        <v>543</v>
      </c>
      <c r="B32" s="1202" t="str">
        <f ca="1">'预评函-2'!D14</f>
        <v>叁仟叁佰肆拾伍万元整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3658.15</v>
      </c>
    </row>
    <row r="44" spans="1:2" s="1203" customFormat="1">
      <c r="A44" s="1201" t="s">
        <v>575</v>
      </c>
      <c r="B44" s="1202" t="str">
        <f>'预评函-3'!C2</f>
        <v>(分摊)土地面积</v>
      </c>
    </row>
    <row r="45" spans="1:2" s="1203" customFormat="1">
      <c r="A45" s="1201" t="s">
        <v>547</v>
      </c>
      <c r="B45" s="1202">
        <f>'预评函-3'!C4</f>
        <v>1790.41</v>
      </c>
    </row>
    <row r="46" spans="1:2" s="1203" customFormat="1">
      <c r="A46" s="1201" t="s">
        <v>573</v>
      </c>
      <c r="B46" s="1202" t="str">
        <f>'预评函-3'!D2</f>
        <v>出让国有建设用地使用权价值</v>
      </c>
    </row>
    <row r="47" spans="1:2" s="1203" customFormat="1">
      <c r="A47" s="1201" t="s">
        <v>548</v>
      </c>
      <c r="B47" s="1202">
        <f ca="1">'预评函-3'!D4</f>
        <v>2683</v>
      </c>
    </row>
    <row r="48" spans="1:2" s="1203" customFormat="1">
      <c r="A48" s="1201" t="s">
        <v>549</v>
      </c>
      <c r="B48" s="1202">
        <f ca="1">'预评函-3'!E4</f>
        <v>7334</v>
      </c>
    </row>
    <row r="49" spans="1:2" s="1203" customFormat="1">
      <c r="A49" s="1201" t="s">
        <v>550</v>
      </c>
      <c r="B49" s="1202" t="str">
        <f ca="1">'预评函-3'!D5</f>
        <v>贰仟陆佰捌拾叁万元整</v>
      </c>
    </row>
    <row r="50" spans="1:2" s="1203" customFormat="1">
      <c r="A50" s="1201" t="s">
        <v>574</v>
      </c>
      <c r="B50" s="1202" t="str">
        <f>'预评函-3'!F2</f>
        <v>在建建筑物价值</v>
      </c>
    </row>
    <row r="51" spans="1:2" s="1203" customFormat="1">
      <c r="A51" s="1201" t="s">
        <v>551</v>
      </c>
      <c r="B51" s="1202">
        <f ca="1">'预评函-3'!F4</f>
        <v>662</v>
      </c>
    </row>
    <row r="52" spans="1:2" s="1203" customFormat="1">
      <c r="A52" s="1201" t="s">
        <v>552</v>
      </c>
      <c r="B52" s="1202">
        <f ca="1">'预评函-3'!G4</f>
        <v>1810</v>
      </c>
    </row>
    <row r="53" spans="1:2" s="1203" customFormat="1">
      <c r="A53" s="1201" t="s">
        <v>580</v>
      </c>
      <c r="B53" s="1202" t="str">
        <f ca="1">'预评函-3'!F5</f>
        <v>陆佰陆拾贰万元整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估价对象为北京市房地产，为所有。根据《国有土地使用证》[]，估价对象（分摊）出让国有建设用地使用权面积为1790.41平方米，建筑面积为3658.15平方米。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估价对象为北京市房地产,属开发建设的，该项目尚在开发建设中。根据《国有土地使用证》[]，估价对象（分摊）出让国有建设用地使用权面积为1790.41平方米，规划建筑面积为3658.15平方米。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3345</v>
      </c>
      <c r="E5" s="1491"/>
    </row>
    <row r="6" spans="1:5" ht="15.75">
      <c r="A6" s="1491"/>
      <c r="B6" s="3452"/>
      <c r="C6" s="1494" t="s">
        <v>911</v>
      </c>
      <c r="D6" s="850" t="str">
        <f ca="1">NUMBERSTRING(INT(D5*10000),2)&amp;"元整"</f>
        <v>叁仟叁佰肆拾伍万元整</v>
      </c>
      <c r="E6" s="1491"/>
    </row>
    <row r="7" spans="1:5" ht="15.75">
      <c r="A7" s="1491"/>
      <c r="B7" s="3457"/>
      <c r="C7" s="1495" t="s">
        <v>912</v>
      </c>
      <c r="D7" s="851">
        <f ca="1">结果表!H102</f>
        <v>9144</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3345</v>
      </c>
      <c r="E13" s="1491"/>
    </row>
    <row r="14" spans="1:5" ht="15.75">
      <c r="A14" s="1491"/>
      <c r="B14" s="3452"/>
      <c r="C14" s="1494" t="s">
        <v>911</v>
      </c>
      <c r="D14" s="850" t="str">
        <f ca="1">NUMBERSTRING(INT(D13*10000),2)&amp;"元整"</f>
        <v>叁仟叁佰肆拾伍万元整</v>
      </c>
      <c r="E14" s="1491"/>
    </row>
    <row r="15" spans="1:5" ht="15">
      <c r="A15" s="1491"/>
      <c r="B15" s="3457"/>
      <c r="C15" s="1495" t="s">
        <v>921</v>
      </c>
      <c r="D15" s="859">
        <f ca="1">结果表!H108</f>
        <v>9144</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64"/>
      <c r="B3" s="3464"/>
      <c r="C3" s="3464"/>
      <c r="D3" s="854" t="s">
        <v>925</v>
      </c>
      <c r="E3" s="854" t="s">
        <v>931</v>
      </c>
      <c r="F3" s="854" t="s">
        <v>925</v>
      </c>
      <c r="G3" s="854" t="s">
        <v>926</v>
      </c>
      <c r="H3" s="854" t="s">
        <v>925</v>
      </c>
      <c r="I3" s="854" t="s">
        <v>926</v>
      </c>
    </row>
    <row r="4" spans="1:9" ht="15">
      <c r="A4" s="1505" t="str">
        <f>项目基本情况!S2</f>
        <v>北京市房地产</v>
      </c>
      <c r="B4" s="854">
        <f>项目基本情况!C17</f>
        <v>3658.15</v>
      </c>
      <c r="C4" s="854">
        <f>项目基本情况!C18</f>
        <v>1790.41</v>
      </c>
      <c r="D4" s="854">
        <f ca="1">结果表!D118</f>
        <v>2683</v>
      </c>
      <c r="E4" s="854">
        <f ca="1">结果表!E118</f>
        <v>7334</v>
      </c>
      <c r="F4" s="854">
        <f ca="1">结果表!F118</f>
        <v>662</v>
      </c>
      <c r="G4" s="854">
        <f ca="1">结果表!G118</f>
        <v>1810</v>
      </c>
      <c r="H4" s="854">
        <f ca="1">结果表!H118</f>
        <v>3345</v>
      </c>
      <c r="I4" s="854">
        <f ca="1">结果表!I118</f>
        <v>9144</v>
      </c>
    </row>
    <row r="5" spans="1:9" ht="30" customHeight="1">
      <c r="A5" s="3464" t="s">
        <v>927</v>
      </c>
      <c r="B5" s="3464"/>
      <c r="C5" s="3464"/>
      <c r="D5" s="3464" t="str">
        <f ca="1">结果表!D119</f>
        <v>贰仟陆佰捌拾叁万元整</v>
      </c>
      <c r="E5" s="3464"/>
      <c r="F5" s="3464" t="str">
        <f ca="1">结果表!F119</f>
        <v>陆佰陆拾贰万元整</v>
      </c>
      <c r="G5" s="3464"/>
      <c r="H5" s="3464" t="str">
        <f ca="1">结果表!H119</f>
        <v>叁仟叁佰肆拾伍万元整</v>
      </c>
      <c r="I5" s="3464"/>
    </row>
    <row r="6" spans="1:9" ht="15.75">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房地产抵押价值</v>
      </c>
      <c r="B8" s="3463"/>
      <c r="C8" s="3463"/>
      <c r="D8" s="3463">
        <f ca="1">结果表!D122</f>
        <v>3345</v>
      </c>
      <c r="E8" s="3463"/>
      <c r="F8" s="3463"/>
      <c r="G8" s="3463"/>
      <c r="H8" s="3463"/>
      <c r="I8" s="3463"/>
    </row>
    <row r="9" spans="1:9" ht="15">
      <c r="A9" s="3464" t="s">
        <v>927</v>
      </c>
      <c r="B9" s="3464"/>
      <c r="C9" s="3464"/>
      <c r="D9" s="3464" t="str">
        <f ca="1">结果表!D123</f>
        <v>叁仟叁佰肆拾伍万元整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45119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A13" sqref="A1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4" workbookViewId="0">
      <selection activeCell="E14" sqref="E1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45114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3.45</v>
      </c>
      <c r="D5" s="3025">
        <f>IF(ISERROR(ROUND(POWER(1+E5,A5-C5)*(POWER(1+E5,C5)-1)/(POWER(1+E5,A5)-1),3)),0,ROUND(POWER(1+E5,A5-C5)*(POWER(1+E5,C5)-1)/(POWER(1+E5,A5)-1),4))</f>
        <v>0.15989999999999999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13.46</v>
      </c>
      <c r="D6" s="3025">
        <f>IF(ISERROR(ROUND(POWER(1+E6,A6-C6)*(POWER(1+E6,C6)-1)/(POWER(1+E6,A6)-1),3)),0,ROUND(POWER(1+E6,A6-C6)*(POWER(1+E6,C6)-1)/(POWER(1+E6,A6)-1),4))</f>
        <v>0.4773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33.47</v>
      </c>
      <c r="D7" s="3025">
        <f>IF(ISERROR(ROUND(POWER(1+E7,A7-C7)*(POWER(1+E7,C7)-1)/(POWER(1+E7,A7)-1),3)),0,ROUND(POWER(1+E7,A7-C7)*(POWER(1+E7,C7)-1)/(POWER(1+E7,A7)-1),4))</f>
        <v>0.78110000000000002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115" zoomScaleNormal="100" zoomScaleSheetLayoutView="115" workbookViewId="0">
      <selection activeCell="H26" sqref="H2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45114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3413</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3"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4"/>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v>62773</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48.38</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3658.15</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1790.41</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t="s">
        <v>305</v>
      </c>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t="s">
        <v>3392</v>
      </c>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24" sqref="M2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1790.41</v>
      </c>
      <c r="B3" s="11">
        <f>IF(C3="否",G5-AT5,G5)</f>
        <v>3658.15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3658.15</v>
      </c>
      <c r="H5" s="13">
        <f t="shared" ref="H5:AT5" si="0">SUM(H13:H656)</f>
        <v>3658.15</v>
      </c>
      <c r="I5" s="13">
        <f t="shared" si="0"/>
        <v>3658.15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3658.15</v>
      </c>
      <c r="BA5" s="15">
        <f t="shared" si="1"/>
        <v>3658.15</v>
      </c>
      <c r="BB5" s="15">
        <f t="shared" si="1"/>
        <v>3658.15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1790.41</v>
      </c>
      <c r="F6" s="13" t="s">
        <v>0</v>
      </c>
      <c r="G6" s="13" t="s">
        <v>1</v>
      </c>
      <c r="H6" s="17">
        <f>SUMIF(I$12:AB$12,"总值",I6:AB6)</f>
        <v>1790.41</v>
      </c>
      <c r="I6" s="13">
        <f t="shared" ref="I6:AB6" si="2">ROUND($A$3*I5/$B$3,2)</f>
        <v>1790.41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1790.41</v>
      </c>
      <c r="AZ6" s="13" t="s">
        <v>2</v>
      </c>
      <c r="BA6" s="13">
        <f>ROUND($AY$6*BA5/$AZ$5,2)</f>
        <v>1790.41</v>
      </c>
      <c r="BB6" s="13">
        <f>ROUND($AY$6*BB5/$AZ$5,2)</f>
        <v>1790.41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3384</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1790.41</v>
      </c>
      <c r="F13" s="29"/>
      <c r="G13" s="30">
        <f>H13+AC13+AT13</f>
        <v>3658.15</v>
      </c>
      <c r="H13" s="17">
        <f>SUMIF(I$12:AB$12,"总值",I13:AB13)</f>
        <v>3658.15</v>
      </c>
      <c r="I13" s="1626">
        <v>3658.15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1790.41</v>
      </c>
      <c r="AZ13" s="13">
        <f>BA13+BL13</f>
        <v>3658.15</v>
      </c>
      <c r="BA13" s="13">
        <f>SUM(BB13:BK13)</f>
        <v>3658.15</v>
      </c>
      <c r="BB13" s="13">
        <f>IF($D13="是",I13-J13,0)</f>
        <v>3658.15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8" sqref="F4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1790.41</v>
      </c>
      <c r="E3" s="43">
        <f>'数据-基础表'!AZ5</f>
        <v>3658.15</v>
      </c>
      <c r="F3" s="2659"/>
      <c r="G3" s="1145"/>
      <c r="H3" s="1026" t="s">
        <v>1106</v>
      </c>
      <c r="I3" s="855">
        <f>ROUND('数据-基础表'!B3/'数据-基础表'!A3,2)</f>
        <v>2.04</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2.04</v>
      </c>
      <c r="J4" s="2659"/>
      <c r="K4" s="2659"/>
      <c r="L4" s="2659"/>
      <c r="M4" s="2659"/>
      <c r="N4" s="2661"/>
      <c r="O4" s="2659"/>
      <c r="P4" s="2659"/>
    </row>
    <row r="5" spans="1:16">
      <c r="A5" s="44" t="s">
        <v>1109</v>
      </c>
      <c r="B5" s="3536" t="s">
        <v>1110</v>
      </c>
      <c r="C5" s="3536"/>
      <c r="D5" s="45">
        <f>ROUND($D$3*E5/$E$3,2)</f>
        <v>1790.41</v>
      </c>
      <c r="E5" s="46">
        <f>SUMIF('数据-基础表'!$11:$11,"住宅",'数据-基础表'!$5:$5)</f>
        <v>3658.15</v>
      </c>
      <c r="F5" s="2659"/>
      <c r="G5" s="1145"/>
      <c r="H5" s="1026" t="s">
        <v>1106</v>
      </c>
      <c r="I5" s="855">
        <f>ROUND(E31/D31,2)</f>
        <v>2.04</v>
      </c>
      <c r="J5" s="2659"/>
      <c r="K5" s="2659"/>
      <c r="L5" s="2659"/>
      <c r="M5" s="2659"/>
      <c r="N5" s="2659"/>
      <c r="O5" s="2659"/>
      <c r="P5" s="2659"/>
    </row>
    <row r="6" spans="1:16" ht="15" thickBot="1">
      <c r="A6" s="1644"/>
      <c r="B6" s="3536" t="s">
        <v>1111</v>
      </c>
      <c r="C6" s="3536"/>
      <c r="D6" s="45">
        <f>ROUND($D$3*E6/$E$3,2)</f>
        <v>0</v>
      </c>
      <c r="E6" s="46">
        <f>E3-E5</f>
        <v>0</v>
      </c>
      <c r="F6" s="2659"/>
      <c r="G6" s="2653" t="s">
        <v>1112</v>
      </c>
      <c r="H6" s="1146" t="s">
        <v>1113</v>
      </c>
      <c r="I6" s="2654">
        <f>ROUND(F31/D31,2)</f>
        <v>2.04</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1790.41</v>
      </c>
      <c r="E8" s="48">
        <f>SUMIF('数据-基础表'!BB10:BK10,"地上",'数据-基础表'!BB5:BK5)</f>
        <v>3658.15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1790.41</v>
      </c>
      <c r="E16" s="50">
        <f>SUM(E8:E15)</f>
        <v>3658.15</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3406</v>
      </c>
      <c r="D19" s="45">
        <f>ROUND($D$3*E19/$E$3,2)</f>
        <v>1790.41</v>
      </c>
      <c r="E19" s="53">
        <f t="shared" ref="E19:E26" si="1">SUM(F19:G19)</f>
        <v>3658.15</v>
      </c>
      <c r="F19" s="2795">
        <f>'数据-基础表'!I13</f>
        <v>3658.15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1790.41</v>
      </c>
      <c r="S19" s="1027">
        <f t="shared" si="5"/>
        <v>3658.15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1790.41</v>
      </c>
      <c r="E27" s="1141">
        <f>IF(SUM(E19:E26)='数据-基础表'!BA5,SUM(E19:E26),IF(F27="地上面积有误","面积有误","地下面积有误"))</f>
        <v>3658.15</v>
      </c>
      <c r="F27" s="1140">
        <f>IF(SUM(F19:F26)=E8,SUM(F19:F26),"地上面积有误")</f>
        <v>3658.15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1790.41</v>
      </c>
      <c r="S27" s="1026">
        <f>IF(SUM(S19:S26)=$E$3,SUM(S19:S26),SUM(S19:S26)&amp;"误差"&amp;ROUND(SUM(S19:S26)-E3,2))</f>
        <v>3658.15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1790.41</v>
      </c>
      <c r="E31" s="676">
        <f>E27+E30</f>
        <v>3658.15</v>
      </c>
      <c r="F31" s="677">
        <f>F27+F30</f>
        <v>3658.15</v>
      </c>
      <c r="G31" s="678">
        <f>G27+G30</f>
        <v>0</v>
      </c>
      <c r="H31" s="2659"/>
      <c r="I31" s="2659"/>
      <c r="J31" s="2659"/>
      <c r="K31" s="2659"/>
      <c r="L31" s="2659"/>
      <c r="M31" s="2659"/>
      <c r="N31" s="2659"/>
      <c r="O31" s="2659"/>
      <c r="P31" s="2659"/>
    </row>
    <row r="32" spans="1:19">
      <c r="A32" s="1643"/>
      <c r="B32" s="1643" t="s">
        <v>1159</v>
      </c>
      <c r="C32" s="1643"/>
      <c r="D32" s="1643"/>
      <c r="E32" s="1053">
        <f>SUMIF(C19:C26,"*住宅*",E19:E26)</f>
        <v>3658.15</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24" activePane="bottomRight" state="frozen"/>
      <selection activeCell="C50" sqref="C50"/>
      <selection pane="topRight" activeCell="C50" sqref="C50"/>
      <selection pane="bottomLeft" activeCell="C50" sqref="C50"/>
      <selection pane="bottomRight" activeCell="G29" sqref="G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45114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62773</v>
      </c>
      <c r="F6" s="64">
        <f>SUMIF(项目基本情况!C$12:I$12,C6,项目基本情况!C$15:I$15)</f>
        <v>48.38</v>
      </c>
      <c r="G6" s="65">
        <f>IF(ISERROR(ROUND(POWER(1+H6,D6-F6)*(POWER(1+H6,F6)-1)/(POWER(1+H6,D6)-1),3)),0,ROUND(POWER(1+H6,D6-F6)*(POWER(1+H6,F6)-1)/(POWER(1+H6,D6)-1),3))</f>
        <v>0.93600000000000005</v>
      </c>
      <c r="H6" s="732">
        <v>0.05</v>
      </c>
      <c r="I6" s="732">
        <v>5.5E-2</v>
      </c>
      <c r="J6" s="66">
        <v>7.0000000000000007E-2</v>
      </c>
      <c r="K6" s="1030">
        <f>SUMIF('数据-汇总表'!C$19:C$33,A6,'数据-汇总表'!E$19:E$33)</f>
        <v>3658.15</v>
      </c>
      <c r="L6" s="733">
        <v>3000</v>
      </c>
      <c r="M6" s="67">
        <f t="shared" ref="M6:M14" si="0">ROUND(K6*L6/10000,0)</f>
        <v>1097</v>
      </c>
      <c r="N6" s="731">
        <v>0.7</v>
      </c>
      <c r="O6" s="67" t="str">
        <f>IF($N$5="成新度","——",ROUND(M6*N6,0))</f>
        <v>——</v>
      </c>
      <c r="P6" s="68" t="str">
        <f>IF($N$5="成新度","——",M6-O6)</f>
        <v>——</v>
      </c>
      <c r="Q6" s="734">
        <v>0.1</v>
      </c>
      <c r="R6" s="69">
        <f ca="1">SUMIF('数据-汇总表'!C$19:C$33,A6,'数据-汇总表'!R$19:R$27)</f>
        <v>1790.41</v>
      </c>
      <c r="S6" s="51">
        <f>IF('数据-汇总表'!$I$17="按面积比例",SUMIF('数据-汇总表'!C$19:C$33,A6,'数据-汇总表'!K$19:K$33),SUMIF('数据-汇总表'!C$19:C$33,A6,'数据-汇总表'!N$19:N$33))</f>
        <v>0</v>
      </c>
      <c r="T6" s="1172">
        <f>ROUND($L$14*S6/10000,0)</f>
        <v>0</v>
      </c>
      <c r="U6" s="3428">
        <v>1</v>
      </c>
      <c r="V6" s="70">
        <v>0.02</v>
      </c>
      <c r="W6" s="70">
        <v>0.1</v>
      </c>
      <c r="X6" s="1040"/>
      <c r="Y6" s="71">
        <f>N6</f>
        <v>0.7</v>
      </c>
      <c r="Z6" s="72"/>
      <c r="AA6" s="66"/>
      <c r="AB6" s="66"/>
      <c r="AC6" s="1040"/>
      <c r="AD6" s="73"/>
      <c r="AE6" s="1041">
        <f ca="1">IF(AN6="",0,SUMIF(INDIRECT("'"&amp;AN6&amp;"'"&amp;"!E:E"),$AE$5,INDIRECT("'"&amp;AN6&amp;"'"&amp;"!F:F")))</f>
        <v>48.38</v>
      </c>
      <c r="AF6" s="1348"/>
      <c r="AG6" s="138">
        <f>IF(AF6="",0,AE6-AF6)</f>
        <v>0</v>
      </c>
      <c r="AH6" s="74"/>
      <c r="AI6" s="76">
        <v>365</v>
      </c>
      <c r="AJ6" s="77"/>
      <c r="AK6" s="78">
        <v>0.01</v>
      </c>
      <c r="AL6" s="79">
        <v>1E-3</v>
      </c>
      <c r="AM6" s="80">
        <v>0.01</v>
      </c>
      <c r="AN6" s="1715" t="s">
        <v>3405</v>
      </c>
      <c r="AO6" s="52">
        <f ca="1">SUMIF(INDIRECT("'"&amp;AN6&amp;"'"&amp;"!A:A"),"总价",INDIRECT("'"&amp;AN6&amp;"'"&amp;"!B:B"))</f>
        <v>1885</v>
      </c>
      <c r="AP6" s="1716">
        <f>IF(C6="住宅",K6*L6,0)</f>
        <v>10974450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0.93600000000000005</v>
      </c>
      <c r="H16" s="90">
        <f>ROUND(SUMPRODUCT(H6:H13,K6:K13)/SUMPRODUCT((H6:H13&gt;0)*(K6:K13)),3)</f>
        <v>0.05</v>
      </c>
      <c r="I16" s="91"/>
      <c r="J16" s="91"/>
      <c r="K16" s="92">
        <f>SUM(K6:K15)</f>
        <v>3658.15</v>
      </c>
      <c r="L16" s="93">
        <f>ROUND(M16*10000/SUM(K6:K14),0)</f>
        <v>2999</v>
      </c>
      <c r="M16" s="93">
        <f>SUM(M6:M14)</f>
        <v>1097</v>
      </c>
      <c r="N16" s="94">
        <f>ROUND(SUMPRODUCT(M6:M14,N6:N14)/M16,3)</f>
        <v>0.7</v>
      </c>
      <c r="O16" s="93">
        <f>SUM(O6:O14)</f>
        <v>0</v>
      </c>
      <c r="P16" s="93">
        <f>SUM(P6:P14)</f>
        <v>0</v>
      </c>
      <c r="Q16" s="95">
        <f>ROUND(SUMPRODUCT(Q6:Q13,K6:K13)/SUMPRODUCT((Q6:Q13&gt;0)*(K6:K13)),2)</f>
        <v>0.1</v>
      </c>
      <c r="R16" s="1034">
        <f ca="1">SUM(R6:R13)</f>
        <v>1790.41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ROUND(1-(1-2%)*(2023-2003)/50,2)</f>
        <v>0.61</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f>(N19+N20)/2</f>
        <v>0.70500000000000007</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成本法!C9</f>
        <v>55</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42" sqref="E4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3658.15</v>
      </c>
      <c r="C1" s="2686"/>
      <c r="D1" s="2686"/>
      <c r="E1" s="2686"/>
      <c r="F1" s="2686"/>
      <c r="G1" s="2687"/>
      <c r="H1" s="2688"/>
      <c r="I1" s="2688"/>
      <c r="J1" s="2688"/>
      <c r="K1" s="2688"/>
    </row>
    <row r="2" spans="1:11" ht="16.5">
      <c r="A2" s="2512" t="s">
        <v>653</v>
      </c>
      <c r="B2" s="2512">
        <f>SUM(C14:C23)</f>
        <v>1790.41</v>
      </c>
      <c r="C2" s="2686"/>
      <c r="D2" s="2686"/>
      <c r="E2" s="2686"/>
      <c r="F2" s="2686"/>
      <c r="G2" s="2687"/>
      <c r="H2" s="2688"/>
      <c r="I2" s="2688"/>
      <c r="J2" s="2688"/>
      <c r="K2" s="2688"/>
    </row>
    <row r="3" spans="1:11" ht="16.5">
      <c r="A3" s="2512" t="s">
        <v>662</v>
      </c>
      <c r="B3" s="2514">
        <f>项目基本情况!D3</f>
        <v>45114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3345</v>
      </c>
      <c r="C5" s="2512">
        <f ca="1">IF(B5=D14,结果表!H102,ROUND(B5*10000/$B$1,0))</f>
        <v>9144</v>
      </c>
      <c r="D5" s="2512">
        <f ca="1">ROUND(B5*10000/$B$2,0)</f>
        <v>18683</v>
      </c>
      <c r="E5" s="2686"/>
      <c r="F5" s="2687"/>
      <c r="G5" s="2687"/>
      <c r="H5" s="2688"/>
      <c r="I5" s="2688"/>
      <c r="J5" s="2688"/>
      <c r="K5" s="2688"/>
    </row>
    <row r="6" spans="1:11" ht="16.5">
      <c r="A6" s="2512" t="s">
        <v>656</v>
      </c>
      <c r="B6" s="2512">
        <f ca="1">SUM(G14:G23)</f>
        <v>3345</v>
      </c>
      <c r="C6" s="2512">
        <f ca="1">IF(B6=G14,结果表!H108,ROUND(B6*10000/$B$1,0))</f>
        <v>9144</v>
      </c>
      <c r="D6" s="2512">
        <f ca="1">ROUND(B6*10000/$B$2,0)</f>
        <v>18683</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3658.15</v>
      </c>
      <c r="C14" s="2518">
        <f>结果表!C118</f>
        <v>1790.41</v>
      </c>
      <c r="D14" s="2518">
        <f ca="1">结果表!H118</f>
        <v>3345</v>
      </c>
      <c r="E14" s="2518">
        <f ca="1">ROUND(D14*10000/B14,0)</f>
        <v>9144</v>
      </c>
      <c r="F14" s="2518">
        <f ca="1">ROUND(D14*10000/C14,0)</f>
        <v>18683</v>
      </c>
      <c r="G14" s="2518">
        <f ca="1">结果表!D122</f>
        <v>3345</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70" zoomScaleNormal="100" zoomScaleSheetLayoutView="70" zoomScalePageLayoutView="80" workbookViewId="0">
      <selection activeCell="I36" sqref="I3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北京市房地产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3410</v>
      </c>
      <c r="D4" s="1756" t="s">
        <v>3405</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4</v>
      </c>
      <c r="D14" s="3576">
        <v>6</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63" t="s">
        <v>2131</v>
      </c>
      <c r="F18" s="3564"/>
      <c r="G18" s="3564"/>
      <c r="H18" s="3564"/>
      <c r="I18" s="3564"/>
      <c r="K18" s="302" t="s">
        <v>1289</v>
      </c>
      <c r="L18" s="302">
        <f>IF(C1="",'数据-汇总表'!E3,SUMIF(项目类型,C1,'数据-汇总表'!E17:E26)+SUMIF(项目类型,C1,'数据-汇总表'!I17:I26))</f>
        <v>3658.15</v>
      </c>
      <c r="M18" s="302">
        <f>IF(C1="",'数据-汇总表'!E3,SUMIF(项目类型,C1,'数据-汇总表'!E17:E26))</f>
        <v>3658.15</v>
      </c>
    </row>
    <row r="19" spans="1:36" ht="15">
      <c r="A19" s="1761" t="s">
        <v>1290</v>
      </c>
      <c r="B19" s="1762" t="s">
        <v>1291</v>
      </c>
      <c r="C19" s="134">
        <f ca="1">SUMIF(INDIRECT("'"&amp;C4&amp;"'"&amp;"!A:A"),结果表!B19,INDIRECT("'"&amp;C4&amp;"'"&amp;"!B:B"))</f>
        <v>5536</v>
      </c>
      <c r="D19" s="135">
        <f ca="1">SUMIF(INDIRECT("'"&amp;D4&amp;"'"&amp;"!A:A"),结果表!B19,INDIRECT("'"&amp;D4&amp;"'"&amp;"!B:B"))</f>
        <v>1885</v>
      </c>
      <c r="E19" s="1761" t="s">
        <v>1292</v>
      </c>
      <c r="F19" s="1762" t="s">
        <v>1291</v>
      </c>
      <c r="G19" s="136">
        <f ca="1">ROUND(C19*$C$18+D19*$D$18,0)</f>
        <v>3345</v>
      </c>
      <c r="H19" s="1763" t="s">
        <v>1293</v>
      </c>
      <c r="I19" s="129"/>
      <c r="K19" s="302" t="s">
        <v>1294</v>
      </c>
      <c r="L19" s="302">
        <f>IF(C1="",'数据-汇总表'!D3,SUMIF(项目类型,C1,'数据-汇总表'!D17:D26)+SUMIF(项目类型,C1,'数据-汇总表'!H17:H27))</f>
        <v>1790.41</v>
      </c>
      <c r="M19" s="302">
        <f>IF(C1="",'数据-汇总表'!D3,SUMIF(项目类型,C1,'数据-汇总表'!D17:D26))</f>
        <v>1790.41</v>
      </c>
    </row>
    <row r="20" spans="1:36" ht="15">
      <c r="A20" s="1764"/>
      <c r="B20" s="1026" t="s">
        <v>1295</v>
      </c>
      <c r="C20" s="137">
        <f ca="1">SUMIF(INDIRECT("'"&amp;C4&amp;"'"&amp;"!A:A"),结果表!B20,INDIRECT("'"&amp;C4&amp;"'"&amp;"!B:B"))</f>
        <v>15133</v>
      </c>
      <c r="D20" s="138">
        <f ca="1">SUMIF(INDIRECT("'"&amp;D4&amp;"'"&amp;"!A:A"),结果表!B20,INDIRECT("'"&amp;D4&amp;"'"&amp;"!B:B"))</f>
        <v>5153</v>
      </c>
      <c r="E20" s="1764"/>
      <c r="F20" s="1026" t="s">
        <v>1295</v>
      </c>
      <c r="G20" s="139">
        <f ca="1">ROUND(C20*$C$18+D20*$D$18,0)</f>
        <v>9145</v>
      </c>
      <c r="H20" s="808" t="s">
        <v>1296</v>
      </c>
      <c r="I20" s="129"/>
    </row>
    <row r="21" spans="1:36" ht="15" customHeight="1" thickBot="1">
      <c r="A21" s="828"/>
      <c r="B21" s="1765" t="s">
        <v>1297</v>
      </c>
      <c r="C21" s="719">
        <f ca="1">ROUND(C19*10000/L19,0)</f>
        <v>30920</v>
      </c>
      <c r="D21" s="720">
        <f ca="1">ROUND(D19*10000/L19,0)</f>
        <v>10528</v>
      </c>
      <c r="E21" s="828"/>
      <c r="F21" s="1765" t="s">
        <v>1297</v>
      </c>
      <c r="G21" s="140">
        <f ca="1">ROUND(G19*10000/L19,0)</f>
        <v>18683</v>
      </c>
      <c r="H21" s="1766" t="s">
        <v>1296</v>
      </c>
      <c r="I21" s="129"/>
    </row>
    <row r="22" spans="1:36" ht="15" thickBot="1">
      <c r="A22" s="1688" t="s">
        <v>1298</v>
      </c>
      <c r="B22" s="1767"/>
      <c r="C22" s="1768"/>
      <c r="D22" s="721">
        <f ca="1">IF(C19&lt;D19,D19/C19-1,C19/D19-1)</f>
        <v>1.9368700265251988</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3345</v>
      </c>
      <c r="D32" s="1775" t="s">
        <v>3411</v>
      </c>
      <c r="E32" s="129"/>
      <c r="F32" s="129"/>
      <c r="G32" s="129"/>
      <c r="H32" s="129"/>
      <c r="I32" s="129"/>
    </row>
    <row r="33" spans="1:15" ht="15">
      <c r="A33" s="786" t="s">
        <v>1306</v>
      </c>
      <c r="B33" s="1776"/>
      <c r="C33" s="1777" t="s">
        <v>3412</v>
      </c>
      <c r="D33" s="1778" t="s">
        <v>3410</v>
      </c>
      <c r="E33" s="1779" t="s">
        <v>1307</v>
      </c>
      <c r="F33" s="1780" t="str">
        <f>IF(D32="楼面单价","取值（单价）","取值（总价）")</f>
        <v>取值（总价）</v>
      </c>
      <c r="G33" s="129"/>
      <c r="H33" s="129"/>
      <c r="I33" s="129"/>
    </row>
    <row r="34" spans="1:15" ht="15">
      <c r="A34" s="1781"/>
      <c r="B34" s="1782" t="s">
        <v>1308</v>
      </c>
      <c r="C34" s="148">
        <f ca="1">IF(C33="自定义",F34,C32-C35)</f>
        <v>2683</v>
      </c>
      <c r="D34" s="861">
        <f ca="1">IF(C33="自定义",ROUND(C34/C32,3),IF(C33="收益比率",SUMIF(INDIRECT("'"&amp;D33&amp;"'"&amp;"!b:b"),"土地收益比率",INDIRECT("'"&amp;D33&amp;"'"&amp;"!c:c")),SUMIF(INDIRECT("'"&amp;D33&amp;"'"&amp;"!b:b"),"土地成本比率",INDIRECT("'"&amp;D33&amp;"'"&amp;"!c:c"))))</f>
        <v>0.80200000000000005</v>
      </c>
      <c r="E34" s="1783" t="s">
        <v>1309</v>
      </c>
      <c r="F34" s="1330"/>
      <c r="G34" s="129"/>
      <c r="H34" s="129"/>
      <c r="I34" s="129"/>
    </row>
    <row r="35" spans="1:15" ht="15.75" thickBot="1">
      <c r="A35" s="1784"/>
      <c r="B35" s="1785" t="s">
        <v>1310</v>
      </c>
      <c r="C35" s="1170">
        <f ca="1">IF(C33="自定义",F35,ROUND(C32*D35,0))</f>
        <v>662</v>
      </c>
      <c r="D35" s="1171">
        <f ca="1">IF(C33="自定义",ROUND(C35/C32,3),IF(C33="收益比率",SUMIF(INDIRECT("'"&amp;D33&amp;"'"&amp;"!b:b"),"建筑物收益比率",INDIRECT("'"&amp;D33&amp;"'"&amp;"!c:c")),SUMIF(INDIRECT("'"&amp;D33&amp;"'"&amp;"!b:b"),"建筑物成本比率",INDIRECT("'"&amp;D33&amp;"'"&amp;"!c:c"))))</f>
        <v>0.19800000000000001</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3345</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45114</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3" t="s">
        <v>1340</v>
      </c>
      <c r="L48" s="3603"/>
      <c r="M48" s="3625">
        <f ca="1">H101</f>
        <v>3345</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房地产抵押价值</v>
      </c>
      <c r="L49" s="3603"/>
      <c r="M49" s="3625">
        <f ca="1">IF(项目基本情况!E8="房地产抵押价值",H107,H109)</f>
        <v>3345</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175</v>
      </c>
      <c r="E52" s="2334" t="s">
        <v>1354</v>
      </c>
      <c r="F52" s="2554">
        <f>'数据-取费表'!B41</f>
        <v>5.5000000000000007E-2</v>
      </c>
      <c r="G52" s="2555"/>
      <c r="H52" s="2544"/>
      <c r="I52" s="1807"/>
      <c r="J52" s="2523">
        <v>1</v>
      </c>
      <c r="K52" s="3604" t="s">
        <v>1355</v>
      </c>
      <c r="L52" s="3604"/>
      <c r="M52" s="2525" t="b">
        <f>D48</f>
        <v>0</v>
      </c>
      <c r="N52" s="2523" t="str">
        <f>E48</f>
        <v>销售额×税（费）率</v>
      </c>
      <c r="O52" s="2526">
        <f>F48</f>
        <v>5.5000000000000007E-2</v>
      </c>
    </row>
    <row r="53" spans="1:35" ht="12" customHeight="1">
      <c r="A53" s="2335" t="s">
        <v>1356</v>
      </c>
      <c r="B53" s="3565" t="s">
        <v>2291</v>
      </c>
      <c r="C53" s="3566"/>
      <c r="D53" s="1087">
        <f ca="1">ROUND(D45*'数据-取费表'!B41/(1+'数据-取费表'!C42),0)</f>
        <v>175</v>
      </c>
      <c r="E53" s="2334" t="s">
        <v>1354</v>
      </c>
      <c r="F53" s="2554">
        <f>'数据-取费表'!B41</f>
        <v>5.5000000000000007E-2</v>
      </c>
      <c r="G53" s="2555"/>
      <c r="H53" s="2544"/>
      <c r="I53" s="1807"/>
      <c r="J53" s="2523">
        <v>2</v>
      </c>
      <c r="K53" s="3604" t="s">
        <v>1357</v>
      </c>
      <c r="L53" s="3604"/>
      <c r="M53" s="2525">
        <f t="shared" ref="M53:O54" ca="1" si="0">D55</f>
        <v>2</v>
      </c>
      <c r="N53" s="2523" t="str">
        <f t="shared" si="0"/>
        <v>销售额×税（费）率</v>
      </c>
      <c r="O53" s="2526" t="str">
        <f t="shared" si="0"/>
        <v>免征</v>
      </c>
    </row>
    <row r="54" spans="1:35" ht="12" customHeight="1">
      <c r="A54" s="2335" t="s">
        <v>1358</v>
      </c>
      <c r="B54" s="3565" t="s">
        <v>2292</v>
      </c>
      <c r="C54" s="3566"/>
      <c r="D54" s="1087">
        <f ca="1">C68</f>
        <v>175</v>
      </c>
      <c r="E54" s="327" t="s">
        <v>1359</v>
      </c>
      <c r="F54" s="2554">
        <f>'数据-取费表'!B41</f>
        <v>5.5000000000000007E-2</v>
      </c>
      <c r="G54" s="2555"/>
      <c r="H54" s="2556"/>
      <c r="I54" s="1807"/>
      <c r="J54" s="2523">
        <v>3</v>
      </c>
      <c r="K54" s="3604" t="s">
        <v>1360</v>
      </c>
      <c r="L54" s="3604"/>
      <c r="M54" s="2525">
        <f t="shared" ca="1" si="0"/>
        <v>1896</v>
      </c>
      <c r="N54" s="2523" t="str">
        <f t="shared" si="0"/>
        <v>增值额×税（费）率</v>
      </c>
      <c r="O54" s="2527" t="str">
        <f t="shared" si="0"/>
        <v>免征</v>
      </c>
    </row>
    <row r="55" spans="1:35" ht="24" customHeight="1">
      <c r="A55" s="3554" t="s">
        <v>1361</v>
      </c>
      <c r="B55" s="3555"/>
      <c r="C55" s="3555"/>
      <c r="D55" s="2324">
        <f ca="1">IF(H55="个人住宅",0,ROUND(D45*I55,0))</f>
        <v>2</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32</v>
      </c>
      <c r="N55" s="2040" t="str">
        <f>E59</f>
        <v>差额计税</v>
      </c>
      <c r="O55" s="2529">
        <f>F59</f>
        <v>0.01</v>
      </c>
    </row>
    <row r="56" spans="1:35" ht="24.75">
      <c r="A56" s="3554" t="s">
        <v>1363</v>
      </c>
      <c r="B56" s="3555"/>
      <c r="C56" s="3555"/>
      <c r="D56" s="2324">
        <f ca="1">IF(H56="个人住宅",D57,D58)</f>
        <v>1896</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1930</v>
      </c>
      <c r="O57" s="2533"/>
      <c r="P57" s="2690">
        <f ca="1">N57/M49</f>
        <v>0.57698056801195818</v>
      </c>
    </row>
    <row r="58" spans="1:35" ht="24.75">
      <c r="A58" s="2335" t="s">
        <v>1352</v>
      </c>
      <c r="B58" s="3565" t="s">
        <v>1369</v>
      </c>
      <c r="C58" s="3539"/>
      <c r="D58" s="2324">
        <f ca="1">IF(H58="转让取得",C81,C97)</f>
        <v>1896</v>
      </c>
      <c r="E58" s="2334" t="s">
        <v>1364</v>
      </c>
      <c r="F58" s="302" t="s">
        <v>28</v>
      </c>
      <c r="G58" s="2555"/>
      <c r="H58" s="2558"/>
      <c r="I58" s="1808"/>
      <c r="J58" s="3604"/>
      <c r="K58" s="3604"/>
      <c r="L58" s="2530" t="s">
        <v>1370</v>
      </c>
      <c r="M58" s="2534"/>
      <c r="N58" s="2535" t="str">
        <f ca="1">NUMBERSTRING(INT(N57*10000),2)&amp;"元整"</f>
        <v>壹仟玖佰叁拾万元整</v>
      </c>
      <c r="O58" s="2536"/>
    </row>
    <row r="59" spans="1:35" ht="24.75" thickBot="1">
      <c r="A59" s="3607" t="s">
        <v>1371</v>
      </c>
      <c r="B59" s="3608"/>
      <c r="C59" s="3608"/>
      <c r="D59" s="2560">
        <f ca="1">IF(H59="非个人房产","——",IF(H59="个人住宅（满五唯一有凭证）",0,IF(H59="个人其他（无凭证）",ROUND(D45*F59,0),ROUND(C67*F59,0))))</f>
        <v>32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f ca="1">M49-N57</f>
        <v>1415</v>
      </c>
      <c r="O59" s="2539"/>
    </row>
    <row r="60" spans="1:35" ht="12" customHeight="1">
      <c r="A60" s="1809"/>
      <c r="B60" s="1747"/>
      <c r="C60" s="1747"/>
      <c r="D60" s="1747"/>
      <c r="E60" s="1578"/>
      <c r="F60" s="1808"/>
      <c r="G60" s="1808"/>
      <c r="H60" s="1810"/>
      <c r="I60" s="129"/>
      <c r="J60" s="3606"/>
      <c r="K60" s="3604"/>
      <c r="L60" s="2530" t="s">
        <v>1370</v>
      </c>
      <c r="M60" s="2534"/>
      <c r="N60" s="2535" t="str">
        <f ca="1">NUMBERSTRING(INT(N59*10000),2)&amp;"元整"</f>
        <v>壹仟肆佰壹拾伍万元整</v>
      </c>
      <c r="O60" s="2536"/>
    </row>
    <row r="61" spans="1:35" ht="13.5" thickBot="1">
      <c r="A61" s="3552" t="s">
        <v>1373</v>
      </c>
      <c r="B61" s="3552"/>
      <c r="C61" s="3552"/>
      <c r="D61" s="3552"/>
      <c r="E61" s="3552"/>
      <c r="F61" s="1808"/>
      <c r="G61" s="1808"/>
      <c r="H61" s="1810"/>
      <c r="I61" s="129"/>
      <c r="J61" s="2523">
        <f>J59+1</f>
        <v>7</v>
      </c>
      <c r="K61" s="3604" t="s">
        <v>1374</v>
      </c>
      <c r="L61" s="3604"/>
      <c r="M61" s="2540"/>
      <c r="N61" s="2541">
        <f ca="1">ROUND(N59*10000/'数据-汇总表'!E3,0)</f>
        <v>3868</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3186</v>
      </c>
      <c r="D63" s="167"/>
      <c r="E63" s="168"/>
      <c r="F63" s="1808"/>
      <c r="G63" s="1808"/>
      <c r="H63" s="1810"/>
      <c r="I63" s="129"/>
      <c r="J63" s="3629" t="s">
        <v>1379</v>
      </c>
      <c r="K63" s="1332" t="s">
        <v>1380</v>
      </c>
      <c r="L63" s="1332">
        <f ca="1">IF(M49&gt;10000,M49*0.5%,IF(AND(M49&gt;1000,M49&lt;=10000),M49*1%,IF(AND(M49&gt;100,M49&lt;=1000),M49*3%,IF(AND(M49&gt;10,M49&lt;=100),M49*5%,M49*8%))))</f>
        <v>33.450000000000003</v>
      </c>
      <c r="M63" s="302">
        <f ca="1">ROUND(L63,1)</f>
        <v>33.5</v>
      </c>
      <c r="N63" s="2543"/>
      <c r="Z63" s="1752"/>
      <c r="AI63" s="1753"/>
    </row>
    <row r="64" spans="1:35" ht="14.25" customHeight="1">
      <c r="A64" s="169" t="s">
        <v>325</v>
      </c>
      <c r="B64" s="170" t="s">
        <v>1381</v>
      </c>
      <c r="C64" s="2565">
        <f ca="1">D45</f>
        <v>3345</v>
      </c>
      <c r="D64" s="170" t="s">
        <v>26</v>
      </c>
      <c r="E64" s="172"/>
      <c r="F64" s="1808"/>
      <c r="G64" s="1808"/>
      <c r="H64" s="1810"/>
      <c r="I64" s="129"/>
      <c r="J64" s="3629"/>
      <c r="K64" s="1332" t="s">
        <v>1382</v>
      </c>
      <c r="L64" s="1332">
        <f ca="1">IF(M49&gt;2000,M49*0.5%,IF(AND(M49&gt;1000,M49&lt;=2000),M49*0.6%,IF(AND(M49&gt;500,M49&lt;=1000),M49*0.7%,IF(AND(M49&gt;200,M49&lt;=500),M49*0.8%,IF(AND(M49&gt;100,M49&lt;=200),M49*0.9%,IF(AND(M49&gt;50,M49&lt;=100),M49*1%,IF(AND(M49&gt;20,M49&lt;=50),M49*1.5%,IF(AND(M49&gt;10,M49&lt;=20),M49*2%,IF(AND(M49&gt;1,M49&lt;=10),M49*2.5%)))))))))</f>
        <v>16.725000000000001</v>
      </c>
      <c r="M64" s="302">
        <f t="shared" ref="M64:M65" ca="1" si="1">ROUND(L64,1)</f>
        <v>16.7</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f ca="1">IF(M49&gt;1000,M49*0.1%,IF(AND(M49&gt;500,M49&lt;=1000),M49*0.5%,IF(AND(M49&gt;50,M49&lt;=500),M49*1%,IF(AND(M49&gt;1,M49&lt;=50),M49*1.5%))))</f>
        <v>3.3450000000000002</v>
      </c>
      <c r="M65" s="302">
        <f t="shared" ca="1" si="1"/>
        <v>3.3</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f ca="1">M49*0.5%</f>
        <v>16.725000000000001</v>
      </c>
      <c r="M66" s="302">
        <f ca="1">IF(L66&gt;0.5,0.5,ROUND(L66,0))</f>
        <v>0.5</v>
      </c>
      <c r="N66" s="2544" t="s">
        <v>1388</v>
      </c>
      <c r="Z66" s="1752"/>
      <c r="AI66" s="1753"/>
    </row>
    <row r="67" spans="1:35" ht="14.25" customHeight="1">
      <c r="A67" s="173" t="s">
        <v>328</v>
      </c>
      <c r="B67" s="174" t="s">
        <v>1389</v>
      </c>
      <c r="C67" s="2568">
        <f ca="1">C63-C66</f>
        <v>3186</v>
      </c>
      <c r="D67" s="170" t="s">
        <v>26</v>
      </c>
      <c r="E67" s="172"/>
      <c r="F67" s="1808"/>
      <c r="G67" s="1808"/>
      <c r="H67" s="1810"/>
      <c r="I67" s="129"/>
      <c r="J67" s="3629"/>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175</v>
      </c>
      <c r="D68" s="2570">
        <f>'数据-取费表'!B41</f>
        <v>5.5000000000000007E-2</v>
      </c>
      <c r="E68" s="178"/>
      <c r="F68" s="1808"/>
      <c r="G68" s="1808"/>
      <c r="H68" s="1810"/>
      <c r="I68" s="129"/>
      <c r="J68" s="3629"/>
      <c r="K68" s="1332" t="s">
        <v>1392</v>
      </c>
      <c r="L68" s="1332">
        <f ca="1">IF(M49&gt;10000,M49*0.5%,IF(AND(M49&gt;5000,M49&lt;=10000),M49*1%,IF(AND(M49&gt;1000,M49&lt;=5000),M49*2%,IF(AND(M49&gt;200,M49&lt;=1000),M49*3%,M49*5%))))</f>
        <v>66.900000000000006</v>
      </c>
      <c r="M68" s="302">
        <f ca="1">ROUND(L68,1)</f>
        <v>66.900000000000006</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f ca="1">ROUND(SUM(M63:M68),0)</f>
        <v>123</v>
      </c>
      <c r="N69" s="2545">
        <f ca="1">M69/M49</f>
        <v>3.6771300448430494E-2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3186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16</v>
      </c>
      <c r="D78" s="2577">
        <f>'数据-取费表'!B43</f>
        <v>5.000000000000001E-3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3170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198.125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1896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3186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16</v>
      </c>
      <c r="D93" s="2577">
        <f>'数据-取费表'!B43</f>
        <v>5.000000000000001E-3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3170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198.125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1896</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成本法</v>
      </c>
      <c r="D101" s="2586" t="str">
        <f>D4</f>
        <v>收益法</v>
      </c>
      <c r="E101" s="3626" t="s">
        <v>1431</v>
      </c>
      <c r="F101" s="3583"/>
      <c r="G101" s="1827" t="s">
        <v>1432</v>
      </c>
      <c r="H101" s="2595">
        <f ca="1">H118</f>
        <v>3345</v>
      </c>
      <c r="I101" s="129"/>
    </row>
    <row r="102" spans="1:35" ht="18.75" customHeight="1">
      <c r="A102" s="3585" t="s">
        <v>1433</v>
      </c>
      <c r="B102" s="2584" t="s">
        <v>1432</v>
      </c>
      <c r="C102" s="2585">
        <f ca="1">IF(D32="楼面单价",ROUND(C19,0),C19)</f>
        <v>5536</v>
      </c>
      <c r="D102" s="2586">
        <f ca="1">IF(D32="楼面单价",ROUND(D19,0),D19)</f>
        <v>1885</v>
      </c>
      <c r="E102" s="3626"/>
      <c r="F102" s="3583"/>
      <c r="G102" s="1827" t="s">
        <v>1434</v>
      </c>
      <c r="H102" s="2555">
        <f ca="1">I118</f>
        <v>9144</v>
      </c>
      <c r="I102" s="129"/>
    </row>
    <row r="103" spans="1:35" ht="42.75" customHeight="1">
      <c r="A103" s="3585"/>
      <c r="B103" s="2584" t="s">
        <v>1434</v>
      </c>
      <c r="C103" s="2587">
        <f ca="1">C20</f>
        <v>15133</v>
      </c>
      <c r="D103" s="2588">
        <f ca="1">D20</f>
        <v>5153</v>
      </c>
      <c r="E103" s="3620" t="s">
        <v>1435</v>
      </c>
      <c r="F103" s="3621"/>
      <c r="G103" s="1828" t="s">
        <v>1436</v>
      </c>
      <c r="H103" s="2595">
        <f>IF(D36="正常操作",H104+H105+H106,H105+H106)</f>
        <v>0</v>
      </c>
      <c r="I103" s="129"/>
    </row>
    <row r="104" spans="1:35" ht="18.75" customHeight="1">
      <c r="A104" s="3585" t="s">
        <v>1437</v>
      </c>
      <c r="B104" s="2589" t="s">
        <v>1432</v>
      </c>
      <c r="C104" s="2590">
        <f ca="1">H118</f>
        <v>3345</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9144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3345</v>
      </c>
      <c r="I107" s="129"/>
    </row>
    <row r="108" spans="1:35" ht="18.75" customHeight="1">
      <c r="A108" s="129"/>
      <c r="B108" s="129"/>
      <c r="C108" s="129"/>
      <c r="D108" s="129"/>
      <c r="E108" s="3582"/>
      <c r="F108" s="3583"/>
      <c r="G108" s="1827" t="s">
        <v>1434</v>
      </c>
      <c r="H108" s="2555">
        <f ca="1">IF(H107=H101,H102,ROUND(H107*10000/'数据-汇总表'!E3,0))</f>
        <v>9144</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3658.15</v>
      </c>
      <c r="C118" s="2329">
        <f>M19</f>
        <v>1790.41</v>
      </c>
      <c r="D118" s="2329">
        <f ca="1">ROUND(IF(D32="总价",C34,E118*B118/10000),0)</f>
        <v>2683</v>
      </c>
      <c r="E118" s="2329">
        <f ca="1">ROUND(IF(C33="自定义",IF(D32="楼面单价",C34,D118*10000/B118),I118-G118),0)</f>
        <v>7334</v>
      </c>
      <c r="F118" s="2329">
        <f ca="1">ROUND(IF(D32="总价",C35,G118*B118/10000),0)</f>
        <v>662</v>
      </c>
      <c r="G118" s="2329">
        <f ca="1">ROUND(IF(D32="楼面单价",C35,F118*10000/B118),0)</f>
        <v>1810</v>
      </c>
      <c r="H118" s="2329">
        <f ca="1">ROUND(IF(D32="总价",C32,I118*B118/10000),0)</f>
        <v>3345</v>
      </c>
      <c r="I118" s="2329">
        <f ca="1">ROUND(IF(D32="楼面单价",C32,H118*10000/B118),0)</f>
        <v>9144</v>
      </c>
    </row>
    <row r="119" spans="1:27" ht="18.75" customHeight="1">
      <c r="A119" s="3553" t="s">
        <v>1452</v>
      </c>
      <c r="B119" s="3553"/>
      <c r="C119" s="3553"/>
      <c r="D119" s="3593" t="str">
        <f ca="1">NUMBERSTRING(INT(D118*10000),2)&amp;"元整"</f>
        <v>贰仟陆佰捌拾叁万元整</v>
      </c>
      <c r="E119" s="3595"/>
      <c r="F119" s="3593" t="str">
        <f ca="1">NUMBERSTRING(INT(F118*10000),2)&amp;"元整"</f>
        <v>陆佰陆拾贰万元整</v>
      </c>
      <c r="G119" s="3595"/>
      <c r="H119" s="3593" t="str">
        <f ca="1">NUMBERSTRING(INT(H118*10000),2)&amp;"元整"</f>
        <v>叁仟叁佰肆拾伍万元整</v>
      </c>
      <c r="I119" s="3595"/>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房地产抵押价值</v>
      </c>
      <c r="B122" s="3584"/>
      <c r="C122" s="3584"/>
      <c r="D122" s="3617">
        <f ca="1">H107</f>
        <v>3345</v>
      </c>
      <c r="E122" s="3618"/>
      <c r="F122" s="3618"/>
      <c r="G122" s="3618"/>
      <c r="H122" s="3618"/>
      <c r="I122" s="3619"/>
      <c r="AA122" s="725"/>
    </row>
    <row r="123" spans="1:27" ht="18.75" customHeight="1">
      <c r="A123" s="3553" t="s">
        <v>1452</v>
      </c>
      <c r="B123" s="3553"/>
      <c r="C123" s="3553"/>
      <c r="D123" s="3593" t="str">
        <f ca="1">NUMBERSTRING(INT(D122*10000),2)&amp;"元整"</f>
        <v>叁仟叁佰肆拾伍万元整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5536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15133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3546</v>
      </c>
      <c r="D5" s="211" t="s">
        <v>1469</v>
      </c>
      <c r="E5" s="212" t="s">
        <v>1470</v>
      </c>
      <c r="F5" s="212" t="s">
        <v>1471</v>
      </c>
      <c r="G5" s="213"/>
    </row>
    <row r="6" spans="1:9" s="214" customFormat="1" ht="13.5" customHeight="1">
      <c r="A6" s="778" t="s">
        <v>1472</v>
      </c>
      <c r="B6" s="215" t="s">
        <v>1473</v>
      </c>
      <c r="C6" s="216">
        <f ca="1">基准地价修正!E33</f>
        <v>3388</v>
      </c>
      <c r="D6" s="217"/>
      <c r="E6" s="218"/>
      <c r="F6" s="218"/>
      <c r="G6" s="219"/>
    </row>
    <row r="7" spans="1:9" s="214" customFormat="1" ht="13.5" customHeight="1">
      <c r="A7" s="778" t="s">
        <v>1474</v>
      </c>
      <c r="B7" s="215" t="s">
        <v>1475</v>
      </c>
      <c r="C7" s="220">
        <f ca="1">ROUND(C6*F7,0)</f>
        <v>103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55</v>
      </c>
      <c r="D8" s="222"/>
      <c r="E8" s="220"/>
      <c r="F8" s="221"/>
      <c r="G8" s="1856" t="s">
        <v>3407</v>
      </c>
    </row>
    <row r="9" spans="1:9" s="214" customFormat="1" ht="13.5" customHeight="1">
      <c r="A9" s="779" t="s">
        <v>355</v>
      </c>
      <c r="B9" s="224" t="s">
        <v>1478</v>
      </c>
      <c r="C9" s="225">
        <f ca="1">ROUND(D9*E9/10000,0)</f>
        <v>55</v>
      </c>
      <c r="D9" s="845">
        <f ca="1">IF(B1="",'数据-汇总表'!E5,IF(INDIRECT("'数据-取费表'!c"&amp;$G$1)="住宅",INDIRECT("'数据-取费表'!k"&amp;$G$1),0))</f>
        <v>3658.15</v>
      </c>
      <c r="E9" s="225">
        <f>'数据-取费表'!B27</f>
        <v>150</v>
      </c>
      <c r="F9" s="221"/>
      <c r="G9" s="1857" t="s">
        <v>3408</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3658.15</v>
      </c>
      <c r="E19" s="211">
        <f>'数据-取费表'!B31</f>
        <v>200</v>
      </c>
      <c r="F19" s="231"/>
      <c r="G19" s="1856" t="s">
        <v>3409</v>
      </c>
    </row>
    <row r="20" spans="1:7" s="214" customFormat="1" ht="13.5" customHeight="1">
      <c r="A20" s="255" t="s">
        <v>1493</v>
      </c>
      <c r="B20" s="210" t="s">
        <v>1494</v>
      </c>
      <c r="C20" s="232">
        <f ca="1">ROUND((C5+C19)*F20,0)</f>
        <v>71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127</v>
      </c>
      <c r="D22" s="235">
        <f ca="1">C26</f>
        <v>4.0000000000000002E-4</v>
      </c>
      <c r="E22" s="236" t="s">
        <v>1498</v>
      </c>
      <c r="F22" s="237">
        <f ca="1">'数据-取费表'!B40</f>
        <v>3.5499999999999997E-2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126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362</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362</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4438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1274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1097</v>
      </c>
      <c r="D34" s="217"/>
      <c r="E34" s="220"/>
      <c r="F34" s="257">
        <f ca="1">IF('数据-取费表'!B24=0,1,IF(B1="",'数据-取费表'!N16,INDIRECT("'数据-取费表'!n"&amp;$G$1)))</f>
        <v>1</v>
      </c>
      <c r="G34" s="219" t="s">
        <v>1526</v>
      </c>
    </row>
    <row r="35" spans="1:7" ht="13.5" customHeight="1">
      <c r="A35" s="780" t="s">
        <v>351</v>
      </c>
      <c r="B35" s="215" t="s">
        <v>1527</v>
      </c>
      <c r="C35" s="220">
        <f ca="1">ROUND(C34*F35,0)</f>
        <v>33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55</v>
      </c>
      <c r="D36" s="220"/>
      <c r="E36" s="220"/>
      <c r="F36" s="259">
        <f>'数据-取费表'!B34</f>
        <v>0.05</v>
      </c>
      <c r="G36" s="260" t="s">
        <v>1530</v>
      </c>
    </row>
    <row r="37" spans="1:7" s="258" customFormat="1" ht="13.5" customHeight="1">
      <c r="A37" s="780" t="s">
        <v>353</v>
      </c>
      <c r="B37" s="215" t="s">
        <v>1531</v>
      </c>
      <c r="C37" s="249">
        <f ca="1">ROUND(E37*D37*F34/10000,0)</f>
        <v>73</v>
      </c>
      <c r="D37" s="217">
        <f ca="1">D19</f>
        <v>3658.15</v>
      </c>
      <c r="E37" s="249">
        <f>'数据-取费表'!B35</f>
        <v>200</v>
      </c>
      <c r="F37" s="259"/>
      <c r="G37" s="261" t="s">
        <v>1532</v>
      </c>
    </row>
    <row r="38" spans="1:7" ht="13.5" customHeight="1">
      <c r="A38" s="780" t="s">
        <v>354</v>
      </c>
      <c r="B38" s="215" t="s">
        <v>1533</v>
      </c>
      <c r="C38" s="220">
        <f ca="1">ROUND(C34*F38,0)</f>
        <v>16</v>
      </c>
      <c r="D38" s="220"/>
      <c r="E38" s="220"/>
      <c r="F38" s="259">
        <f>'数据-取费表'!B36</f>
        <v>1.4999999999999999E-2</v>
      </c>
      <c r="G38" s="219" t="s">
        <v>1528</v>
      </c>
    </row>
    <row r="39" spans="1:7" s="214" customFormat="1" ht="13.5" customHeight="1">
      <c r="A39" s="255" t="s">
        <v>1534</v>
      </c>
      <c r="B39" s="210" t="s">
        <v>1535</v>
      </c>
      <c r="C39" s="232">
        <f ca="1">ROUND(C33*F20,0)</f>
        <v>25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23</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f ca="1">C46</f>
        <v>130</v>
      </c>
      <c r="D45" s="235">
        <f ca="1">C47</f>
        <v>2E-3</v>
      </c>
      <c r="E45" s="236" t="s">
        <v>1539</v>
      </c>
      <c r="F45" s="246">
        <f ca="1">F27</f>
        <v>0.1</v>
      </c>
      <c r="G45" s="247" t="s">
        <v>1548</v>
      </c>
    </row>
    <row r="46" spans="1:7" s="214" customFormat="1" ht="13.5" customHeight="1">
      <c r="A46" s="780" t="s">
        <v>346</v>
      </c>
      <c r="B46" s="248" t="s">
        <v>1549</v>
      </c>
      <c r="C46" s="249">
        <f ca="1">ROUND((C33+C39)*F27,0)</f>
        <v>130</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1569</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1098</v>
      </c>
      <c r="D51" s="232"/>
      <c r="E51" s="232"/>
      <c r="F51" s="264"/>
      <c r="G51" s="234" t="s">
        <v>1560</v>
      </c>
    </row>
    <row r="52" spans="1:7" s="208" customFormat="1" ht="16.5" thickBot="1">
      <c r="A52" s="265" t="s">
        <v>1561</v>
      </c>
      <c r="B52" s="266"/>
      <c r="C52" s="267">
        <f ca="1">C31+C51</f>
        <v>5536</v>
      </c>
      <c r="D52" s="266"/>
      <c r="E52" s="266"/>
      <c r="F52" s="266"/>
      <c r="G52" s="268"/>
    </row>
    <row r="55" spans="1:7" ht="15">
      <c r="B55" s="270" t="s">
        <v>1562</v>
      </c>
      <c r="C55" s="271"/>
    </row>
    <row r="56" spans="1:7">
      <c r="B56" s="273" t="s">
        <v>802</v>
      </c>
      <c r="C56" s="275">
        <f ca="1">1-C57</f>
        <v>0.80200000000000005</v>
      </c>
    </row>
    <row r="57" spans="1:7">
      <c r="B57" s="273" t="s">
        <v>803</v>
      </c>
      <c r="C57" s="274">
        <f ca="1">ROUND(C51/C52,3)</f>
        <v>0.19800000000000001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70"/>
      <c r="C1" s="1859" t="s">
        <v>1563</v>
      </c>
      <c r="D1" s="198"/>
      <c r="E1" s="198"/>
      <c r="F1" s="198"/>
      <c r="G1" s="1126">
        <f>MATCH(B1,'数据-取费表'!A6:A16,0)+5</f>
        <v>7</v>
      </c>
      <c r="H1" s="1061" t="str">
        <f>IF(ISERROR(FIND("住宅",B1)),"非住宅","住宅")</f>
        <v>非住宅</v>
      </c>
    </row>
    <row r="2" spans="1:9" s="200" customFormat="1" ht="18" customHeight="1">
      <c r="A2" s="201" t="s">
        <v>1462</v>
      </c>
      <c r="B2" s="3424">
        <f ca="1">ROUND(IF(D2="——",C52/10000,C52/10000-E2),4)</f>
        <v>1259.9250999999999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3444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548723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c r="I7" s="214">
        <f>基准地价修正!C33</f>
        <v>9261</v>
      </c>
    </row>
    <row r="8" spans="1:9" s="223" customFormat="1">
      <c r="A8" s="778" t="s">
        <v>1476</v>
      </c>
      <c r="B8" s="215" t="s">
        <v>1477</v>
      </c>
      <c r="C8" s="220">
        <f ca="1">IF(G8="已包含在土地购买价格中",0,C9+C10)</f>
        <v>548723</v>
      </c>
      <c r="D8" s="222"/>
      <c r="E8" s="220"/>
      <c r="F8" s="221"/>
      <c r="G8" s="1856"/>
    </row>
    <row r="9" spans="1:9" s="214" customFormat="1" ht="13.5" customHeight="1">
      <c r="A9" s="779" t="s">
        <v>355</v>
      </c>
      <c r="B9" s="224" t="s">
        <v>1478</v>
      </c>
      <c r="C9" s="225">
        <f ca="1">ROUND(D9*E9,0)</f>
        <v>548723</v>
      </c>
      <c r="D9" s="845">
        <f ca="1">IF(B1="",'数据-汇总表'!E5,IF(INDIRECT("'数据-取费表'!c"&amp;$G$1)="住宅",INDIRECT("'数据-取费表'!k"&amp;$G$1),0))</f>
        <v>3658.15</v>
      </c>
      <c r="E9" s="225">
        <f>'数据-取费表'!B27</f>
        <v>150</v>
      </c>
      <c r="F9" s="221"/>
      <c r="G9" s="226"/>
    </row>
    <row r="10" spans="1:9"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731630</v>
      </c>
      <c r="D19" s="849">
        <f ca="1">D9+D10</f>
        <v>3658.15</v>
      </c>
      <c r="E19" s="211">
        <f>'数据-取费表'!B31</f>
        <v>200</v>
      </c>
      <c r="F19" s="231"/>
      <c r="G19" s="1856"/>
    </row>
    <row r="20" spans="1:7" s="214" customFormat="1" ht="13.5" customHeight="1">
      <c r="A20" s="255" t="s">
        <v>1574</v>
      </c>
      <c r="B20" s="210" t="s">
        <v>1575</v>
      </c>
      <c r="C20" s="232">
        <f ca="1">ROUND((C5+C19)*F20,0)</f>
        <v>25607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45908</v>
      </c>
      <c r="D22" s="235">
        <f ca="1">C26</f>
        <v>4.0000000000000002E-4</v>
      </c>
      <c r="E22" s="236" t="s">
        <v>1579</v>
      </c>
      <c r="F22" s="237">
        <f ca="1">'数据-取费表'!B40</f>
        <v>3.5499999999999997E-2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19480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25973</v>
      </c>
      <c r="D24" s="238"/>
      <c r="E24" s="238"/>
      <c r="F24" s="239"/>
      <c r="G24" s="240" t="s">
        <v>1586</v>
      </c>
    </row>
    <row r="25" spans="1:7" s="214" customFormat="1" ht="24">
      <c r="A25" s="780" t="s">
        <v>1476</v>
      </c>
      <c r="B25" s="215" t="s">
        <v>1587</v>
      </c>
      <c r="C25" s="1128">
        <f ca="1">ROUND(IF('数据-取费表'!B22&lt;=1,C20*F22*'数据-取费表'!B22/2,C20*(POWER((1+F22),'数据-取费表'!B22/2)-1)),0)</f>
        <v>455</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130596</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130596</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1602317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12748654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10974450</v>
      </c>
      <c r="D34" s="217"/>
      <c r="E34" s="220"/>
      <c r="F34" s="257"/>
      <c r="G34" s="219"/>
    </row>
    <row r="35" spans="1:7" ht="13.5" customHeight="1">
      <c r="A35" s="780" t="s">
        <v>351</v>
      </c>
      <c r="B35" s="215" t="s">
        <v>1527</v>
      </c>
      <c r="C35" s="220">
        <f ca="1">ROUND(C34*F35,0)</f>
        <v>329234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548723</v>
      </c>
      <c r="D36" s="220"/>
      <c r="E36" s="220"/>
      <c r="F36" s="259">
        <f>'数据-取费表'!B34</f>
        <v>0.05</v>
      </c>
      <c r="G36" s="260" t="s">
        <v>1530</v>
      </c>
    </row>
    <row r="37" spans="1:7" s="258" customFormat="1" ht="13.5" customHeight="1">
      <c r="A37" s="780" t="s">
        <v>353</v>
      </c>
      <c r="B37" s="215" t="s">
        <v>1531</v>
      </c>
      <c r="C37" s="249">
        <f ca="1">ROUND(E37*D37,0)</f>
        <v>731630</v>
      </c>
      <c r="D37" s="217">
        <f ca="1">D19</f>
        <v>3658.15</v>
      </c>
      <c r="E37" s="249">
        <f>'数据-取费表'!B35</f>
        <v>200</v>
      </c>
      <c r="F37" s="259"/>
      <c r="G37" s="261"/>
    </row>
    <row r="38" spans="1:7" ht="13.5" customHeight="1">
      <c r="A38" s="780" t="s">
        <v>354</v>
      </c>
      <c r="B38" s="215" t="s">
        <v>1533</v>
      </c>
      <c r="C38" s="220">
        <f ca="1">ROUND(C34*F38,0)</f>
        <v>164617</v>
      </c>
      <c r="D38" s="220"/>
      <c r="E38" s="220"/>
      <c r="F38" s="259">
        <f>'数据-取费表'!B36</f>
        <v>1.4999999999999999E-2</v>
      </c>
      <c r="G38" s="219" t="s">
        <v>1528</v>
      </c>
    </row>
    <row r="39" spans="1:7" s="214" customFormat="1" ht="13.5" customHeight="1">
      <c r="A39" s="255" t="s">
        <v>1534</v>
      </c>
      <c r="B39" s="210" t="s">
        <v>1535</v>
      </c>
      <c r="C39" s="232">
        <f ca="1">ROUND(C33*F20,0)</f>
        <v>254973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230815</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226289</v>
      </c>
      <c r="D42" s="238"/>
      <c r="E42" s="238"/>
      <c r="F42" s="239"/>
      <c r="G42" s="3633" t="s">
        <v>1591</v>
      </c>
    </row>
    <row r="43" spans="1:7" ht="13.5" customHeight="1">
      <c r="A43" s="780" t="s">
        <v>347</v>
      </c>
      <c r="B43" s="215" t="s">
        <v>1545</v>
      </c>
      <c r="C43" s="238">
        <f ca="1">ROUND(IF('数据-取费表'!B22&lt;=1,C39*F22*'数据-取费表'!B20/2,C39*(POWER((1+F22),'数据-取费表'!B20/2)-1)),0)</f>
        <v>4526</v>
      </c>
      <c r="D43" s="238"/>
      <c r="E43" s="238"/>
      <c r="F43" s="239"/>
      <c r="G43" s="3634"/>
    </row>
    <row r="44" spans="1:7" ht="13.5" customHeight="1">
      <c r="A44" s="780"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f ca="1">C46</f>
        <v>1300363</v>
      </c>
      <c r="D45" s="235">
        <f ca="1">C47</f>
        <v>2E-3</v>
      </c>
      <c r="E45" s="236" t="s">
        <v>1539</v>
      </c>
      <c r="F45" s="246">
        <f ca="1">F27</f>
        <v>0.1</v>
      </c>
      <c r="G45" s="247" t="s">
        <v>1548</v>
      </c>
    </row>
    <row r="46" spans="1:7" s="214" customFormat="1" ht="13.5" customHeight="1">
      <c r="A46" s="780" t="s">
        <v>346</v>
      </c>
      <c r="B46" s="248" t="s">
        <v>1549</v>
      </c>
      <c r="C46" s="249">
        <f ca="1">ROUND((C33+C39)*F27,0)</f>
        <v>1300363</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15709906</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10996934</v>
      </c>
      <c r="D51" s="232"/>
      <c r="E51" s="232"/>
      <c r="F51" s="264"/>
      <c r="G51" s="234" t="s">
        <v>1560</v>
      </c>
    </row>
    <row r="52" spans="1:7" s="208" customFormat="1" ht="16.5" thickBot="1">
      <c r="A52" s="265" t="s">
        <v>1561</v>
      </c>
      <c r="B52" s="266"/>
      <c r="C52" s="267">
        <f ca="1">C31+C51</f>
        <v>12599251</v>
      </c>
      <c r="D52" s="266"/>
      <c r="E52" s="266"/>
      <c r="F52" s="266"/>
      <c r="G52" s="268"/>
    </row>
    <row r="55" spans="1:7" ht="15">
      <c r="B55" s="270" t="s">
        <v>1562</v>
      </c>
      <c r="C55" s="271"/>
    </row>
    <row r="56" spans="1:7">
      <c r="B56" s="273" t="s">
        <v>802</v>
      </c>
      <c r="C56" s="275">
        <f ca="1">1-C57</f>
        <v>0.127</v>
      </c>
    </row>
    <row r="57" spans="1:7">
      <c r="B57" s="273" t="s">
        <v>803</v>
      </c>
      <c r="C57" s="274">
        <f ca="1">ROUND(C51/C52,3)</f>
        <v>0.873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3658.15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3658.15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55</v>
      </c>
      <c r="D19" s="846">
        <f ca="1">IF(C1="",'数据-汇总表'!E5,IF(INDIRECT("'数据-取费表'!c"&amp;$K$1)="住宅",INDIRECT("'数据-取费表'!k"&amp;$K$1),0))</f>
        <v>3658.15</v>
      </c>
      <c r="E19" s="21">
        <f>'数据-取费表'!B27</f>
        <v>150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8" sqref="K5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48.38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1885</v>
      </c>
      <c r="C2" s="1387" t="s">
        <v>805</v>
      </c>
      <c r="D2" s="1387"/>
      <c r="E2" s="1388"/>
      <c r="F2" s="1389"/>
      <c r="G2" s="2706"/>
      <c r="H2" s="2695"/>
      <c r="I2" s="2695"/>
      <c r="J2" s="2695"/>
      <c r="K2" s="2696"/>
      <c r="L2" s="2695"/>
      <c r="M2" s="2695"/>
    </row>
    <row r="3" spans="1:37" ht="18" customHeight="1" thickBot="1">
      <c r="A3" s="1390" t="s">
        <v>806</v>
      </c>
      <c r="B3" s="1391">
        <f ca="1">IF(ISERROR(B2*10000/F43),0,ROUND(B2*10000/F43,0))</f>
        <v>5153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120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120</v>
      </c>
      <c r="D6" s="155" t="s">
        <v>2109</v>
      </c>
      <c r="E6" s="302" t="s">
        <v>696</v>
      </c>
      <c r="F6" s="303">
        <f ca="1">INDIRECT("'数据-取费表'!u"&amp;$G$1)</f>
        <v>1</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3658.15</v>
      </c>
      <c r="G7" s="1384"/>
      <c r="H7" s="304"/>
      <c r="I7" s="3639"/>
      <c r="J7" s="306"/>
      <c r="K7" s="307"/>
      <c r="L7" s="302" t="s">
        <v>697</v>
      </c>
      <c r="M7" s="303">
        <f ca="1">F7</f>
        <v>3658.15</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1098</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1097</v>
      </c>
      <c r="D14" s="1345" t="s">
        <v>708</v>
      </c>
      <c r="E14" s="1342"/>
      <c r="F14" s="319"/>
      <c r="G14" s="1384"/>
      <c r="H14" s="982" t="s">
        <v>398</v>
      </c>
      <c r="I14" s="302" t="s">
        <v>709</v>
      </c>
      <c r="J14" s="21">
        <f ca="1">C29</f>
        <v>1569</v>
      </c>
      <c r="K14" s="12"/>
      <c r="L14" s="807"/>
      <c r="M14" s="808"/>
    </row>
    <row r="15" spans="1:37" s="1397" customFormat="1" ht="18" customHeight="1" thickBot="1">
      <c r="A15" s="982" t="s">
        <v>399</v>
      </c>
      <c r="B15" s="302" t="s">
        <v>710</v>
      </c>
      <c r="C15" s="21">
        <f ca="1">ROUND(C14*F15,0)</f>
        <v>33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55</v>
      </c>
      <c r="D16" s="302" t="s">
        <v>711</v>
      </c>
      <c r="E16" s="302" t="s">
        <v>712</v>
      </c>
      <c r="F16" s="322">
        <f ca="1">IF(INDIRECT("'数据-取费表'!c"&amp;$G$1)="住宅",'数据-取费表'!B34,0)</f>
        <v>0.05</v>
      </c>
      <c r="G16" s="1384"/>
      <c r="H16" s="1079" t="s">
        <v>393</v>
      </c>
      <c r="I16" s="1080" t="s">
        <v>714</v>
      </c>
      <c r="J16" s="310">
        <f ca="1">ROUND(J17+J22+J23+J24,0)</f>
        <v>16</v>
      </c>
      <c r="K16" s="1087" t="s">
        <v>715</v>
      </c>
      <c r="L16" s="1088"/>
      <c r="M16" s="1072"/>
    </row>
    <row r="17" spans="1:37" s="1397" customFormat="1" ht="18" customHeight="1">
      <c r="A17" s="982" t="s">
        <v>681</v>
      </c>
      <c r="B17" s="302" t="s">
        <v>716</v>
      </c>
      <c r="C17" s="21">
        <f ca="1">ROUND(F17*(F43+INDIRECT("'数据-取费表'!S"&amp;$G$1))/10000,0)</f>
        <v>73</v>
      </c>
      <c r="D17" s="302" t="s">
        <v>717</v>
      </c>
      <c r="E17" s="302" t="s">
        <v>718</v>
      </c>
      <c r="F17" s="23">
        <f>'数据-取费表'!B35</f>
        <v>200</v>
      </c>
      <c r="G17" s="1396"/>
      <c r="H17" s="982" t="s">
        <v>398</v>
      </c>
      <c r="I17" s="302" t="s">
        <v>719</v>
      </c>
      <c r="J17" s="2316">
        <f ca="1">ROUND(IF(AND(项目基本情况!B11="自然人",项目基本情况!B10="北京市"),J6*M17/(1+'数据-取费表'!C42),J18+J19+J20),2)</f>
        <v>0.27</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1274</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25</v>
      </c>
      <c r="D20" s="323" t="s">
        <v>729</v>
      </c>
      <c r="E20" s="302" t="s">
        <v>712</v>
      </c>
      <c r="F20" s="322">
        <f>'数据-取费表'!B37</f>
        <v>0.02</v>
      </c>
      <c r="G20" s="1396"/>
      <c r="H20" s="982" t="s">
        <v>680</v>
      </c>
      <c r="I20" s="155" t="s">
        <v>730</v>
      </c>
      <c r="J20" s="22">
        <f ca="1">ROUND(M20*M21/10000,2)</f>
        <v>0.27</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1790.41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15.69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23</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-16</v>
      </c>
      <c r="K25" s="1095" t="s">
        <v>753</v>
      </c>
      <c r="L25" s="1096"/>
      <c r="M25" s="1097"/>
    </row>
    <row r="26" spans="1:37">
      <c r="A26" s="982" t="s">
        <v>397</v>
      </c>
      <c r="B26" s="302" t="s">
        <v>754</v>
      </c>
      <c r="C26" s="21">
        <f ca="1">ROUND((C19+C20)*F26,0)</f>
        <v>130</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1569</v>
      </c>
      <c r="D29" s="1092"/>
      <c r="E29" s="1090"/>
      <c r="F29" s="1093"/>
      <c r="G29" s="1396"/>
      <c r="H29" s="334" t="s">
        <v>396</v>
      </c>
      <c r="I29" s="335" t="s">
        <v>768</v>
      </c>
      <c r="J29" s="336">
        <f ca="1">ROUND(J26/(1+F40)^F41,0)</f>
        <v>0</v>
      </c>
      <c r="K29" s="337" t="s">
        <v>769</v>
      </c>
      <c r="L29" s="338"/>
      <c r="M29" s="339">
        <f ca="1">INDIRECT("'数据-取费表'!k"&amp;$G$1)</f>
        <v>3658.15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20.27</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6.29</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13.71</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0.27</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1790.41</v>
      </c>
      <c r="G35" s="1384"/>
      <c r="H35" s="2697"/>
      <c r="I35" s="1398"/>
      <c r="J35" s="1399"/>
      <c r="K35" s="2701"/>
      <c r="L35" s="2700"/>
      <c r="M35" s="2700"/>
    </row>
    <row r="36" spans="1:18" ht="18" customHeight="1">
      <c r="A36" s="1102" t="s">
        <v>402</v>
      </c>
      <c r="B36" s="302" t="s">
        <v>738</v>
      </c>
      <c r="C36" s="21">
        <f ca="1">ROUND(C29*F36,2)</f>
        <v>15.69</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1.1000000000000001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1.2</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82</v>
      </c>
      <c r="D39" s="1095" t="s">
        <v>773</v>
      </c>
      <c r="E39" s="1096"/>
      <c r="F39" s="1097"/>
      <c r="G39" s="1384"/>
      <c r="H39" s="2700"/>
      <c r="I39" s="1398"/>
      <c r="J39" s="1399"/>
      <c r="K39" s="2704"/>
      <c r="L39" s="2700"/>
      <c r="M39" s="2700"/>
    </row>
    <row r="40" spans="1:18" ht="18" customHeight="1">
      <c r="A40" s="299" t="s">
        <v>395</v>
      </c>
      <c r="B40" s="300" t="s">
        <v>774</v>
      </c>
      <c r="C40" s="301">
        <f ca="1">ROUND(C39*(1-((1+F42)/(1+F40))^F41)/(F40-F42),0)</f>
        <v>1885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48.38</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5153</v>
      </c>
      <c r="D43" s="337" t="s">
        <v>777</v>
      </c>
      <c r="E43" s="338" t="s">
        <v>778</v>
      </c>
      <c r="F43" s="339">
        <f ca="1">INDIRECT("'数据-取费表'!k"&amp;$G$1)</f>
        <v>3658.15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-2171</v>
      </c>
      <c r="D46" s="1406" t="str">
        <f>C2</f>
        <v>万元</v>
      </c>
      <c r="E46" s="1400"/>
      <c r="F46" s="1400"/>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3417</v>
      </c>
      <c r="K47" s="1416" t="s">
        <v>816</v>
      </c>
      <c r="L47" s="1417">
        <f ca="1">INDIRECT("'数据-取费表'!d"&amp;$G$1)</f>
        <v>70</v>
      </c>
      <c r="M47" s="1380" t="str">
        <f>IF(ISNUMBER(FIND("住宅",C1)),"住宅","非住宅")</f>
        <v>住宅</v>
      </c>
      <c r="O47" s="1418" t="s">
        <v>403</v>
      </c>
      <c r="P47" s="1419" t="s">
        <v>817</v>
      </c>
      <c r="Q47" s="1420">
        <f ca="1">C40+J29</f>
        <v>1885</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48.38</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1569</v>
      </c>
      <c r="R49" s="1420" t="s">
        <v>818</v>
      </c>
    </row>
    <row r="50" spans="1:18" s="1384" customFormat="1" ht="13.5" thickBot="1">
      <c r="A50" s="976"/>
      <c r="B50" s="979"/>
      <c r="C50" s="1118"/>
      <c r="D50" s="953"/>
      <c r="E50" s="1056" t="s">
        <v>697</v>
      </c>
      <c r="F50" s="1057">
        <f ca="1">F7</f>
        <v>3658.15</v>
      </c>
      <c r="H50" s="723"/>
      <c r="I50" s="1421" t="s">
        <v>826</v>
      </c>
      <c r="J50" s="1429">
        <f>SUMPRODUCT((I63:I65=J47)*(J62:L62=J48)*(J63:L65))</f>
        <v>50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30</v>
      </c>
      <c r="K51" s="1434" t="s">
        <v>830</v>
      </c>
      <c r="L51" s="1435">
        <f ca="1">ROUND(-PV(INDIRECT("'数据-取费表'!h"&amp;$G$1),J51,(C39-C13*C76),0),0)</f>
        <v>79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48.38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48.38</v>
      </c>
      <c r="K53" s="3636" t="s">
        <v>837</v>
      </c>
      <c r="L53" s="3637"/>
      <c r="O53" s="1418" t="s">
        <v>409</v>
      </c>
      <c r="P53" s="1419" t="s">
        <v>838</v>
      </c>
      <c r="Q53" s="1420">
        <f ca="1">Q47+Q48</f>
        <v>1885</v>
      </c>
      <c r="R53" s="1420" t="s">
        <v>410</v>
      </c>
    </row>
    <row r="54" spans="1:18" s="1384" customFormat="1" ht="13.5" thickBot="1">
      <c r="A54" s="1153"/>
      <c r="B54" s="1367" t="s">
        <v>679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3420</v>
      </c>
      <c r="O55" s="1411" t="s">
        <v>811</v>
      </c>
      <c r="P55" s="1412" t="s">
        <v>812</v>
      </c>
      <c r="Q55" s="1413" t="s">
        <v>813</v>
      </c>
      <c r="R55" s="1413" t="s">
        <v>814</v>
      </c>
    </row>
    <row r="56" spans="1:18" s="1384" customFormat="1" ht="25.5" thickTop="1" thickBot="1">
      <c r="A56" s="957">
        <v>2</v>
      </c>
      <c r="B56" s="958" t="s">
        <v>704</v>
      </c>
      <c r="C56" s="232">
        <f ca="1">C13</f>
        <v>1098</v>
      </c>
      <c r="D56" s="1447"/>
      <c r="E56" s="1448"/>
      <c r="F56" s="1440"/>
      <c r="I56" s="1449" t="s">
        <v>842</v>
      </c>
      <c r="J56" s="1450" t="s">
        <v>3390</v>
      </c>
      <c r="K56" s="1421" t="s">
        <v>843</v>
      </c>
      <c r="L56" s="1424">
        <f ca="1">IF(L48&lt;J51,"——",L48-J53)</f>
        <v>0</v>
      </c>
      <c r="O56" s="1418" t="s">
        <v>403</v>
      </c>
      <c r="P56" s="1419" t="s">
        <v>817</v>
      </c>
      <c r="Q56" s="1420">
        <f ca="1">C40+J29</f>
        <v>1885</v>
      </c>
      <c r="R56" s="1420" t="s">
        <v>818</v>
      </c>
    </row>
    <row r="57" spans="1:18" s="1384" customFormat="1" ht="24.75" thickBot="1">
      <c r="A57" s="1451"/>
      <c r="B57" s="950" t="s">
        <v>767</v>
      </c>
      <c r="C57" s="238">
        <f ca="1">C29</f>
        <v>1569</v>
      </c>
      <c r="D57" s="1452"/>
      <c r="E57" s="1453"/>
      <c r="F57" s="1454"/>
      <c r="I57" s="1455" t="s">
        <v>844</v>
      </c>
      <c r="J57" s="1456" t="str">
        <f ca="1">IF(OR(M47="住宅",J51&lt;L48,J56="是"),"——",J51-L48)</f>
        <v>——</v>
      </c>
      <c r="K57" s="1421" t="s">
        <v>845</v>
      </c>
      <c r="L57" s="1424">
        <f ca="1">IF(L48&lt;J51,"——",IF(L55="比较法",L49,IF(L55="基准地价",L50,L51)))</f>
        <v>79</v>
      </c>
      <c r="O57" s="1418" t="s">
        <v>404</v>
      </c>
      <c r="P57" s="1419" t="s">
        <v>846</v>
      </c>
      <c r="Q57" s="1420">
        <f ca="1">L60</f>
        <v>0</v>
      </c>
      <c r="R57" s="1420" t="s">
        <v>847</v>
      </c>
    </row>
    <row r="58" spans="1:18" s="1384" customFormat="1" ht="24.75" thickBot="1">
      <c r="A58" s="315" t="s">
        <v>393</v>
      </c>
      <c r="B58" s="958" t="s">
        <v>714</v>
      </c>
      <c r="C58" s="316">
        <f ca="1">ROUND(C59+C64+C65+C66,0)</f>
        <v>17</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0.27</v>
      </c>
      <c r="D62" s="965" t="s">
        <v>786</v>
      </c>
      <c r="E62" s="950" t="s">
        <v>787</v>
      </c>
      <c r="F62" s="325">
        <f t="shared" si="0"/>
        <v>1.5</v>
      </c>
      <c r="I62" s="1462" t="s">
        <v>858</v>
      </c>
      <c r="J62" s="1463" t="s">
        <v>859</v>
      </c>
      <c r="K62" s="1463" t="s">
        <v>860</v>
      </c>
      <c r="L62" s="1463" t="s">
        <v>861</v>
      </c>
      <c r="M62" s="1464" t="s">
        <v>862</v>
      </c>
      <c r="O62" s="1418" t="s">
        <v>409</v>
      </c>
      <c r="P62" s="1419" t="s">
        <v>863</v>
      </c>
      <c r="Q62" s="1420">
        <f ca="1">Q56+Q57</f>
        <v>1885</v>
      </c>
      <c r="R62" s="1420" t="s">
        <v>410</v>
      </c>
    </row>
    <row r="63" spans="1:18" s="1384" customFormat="1" ht="13.5" thickBot="1">
      <c r="A63" s="326"/>
      <c r="B63" s="956"/>
      <c r="C63" s="26"/>
      <c r="D63" s="966"/>
      <c r="E63" s="950" t="s">
        <v>788</v>
      </c>
      <c r="F63" s="303">
        <f t="shared" ca="1" si="0"/>
        <v>1790.41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15.69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1.1000000000000001</v>
      </c>
      <c r="D65" s="964" t="s">
        <v>743</v>
      </c>
      <c r="E65" s="950" t="s">
        <v>744</v>
      </c>
      <c r="F65" s="330">
        <f t="shared" ca="1" si="0"/>
        <v>1E-3</v>
      </c>
      <c r="I65" s="1462" t="s">
        <v>867</v>
      </c>
      <c r="J65" s="1463">
        <v>40</v>
      </c>
      <c r="K65" s="1463">
        <v>30</v>
      </c>
      <c r="L65" s="1463">
        <v>50</v>
      </c>
      <c r="M65" s="1465">
        <v>0.02</v>
      </c>
      <c r="O65" s="1418" t="s">
        <v>403</v>
      </c>
      <c r="P65" s="1419" t="s">
        <v>868</v>
      </c>
      <c r="Q65" s="1420">
        <f ca="1">C40+J29</f>
        <v>1885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v>
      </c>
      <c r="D67" s="963" t="s">
        <v>753</v>
      </c>
      <c r="E67" s="968"/>
      <c r="F67" s="969"/>
      <c r="O67" s="1428" t="s">
        <v>405</v>
      </c>
      <c r="P67" s="1419" t="s">
        <v>850</v>
      </c>
      <c r="Q67" s="1466">
        <f ca="1">L51</f>
        <v>79</v>
      </c>
      <c r="R67" s="1420" t="s">
        <v>870</v>
      </c>
    </row>
    <row r="68" spans="1:18" s="1384" customFormat="1" ht="16.5" thickBot="1">
      <c r="A68" s="947" t="s">
        <v>395</v>
      </c>
      <c r="B68" s="948" t="s">
        <v>774</v>
      </c>
      <c r="C68" s="301">
        <f ca="1">ROUND(C67*(1-((1+F70)/(1+F68))^F69)/(F68-F70),0)</f>
        <v>-286</v>
      </c>
      <c r="D68" s="965" t="s">
        <v>758</v>
      </c>
      <c r="E68" s="950" t="s">
        <v>759</v>
      </c>
      <c r="F68" s="312">
        <f ca="1">F40</f>
        <v>5.5E-2</v>
      </c>
      <c r="O68" s="1428" t="s">
        <v>406</v>
      </c>
      <c r="P68" s="1467" t="s">
        <v>871</v>
      </c>
      <c r="Q68" s="1420">
        <f ca="1">ROUND(Q69-Q70*Q71,0)</f>
        <v>5</v>
      </c>
      <c r="R68" s="1420" t="s">
        <v>414</v>
      </c>
    </row>
    <row r="69" spans="1:18" s="1384" customFormat="1" ht="13.5" thickBot="1">
      <c r="A69" s="951"/>
      <c r="B69" s="952"/>
      <c r="C69" s="306"/>
      <c r="D69" s="970" t="s">
        <v>762</v>
      </c>
      <c r="E69" s="950" t="s">
        <v>763</v>
      </c>
      <c r="F69" s="333">
        <f ca="1">F41</f>
        <v>48.38</v>
      </c>
      <c r="O69" s="1428" t="s">
        <v>411</v>
      </c>
      <c r="P69" s="1467" t="s">
        <v>872</v>
      </c>
      <c r="Q69" s="1420">
        <f ca="1">C39</f>
        <v>82</v>
      </c>
      <c r="R69" s="1420" t="s">
        <v>818</v>
      </c>
    </row>
    <row r="70" spans="1:18" s="1384" customFormat="1" ht="13.5" thickBot="1">
      <c r="A70" s="954"/>
      <c r="B70" s="955"/>
      <c r="C70" s="310"/>
      <c r="D70" s="966"/>
      <c r="E70" s="950" t="s">
        <v>766</v>
      </c>
      <c r="F70" s="1054"/>
      <c r="O70" s="1428" t="s">
        <v>412</v>
      </c>
      <c r="P70" s="1467" t="s">
        <v>873</v>
      </c>
      <c r="Q70" s="1420">
        <f ca="1">C13</f>
        <v>1098</v>
      </c>
      <c r="R70" s="1420" t="s">
        <v>818</v>
      </c>
    </row>
    <row r="71" spans="1:18" s="1384" customFormat="1" ht="13.5" thickBot="1">
      <c r="A71" s="971" t="s">
        <v>396</v>
      </c>
      <c r="B71" s="972" t="s">
        <v>776</v>
      </c>
      <c r="C71" s="336">
        <f ca="1">ROUND(C68*10000/F71,0)</f>
        <v>-782</v>
      </c>
      <c r="D71" s="973" t="s">
        <v>777</v>
      </c>
      <c r="E71" s="974" t="s">
        <v>778</v>
      </c>
      <c r="F71" s="339">
        <f ca="1">F43</f>
        <v>3658.15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v>
      </c>
      <c r="D75" s="1384"/>
      <c r="E75" s="1384"/>
      <c r="F75" s="1384"/>
      <c r="K75" s="1402"/>
      <c r="L75" s="1384"/>
      <c r="O75" s="1418" t="s">
        <v>409</v>
      </c>
      <c r="P75" s="1419" t="s">
        <v>838</v>
      </c>
      <c r="Q75" s="1420">
        <f ca="1">Q65+Q66</f>
        <v>1885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6.1000000000000054E-2</v>
      </c>
    </row>
    <row r="80" spans="1:18">
      <c r="B80" s="340" t="s">
        <v>800</v>
      </c>
      <c r="C80" s="274">
        <f ca="1">ROUND(C75/C39,3)</f>
        <v>0.93899999999999995</v>
      </c>
    </row>
    <row r="81" spans="2:3">
      <c r="B81" s="270" t="s">
        <v>801</v>
      </c>
      <c r="C81" s="238"/>
    </row>
    <row r="82" spans="2:3">
      <c r="B82" s="273" t="s">
        <v>802</v>
      </c>
      <c r="C82" s="275">
        <f ca="1">1-C83</f>
        <v>0.41800000000000004</v>
      </c>
    </row>
    <row r="83" spans="2:3">
      <c r="B83" s="273" t="s">
        <v>803</v>
      </c>
      <c r="C83" s="274">
        <f ca="1">ROUND(C13/C40,3)</f>
        <v>0.58199999999999996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37" zoomScale="70" zoomScaleNormal="70" zoomScaleSheetLayoutView="70" workbookViewId="0">
      <selection activeCell="I75" sqref="I7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#N/A</v>
      </c>
      <c r="C2" s="1387" t="s">
        <v>879</v>
      </c>
      <c r="D2" s="1471" t="e">
        <f ca="1">C40+J29+L46</f>
        <v>#N/A</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t="e">
        <f ca="1">C6+C10+C12</f>
        <v>#N/A</v>
      </c>
      <c r="D5" s="1364" t="s">
        <v>889</v>
      </c>
      <c r="E5" s="1071"/>
      <c r="F5" s="1072"/>
      <c r="G5" s="1384"/>
      <c r="H5" s="299">
        <v>1</v>
      </c>
      <c r="I5" s="300" t="s">
        <v>888</v>
      </c>
      <c r="J5" s="1070" t="e">
        <f ca="1">J6+J10+J12</f>
        <v>#N/A</v>
      </c>
      <c r="K5" s="1364" t="s">
        <v>889</v>
      </c>
      <c r="L5" s="1071"/>
      <c r="M5" s="1072"/>
    </row>
    <row r="6" spans="1:37" ht="18" customHeight="1">
      <c r="A6" s="1069" t="s">
        <v>398</v>
      </c>
      <c r="B6" s="3638" t="s">
        <v>694</v>
      </c>
      <c r="C6" s="1074" t="e">
        <f ca="1">ROUND(F6*F8*F7*(1-F9),0)</f>
        <v>#N/A</v>
      </c>
      <c r="D6" s="155" t="s">
        <v>2106</v>
      </c>
      <c r="E6" s="302" t="s">
        <v>696</v>
      </c>
      <c r="F6" s="303" t="e">
        <f ca="1">INDIRECT("'数据-取费表'!u"&amp;$G$1)</f>
        <v>#N/A</v>
      </c>
      <c r="G6" s="1384"/>
      <c r="H6" s="1069" t="s">
        <v>398</v>
      </c>
      <c r="I6" s="3638" t="s">
        <v>694</v>
      </c>
      <c r="J6" s="301" t="e">
        <f ca="1">ROUND(M6*M8*M7*(1-M9),0)</f>
        <v>#N/A</v>
      </c>
      <c r="K6" s="1376" t="s">
        <v>2107</v>
      </c>
      <c r="L6" s="302" t="s">
        <v>696</v>
      </c>
      <c r="M6" s="303" t="e">
        <f ca="1">INDIRECT("'数据-取费表'!z"&amp;$G$1)</f>
        <v>#N/A</v>
      </c>
    </row>
    <row r="7" spans="1:37" ht="18" customHeight="1">
      <c r="A7" s="1073"/>
      <c r="B7" s="3639"/>
      <c r="C7" s="1075"/>
      <c r="D7" s="307"/>
      <c r="E7" s="1076" t="s">
        <v>697</v>
      </c>
      <c r="F7" s="303" t="e">
        <f ca="1">IF(INDIRECT("'数据-取费表'!ah"&amp;$G$1)="",INDIRECT("'数据-取费表'!k"&amp;$G$1),INDIRECT("'数据-取费表'!ah"&amp;$G$1))</f>
        <v>#N/A</v>
      </c>
      <c r="G7" s="1384"/>
      <c r="H7" s="304"/>
      <c r="I7" s="3639"/>
      <c r="J7" s="306"/>
      <c r="K7" s="307"/>
      <c r="L7" s="302" t="s">
        <v>697</v>
      </c>
      <c r="M7" s="303" t="e">
        <f ca="1">F7</f>
        <v>#N/A</v>
      </c>
    </row>
    <row r="8" spans="1:37" ht="18" customHeight="1">
      <c r="A8" s="304"/>
      <c r="B8" s="3639"/>
      <c r="C8" s="306"/>
      <c r="D8" s="307"/>
      <c r="E8" s="302" t="s">
        <v>698</v>
      </c>
      <c r="F8" s="303" t="e">
        <f ca="1">INDIRECT("'数据-取费表'!ai"&amp;$G$1)</f>
        <v>#N/A</v>
      </c>
      <c r="G8" s="1384"/>
      <c r="H8" s="304"/>
      <c r="I8" s="3639"/>
      <c r="J8" s="306"/>
      <c r="K8" s="307"/>
      <c r="L8" s="302" t="s">
        <v>698</v>
      </c>
      <c r="M8" s="303" t="e">
        <f ca="1">INDIRECT("'数据-取费表'!ai"&amp;$G$1)</f>
        <v>#N/A</v>
      </c>
    </row>
    <row r="9" spans="1:37" ht="18" customHeight="1">
      <c r="A9" s="304"/>
      <c r="B9" s="3640"/>
      <c r="C9" s="306"/>
      <c r="D9" s="307"/>
      <c r="E9" s="302" t="s">
        <v>699</v>
      </c>
      <c r="F9" s="312" t="e">
        <f ca="1">INDIRECT("'数据-取费表'!w"&amp;$G$1)</f>
        <v>#N/A</v>
      </c>
      <c r="G9" s="1384"/>
      <c r="H9" s="304"/>
      <c r="I9" s="3640"/>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3387</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ROUND(INDIRECT("'数据-取费表'!l"&amp;$G$1)*F43+'数据-取费表'!L14*INDIRECT("'数据-取费表'!S"&amp;$G$1),0)</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ROUND(INDIRECT("'数据-取费表'!l"&amp;$G$1)*F43*F16,0)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ROUND(F17*(F43+INDIRECT("'数据-取费表'!S"&amp;$G$1)),0)</f>
        <v>#N/A</v>
      </c>
      <c r="D17" s="302" t="s">
        <v>717</v>
      </c>
      <c r="E17" s="302" t="s">
        <v>718</v>
      </c>
      <c r="F17" s="23">
        <f>'数据-取费表'!B35</f>
        <v>200</v>
      </c>
      <c r="G17" s="1396"/>
      <c r="H17" s="982" t="s">
        <v>398</v>
      </c>
      <c r="I17" s="302" t="s">
        <v>719</v>
      </c>
      <c r="J17" s="2316" t="e">
        <f ca="1">ROUND(IF(AND(项目基本情况!B11="自然人",项目基本情况!B10="北京市"),J6*M17/(1+'数据-取费表'!C42),J18+J19+J20),0)</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ROUND(J6*M18/(1+'数据-取费表'!C42),0)</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IF(K19="按租金收入计税",ROUND(J6*M19/(1+'数据-取费表'!C42),0),ROUND(C29*M19*0.7,0))</f>
        <v>#N/A</v>
      </c>
      <c r="K19" s="1370" t="s">
        <v>3341</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ROUND(M20*M21,0)</f>
        <v>#N/A</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t="e">
        <f ca="1">ROUND(J13*M23,0)</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t="e">
        <f ca="1">ROUND(J5*M24,0)</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ht="18" customHeight="1">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7"/>
      <c r="I30" s="1398"/>
      <c r="J30" s="1399"/>
      <c r="K30" s="2475"/>
      <c r="L30" s="2698"/>
      <c r="M30" s="2699"/>
    </row>
    <row r="31" spans="1:37" ht="18" customHeight="1">
      <c r="A31" s="982" t="s">
        <v>398</v>
      </c>
      <c r="B31" s="302" t="s">
        <v>719</v>
      </c>
      <c r="C31" s="2316" t="e">
        <f ca="1">ROUND(IF(AND(项目基本情况!B11="自然人",项目基本情况!B10="北京市"),C6*F31/(1+'数据-取费表'!C42),C32+C33+C34),0)</f>
        <v>#N/A</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t="e">
        <f ca="1">IF(项目基本情况!B11="自然人","——",ROUND(C6*F32/(1+'数据-取费表'!C42),0))</f>
        <v>#N/A</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e">
        <f ca="1">IF(项目基本情况!B11="自然人","——",IF(D33="按租金收入计税",ROUND(C6*F33/(1+'数据-取费表'!C42),0),IF(D33="按房产原值计税",ROUND(C29*F33*0.7,0),INDIRECT("'数据-取费表'!Aj"&amp;$G$1))))</f>
        <v>#N/A</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e">
        <f ca="1">IF(项目基本情况!B11="自然人","——",ROUND(F34*F35,0))</f>
        <v>#N/A</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t="e">
        <f ca="1">INDIRECT("'数据-取费表'!r"&amp;$G$1)</f>
        <v>#N/A</v>
      </c>
      <c r="G35" s="1384"/>
      <c r="H35" s="2697"/>
      <c r="I35" s="1398"/>
      <c r="J35" s="1399"/>
      <c r="K35" s="2701"/>
      <c r="L35" s="2700"/>
      <c r="M35" s="2700"/>
    </row>
    <row r="36" spans="1:18" ht="18" customHeight="1">
      <c r="A36" s="1102" t="s">
        <v>402</v>
      </c>
      <c r="B36" s="302" t="s">
        <v>738</v>
      </c>
      <c r="C36" s="21" t="e">
        <f ca="1">ROUND(C29*F36,0)</f>
        <v>#N/A</v>
      </c>
      <c r="D36" s="1344" t="s">
        <v>771</v>
      </c>
      <c r="E36" s="302" t="s">
        <v>712</v>
      </c>
      <c r="F36" s="328" t="e">
        <f ca="1">INDIRECT("'数据-取费表'!Ak"&amp;$G$1)</f>
        <v>#N/A</v>
      </c>
      <c r="G36" s="1384"/>
      <c r="H36" s="2700"/>
      <c r="I36" s="1398"/>
      <c r="J36" s="1399"/>
      <c r="K36" s="2544"/>
      <c r="L36" s="2700"/>
      <c r="M36" s="2700"/>
    </row>
    <row r="37" spans="1:18" ht="18" customHeight="1">
      <c r="A37" s="982" t="s">
        <v>437</v>
      </c>
      <c r="B37" s="302" t="s">
        <v>742</v>
      </c>
      <c r="C37" s="21" t="e">
        <f ca="1">ROUND(C13*F37,0)</f>
        <v>#N/A</v>
      </c>
      <c r="D37" s="1344" t="s">
        <v>743</v>
      </c>
      <c r="E37" s="302" t="s">
        <v>744</v>
      </c>
      <c r="F37" s="330" t="e">
        <f ca="1">INDIRECT("'数据-取费表'!Al"&amp;$G$1)</f>
        <v>#N/A</v>
      </c>
      <c r="G37" s="1384"/>
      <c r="H37" s="2700"/>
      <c r="I37" s="1398"/>
      <c r="J37" s="1399"/>
      <c r="K37" s="2544"/>
      <c r="L37" s="2700"/>
      <c r="M37" s="2700"/>
    </row>
    <row r="38" spans="1:18" ht="18" customHeight="1" thickBot="1">
      <c r="A38" s="1089" t="s">
        <v>684</v>
      </c>
      <c r="B38" s="1090" t="s">
        <v>728</v>
      </c>
      <c r="C38" s="1091" t="e">
        <f ca="1">ROUND(C5*F38,0)</f>
        <v>#N/A</v>
      </c>
      <c r="D38" s="1092" t="s">
        <v>748</v>
      </c>
      <c r="E38" s="1090" t="s">
        <v>744</v>
      </c>
      <c r="F38" s="1086" t="e">
        <f ca="1">INDIRECT("'数据-取费表'!Am"&amp;$G$1)</f>
        <v>#N/A</v>
      </c>
      <c r="G38" s="1384"/>
      <c r="H38" s="2700"/>
      <c r="I38" s="1398"/>
      <c r="J38" s="1399"/>
      <c r="K38" s="2704"/>
      <c r="L38" s="2700"/>
      <c r="M38" s="2700"/>
    </row>
    <row r="39" spans="1:18" ht="24.6" customHeight="1" thickTop="1">
      <c r="A39" s="1079" t="s">
        <v>394</v>
      </c>
      <c r="B39" s="1094" t="s">
        <v>772</v>
      </c>
      <c r="C39" s="310" t="e">
        <f ca="1">C5-C30</f>
        <v>#N/A</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4"/>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766</v>
      </c>
      <c r="F42" s="312" t="e">
        <f ca="1">INDIRECT("'数据-取费表'!v"&amp;$G$1)</f>
        <v>#N/A</v>
      </c>
      <c r="G42" s="1384"/>
      <c r="H42" s="1191"/>
      <c r="I42" s="1398"/>
      <c r="J42" s="1399"/>
      <c r="K42" s="2544"/>
      <c r="L42" s="1191"/>
      <c r="M42" s="1191"/>
    </row>
    <row r="43" spans="1:18" ht="18" customHeight="1" thickBot="1">
      <c r="A43" s="334" t="s">
        <v>396</v>
      </c>
      <c r="B43" s="335" t="s">
        <v>776</v>
      </c>
      <c r="C43" s="336" t="e">
        <f ca="1">ROUND(C40/F43,0)</f>
        <v>#N/A</v>
      </c>
      <c r="D43" s="337" t="s">
        <v>777</v>
      </c>
      <c r="E43" s="338" t="s">
        <v>778</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#N/A</v>
      </c>
      <c r="D45" s="3432" t="s">
        <v>3358</v>
      </c>
      <c r="E45" s="1400"/>
      <c r="F45" s="1400"/>
      <c r="O45" s="1403" t="s">
        <v>808</v>
      </c>
      <c r="P45" s="1461"/>
      <c r="Q45" s="1461"/>
      <c r="R45" s="1461"/>
    </row>
    <row r="46" spans="1:18" s="1384" customFormat="1" ht="13.5" thickBot="1">
      <c r="A46" s="1404" t="s">
        <v>809</v>
      </c>
      <c r="C46" s="1405" t="e">
        <f ca="1">ROUND(C45,0)</f>
        <v>#N/A</v>
      </c>
      <c r="D46" s="1406" t="str">
        <f>C2</f>
        <v>万元</v>
      </c>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3388</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3389</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ROUND(F49*F51*F50*(1-F52),0)</f>
        <v>#N/A</v>
      </c>
      <c r="D49" s="1055" t="s">
        <v>695</v>
      </c>
      <c r="E49" s="1372" t="s">
        <v>780</v>
      </c>
      <c r="F49" s="1060"/>
      <c r="G49" s="1425"/>
      <c r="H49" s="723"/>
      <c r="I49" s="1421" t="s">
        <v>823</v>
      </c>
      <c r="J49" s="1426">
        <v>2003</v>
      </c>
      <c r="K49" s="1423" t="s">
        <v>824</v>
      </c>
      <c r="L49" s="1427"/>
      <c r="O49" s="1428" t="s">
        <v>405</v>
      </c>
      <c r="P49" s="1419" t="s">
        <v>825</v>
      </c>
      <c r="Q49" s="1420" t="e">
        <f ca="1">C29</f>
        <v>#N/A</v>
      </c>
      <c r="R49" s="1420" t="s">
        <v>818</v>
      </c>
    </row>
    <row r="50" spans="1:18" s="1384" customFormat="1" ht="13.5" thickBot="1">
      <c r="A50" s="976"/>
      <c r="B50" s="979"/>
      <c r="C50" s="980"/>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40</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0.05</v>
      </c>
      <c r="O52" s="1428" t="s">
        <v>408</v>
      </c>
      <c r="P52" s="1419" t="s">
        <v>834</v>
      </c>
      <c r="Q52" s="1420" t="e">
        <f ca="1">J53</f>
        <v>#N/A</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t="e">
        <f ca="1">IF(M47="住宅",IF(D1="——",MAX(J51,L48),MAX(J51,L48-'数据-取费表'!B24)),IF(D1="——",MIN(J51,L48),MIN(J51,L48-'数据-取费表'!B24)))</f>
        <v>#N/A</v>
      </c>
      <c r="K53" s="3636" t="s">
        <v>837</v>
      </c>
      <c r="L53" s="3637"/>
      <c r="O53" s="1418" t="s">
        <v>409</v>
      </c>
      <c r="P53" s="1419" t="s">
        <v>838</v>
      </c>
      <c r="Q53" s="1420" t="e">
        <f ca="1">Q47+Q48</f>
        <v>#N/A</v>
      </c>
      <c r="R53" s="1420" t="s">
        <v>410</v>
      </c>
    </row>
    <row r="54" spans="1:18" s="1384" customFormat="1" ht="13.5" thickBot="1">
      <c r="A54" s="975"/>
      <c r="B54" s="1473" t="s">
        <v>891</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t="s">
        <v>3391</v>
      </c>
      <c r="O55" s="1411" t="s">
        <v>811</v>
      </c>
      <c r="P55" s="1412" t="s">
        <v>812</v>
      </c>
      <c r="Q55" s="1413" t="s">
        <v>813</v>
      </c>
      <c r="R55" s="1413" t="s">
        <v>814</v>
      </c>
    </row>
    <row r="56" spans="1:18" s="1384" customFormat="1" ht="36" customHeight="1" thickTop="1" thickBot="1">
      <c r="A56" s="957">
        <v>2</v>
      </c>
      <c r="B56" s="958" t="s">
        <v>704</v>
      </c>
      <c r="C56" s="232" t="e">
        <f ca="1">C13</f>
        <v>#N/A</v>
      </c>
      <c r="D56" s="1447"/>
      <c r="E56" s="1448"/>
      <c r="F56" s="1440"/>
      <c r="I56" s="1449" t="s">
        <v>842</v>
      </c>
      <c r="J56" s="1450" t="s">
        <v>3382</v>
      </c>
      <c r="K56" s="1421" t="s">
        <v>843</v>
      </c>
      <c r="L56" s="1424" t="e">
        <f ca="1">IF(L48&lt;J51,"——",L48-J51)</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892</v>
      </c>
      <c r="L57" s="1424" t="e">
        <f ca="1">IF(L48&lt;J51,"——",IF(L55="比较法",L49,IF(L55="基准地价",L50,L51)))</f>
        <v>#N/A</v>
      </c>
      <c r="O57" s="1418" t="s">
        <v>404</v>
      </c>
      <c r="P57" s="1419" t="s">
        <v>893</v>
      </c>
      <c r="Q57" s="1420" t="e">
        <f ca="1">L60</f>
        <v>#N/A</v>
      </c>
      <c r="R57" s="1420" t="s">
        <v>894</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895</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1" t="e">
        <f ca="1">ROUND(POWER(1+L52,L47-(J51+'数据-取费表'!B24))*(POWER(1+L52,(J51+'数据-取费表'!B24))-1)/(POWER(1+L52,L47)-1),4)</f>
        <v>#N/A</v>
      </c>
      <c r="N59" s="1381" t="e">
        <f ca="1">ROUND(POWER(1+L52,L47-(J51+'数据-取费表'!B20))*(POWER(1+L52,(J51+'数据-取费表'!B20))-1)/(POWER(1+L52,L47)-1),4)</f>
        <v>#N/A</v>
      </c>
      <c r="O59" s="1428" t="s">
        <v>406</v>
      </c>
      <c r="P59" s="1419" t="s">
        <v>852</v>
      </c>
      <c r="Q59" s="1431">
        <f>L52</f>
        <v>0.05</v>
      </c>
      <c r="R59" s="1420"/>
    </row>
    <row r="60" spans="1:18" s="1384" customFormat="1" ht="16.5" thickBot="1">
      <c r="A60" s="982" t="s">
        <v>397</v>
      </c>
      <c r="B60" s="950" t="s">
        <v>723</v>
      </c>
      <c r="C60" s="21" t="e">
        <f ca="1">IF(项目基本情况!B11="自然人","——",ROUND(C48*F60/(1+'数据-取费表'!C42),0))</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IF(项目基本情况!B11="自然人","——",IF(D61="按租金收入计税",ROUND(C49*F61/(1+'数据-取费表'!C42),0),IF(D61="按房产原值计税",ROUND(C57*F61*0.7,0),INDIRECT("'数据-取费表'!Aj"&amp;$G$1))))</f>
        <v>#N/A</v>
      </c>
      <c r="D61" s="1370" t="s">
        <v>3341</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IF(项目基本情况!B11="自然人","——",ROUND(F62*F63,0))</f>
        <v>#N/A</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ROUND(C48*F66,0)</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0.05</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647" t="s">
        <v>2321</v>
      </c>
      <c r="K2" s="3648"/>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9" t="s">
        <v>2331</v>
      </c>
      <c r="K3" s="3650"/>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9" t="s">
        <v>2333</v>
      </c>
      <c r="K4" s="3650"/>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5" t="s">
        <v>2337</v>
      </c>
      <c r="B6" s="3656"/>
      <c r="C6" s="3657"/>
      <c r="D6" s="2870"/>
      <c r="E6" s="2871"/>
      <c r="F6" s="2872"/>
      <c r="G6" s="2873"/>
      <c r="H6" s="2848"/>
      <c r="I6" s="2849"/>
      <c r="J6" s="3641">
        <v>1</v>
      </c>
      <c r="K6" s="3642"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1"/>
      <c r="K7" s="3643"/>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8" t="s">
        <v>2351</v>
      </c>
      <c r="C8" s="3659"/>
      <c r="D8" s="2889" t="s">
        <v>2352</v>
      </c>
      <c r="E8" s="2890" t="s">
        <v>2353</v>
      </c>
      <c r="F8" s="2891" t="s">
        <v>2354</v>
      </c>
      <c r="G8" s="2892"/>
      <c r="H8" s="2848"/>
      <c r="I8" s="2849"/>
      <c r="J8" s="3641"/>
      <c r="K8" s="3643"/>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8" t="s">
        <v>2357</v>
      </c>
      <c r="C9" s="3659"/>
      <c r="D9" s="2889">
        <f>ROUND(D6*E9,0)</f>
        <v>0</v>
      </c>
      <c r="E9" s="2893"/>
      <c r="F9" s="2894" t="s">
        <v>2358</v>
      </c>
      <c r="G9" s="2873"/>
      <c r="H9" s="2848"/>
      <c r="I9" s="2849"/>
      <c r="J9" s="3641"/>
      <c r="K9" s="3643"/>
      <c r="L9" s="2883" t="s">
        <v>2359</v>
      </c>
      <c r="M9" s="2884"/>
      <c r="N9" s="2860"/>
      <c r="O9" s="2885"/>
      <c r="P9" s="2885"/>
      <c r="Q9" s="2886">
        <v>365</v>
      </c>
      <c r="R9" s="2887">
        <f t="shared" si="0"/>
        <v>0</v>
      </c>
      <c r="S9" s="2841"/>
      <c r="T9" s="2841"/>
      <c r="U9" s="2841"/>
      <c r="V9" s="2849"/>
    </row>
    <row r="10" spans="1:22" s="2853" customFormat="1" ht="13.15" customHeight="1">
      <c r="A10" s="2888">
        <v>2</v>
      </c>
      <c r="B10" s="3658" t="s">
        <v>2360</v>
      </c>
      <c r="C10" s="3659"/>
      <c r="D10" s="2889">
        <f>ROUND(D6*E10,0)</f>
        <v>0</v>
      </c>
      <c r="E10" s="2893"/>
      <c r="F10" s="2894" t="s">
        <v>2361</v>
      </c>
      <c r="G10" s="2873"/>
      <c r="H10" s="2848"/>
      <c r="I10" s="2849"/>
      <c r="J10" s="3641"/>
      <c r="K10" s="3643"/>
      <c r="L10" s="2883" t="s">
        <v>2362</v>
      </c>
      <c r="M10" s="2884"/>
      <c r="N10" s="2860"/>
      <c r="O10" s="2885"/>
      <c r="P10" s="2885"/>
      <c r="Q10" s="2886">
        <v>365</v>
      </c>
      <c r="R10" s="2887">
        <f t="shared" si="0"/>
        <v>0</v>
      </c>
      <c r="S10" s="2841"/>
      <c r="T10" s="2841"/>
      <c r="U10" s="2841"/>
      <c r="V10" s="2849"/>
    </row>
    <row r="11" spans="1:22" s="2853" customFormat="1" ht="13.15" customHeight="1">
      <c r="A11" s="2888">
        <v>3</v>
      </c>
      <c r="B11" s="3658" t="s">
        <v>2363</v>
      </c>
      <c r="C11" s="3659"/>
      <c r="D11" s="2889">
        <f>D12+D14+D15+D16</f>
        <v>0</v>
      </c>
      <c r="E11" s="2895" t="e">
        <f>D11/D6</f>
        <v>#DIV/0!</v>
      </c>
      <c r="F11" s="2891"/>
      <c r="G11" s="2892"/>
      <c r="H11" s="2848"/>
      <c r="I11" s="2849"/>
      <c r="J11" s="3641"/>
      <c r="K11" s="3643"/>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1" t="s">
        <v>2366</v>
      </c>
      <c r="C12" s="3652"/>
      <c r="D12" s="2897">
        <f>ROUND(D13*1.2%*(1-30%),0)</f>
        <v>0</v>
      </c>
      <c r="E12" s="2898">
        <v>1.2E-2</v>
      </c>
      <c r="F12" s="2891" t="s">
        <v>2367</v>
      </c>
      <c r="G12" s="2892"/>
      <c r="H12" s="2848"/>
      <c r="I12" s="2849"/>
      <c r="J12" s="3641"/>
      <c r="K12" s="3643"/>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1"/>
      <c r="K13" s="3643"/>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1" t="s">
        <v>2372</v>
      </c>
      <c r="C14" s="3652"/>
      <c r="D14" s="2897">
        <f>ROUND(E14*B5/10000,0)</f>
        <v>0</v>
      </c>
      <c r="E14" s="2886"/>
      <c r="F14" s="2891" t="s">
        <v>2373</v>
      </c>
      <c r="G14" s="2892"/>
      <c r="H14" s="2848"/>
      <c r="I14" s="2849"/>
      <c r="J14" s="3641"/>
      <c r="K14" s="3644"/>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1" t="s">
        <v>2376</v>
      </c>
      <c r="C15" s="3652"/>
      <c r="D15" s="2897">
        <f>ROUND(D6*E15,0)</f>
        <v>0</v>
      </c>
      <c r="E15" s="2898">
        <v>5.5E-2</v>
      </c>
      <c r="F15" s="2891" t="s">
        <v>2377</v>
      </c>
      <c r="G15" s="2873"/>
      <c r="H15" s="2848"/>
      <c r="I15" s="2849"/>
      <c r="J15" s="3641">
        <v>2</v>
      </c>
      <c r="K15" s="3642"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1" t="s">
        <v>2385</v>
      </c>
      <c r="C16" s="3652"/>
      <c r="D16" s="2908">
        <f>D6*E16</f>
        <v>0</v>
      </c>
      <c r="E16" s="2909"/>
      <c r="F16" s="2894" t="s">
        <v>2386</v>
      </c>
      <c r="G16" s="2873"/>
      <c r="H16" s="2848"/>
      <c r="I16" s="2849"/>
      <c r="J16" s="3641"/>
      <c r="K16" s="3643"/>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3" t="s">
        <v>2388</v>
      </c>
      <c r="C17" s="3654"/>
      <c r="D17" s="2911">
        <f>ROUND(D6*E17,0)</f>
        <v>0</v>
      </c>
      <c r="E17" s="2912"/>
      <c r="F17" s="2913" t="s">
        <v>2389</v>
      </c>
      <c r="G17" s="2873"/>
      <c r="H17" s="2848"/>
      <c r="I17" s="2849"/>
      <c r="J17" s="3641"/>
      <c r="K17" s="3643"/>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1"/>
      <c r="K18" s="3643"/>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1"/>
      <c r="K19" s="3644"/>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1">
        <v>3</v>
      </c>
      <c r="K20" s="3642"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1"/>
      <c r="K21" s="3643"/>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1"/>
      <c r="K22" s="3643"/>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1"/>
      <c r="K23" s="3643"/>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1"/>
      <c r="K24" s="3644"/>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5">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7" t="s">
        <v>2321</v>
      </c>
      <c r="K32" s="3648"/>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9" t="s">
        <v>2331</v>
      </c>
      <c r="K33" s="3650"/>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9" t="s">
        <v>2333</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1">
        <v>1</v>
      </c>
      <c r="K36" s="3642"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1"/>
      <c r="K37" s="3643"/>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1"/>
      <c r="K38" s="3643"/>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1"/>
      <c r="K39" s="3643"/>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1"/>
      <c r="K40" s="3644"/>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5">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1885</v>
      </c>
      <c r="C2" s="1872" t="s">
        <v>1651</v>
      </c>
      <c r="D2" s="1873" t="s">
        <v>1652</v>
      </c>
      <c r="E2" s="2607">
        <f>SUM(E6:E13)</f>
        <v>3658.15</v>
      </c>
      <c r="F2" s="2707"/>
      <c r="G2" s="1489"/>
      <c r="H2" s="1489"/>
      <c r="I2" s="1489"/>
      <c r="J2" s="1489"/>
      <c r="K2" s="1489"/>
      <c r="L2" s="1489"/>
      <c r="M2" s="1489"/>
      <c r="N2" s="1489"/>
      <c r="O2" s="1489"/>
      <c r="P2" s="1489"/>
      <c r="Q2" s="1489"/>
      <c r="R2" s="1489"/>
      <c r="S2" s="1489"/>
    </row>
    <row r="3" spans="1:22" ht="15.75">
      <c r="A3" s="1870" t="s">
        <v>686</v>
      </c>
      <c r="B3" s="2601">
        <f ca="1">ROUND(B2*10000/E2,0)</f>
        <v>5153</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1885</v>
      </c>
      <c r="C6" s="1872" t="s">
        <v>1651</v>
      </c>
      <c r="D6" s="2709"/>
      <c r="E6" s="2606">
        <f>IF(OR(A6=0,F6="否"),0,'数据-取费表'!K6+'数据-取费表'!S6)</f>
        <v>3658.15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3658.15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3658.15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3658.15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5"/>
      <c r="M5" s="2716"/>
      <c r="N5" s="2716"/>
      <c r="O5" s="2716"/>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45114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3658.15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45114</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45114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45114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45114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65"/>
      <c r="Q10" s="1343" t="str">
        <f t="shared" si="6"/>
        <v>土地使用年限（年）</v>
      </c>
      <c r="R10" s="701" t="s">
        <v>14</v>
      </c>
      <c r="S10" s="702">
        <f t="shared" si="0"/>
        <v>107</v>
      </c>
      <c r="T10" s="701" t="s">
        <v>14</v>
      </c>
      <c r="U10" s="702">
        <f t="shared" si="1"/>
        <v>107</v>
      </c>
      <c r="V10" s="701" t="s">
        <v>14</v>
      </c>
      <c r="W10" s="702">
        <f t="shared" si="2"/>
        <v>107</v>
      </c>
      <c r="X10" s="703"/>
      <c r="Y10" s="3540"/>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5" t="str">
        <f>A47</f>
        <v>比较价值（元/平方米）</v>
      </c>
      <c r="Q47" s="3665"/>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2" t="str">
        <f>A48</f>
        <v>估价对象XX用房的比较价值（楼面单价，元/平方米）</v>
      </c>
      <c r="Q48" s="3663"/>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3658.15</v>
      </c>
      <c r="F56" s="886" t="e">
        <f t="shared" ref="F56:F64" si="15">ROUND(B56*E56/10000,0)</f>
        <v>#DIV/0!</v>
      </c>
      <c r="G56" s="3676"/>
      <c r="H56" s="366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0.1</v>
      </c>
      <c r="D62" s="945">
        <v>0.25</v>
      </c>
      <c r="E62" s="217">
        <f>'数据-汇总表'!E13</f>
        <v>0</v>
      </c>
      <c r="F62" s="886" t="e">
        <f t="shared" si="15"/>
        <v>#DIV/0!</v>
      </c>
      <c r="G62" s="892" t="s">
        <v>1900</v>
      </c>
      <c r="H62" s="887" t="str">
        <f>IF(G62="商业",项目基本情况!B37,IF(G62="办公",项目基本情况!C37,IF(G62="住宅",项目基本情况!D37,项目基本情况!E37)))</f>
        <v>八级</v>
      </c>
      <c r="I62" s="891">
        <f>SUMIF(修正!A57:A68,H62,修正!G57:G68)</f>
        <v>0.1</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3658.15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45114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65"/>
      <c r="Q10" s="1343" t="str">
        <f t="shared" si="6"/>
        <v>土地使用年限（年）</v>
      </c>
      <c r="R10" s="701" t="s">
        <v>14</v>
      </c>
      <c r="S10" s="702">
        <f t="shared" si="0"/>
        <v>107</v>
      </c>
      <c r="T10" s="701" t="s">
        <v>14</v>
      </c>
      <c r="U10" s="702">
        <f t="shared" si="1"/>
        <v>107</v>
      </c>
      <c r="V10" s="701" t="s">
        <v>14</v>
      </c>
      <c r="W10" s="702">
        <f t="shared" si="2"/>
        <v>107</v>
      </c>
      <c r="X10" s="703"/>
      <c r="Y10" s="3540"/>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5" t="str">
        <f>A42</f>
        <v>比较价值（元/平方米）</v>
      </c>
      <c r="Q42" s="3665"/>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2" t="str">
        <f>A43</f>
        <v>估价对象XX用房的比较价值（楼面单价，元/平方米）</v>
      </c>
      <c r="Q43" s="3663"/>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3658.15</v>
      </c>
      <c r="F51" s="639" t="e">
        <f t="shared" ref="F51:F60" si="15">ROUND(B51*E51/10000,0)</f>
        <v>#DIV/0!</v>
      </c>
      <c r="G51" s="3676"/>
      <c r="H51" s="366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0.1</v>
      </c>
      <c r="D58" s="945">
        <v>0.25</v>
      </c>
      <c r="E58" s="217">
        <f>'数据-汇总表'!E13</f>
        <v>0</v>
      </c>
      <c r="F58" s="639" t="e">
        <f t="shared" si="15"/>
        <v>#DIV/0!</v>
      </c>
      <c r="G58" s="892" t="s">
        <v>1900</v>
      </c>
      <c r="H58" s="887" t="str">
        <f>IF(G58="商业",项目基本情况!B37,IF(G58="办公",项目基本情况!C37,IF(G58="住宅",项目基本情况!D37,项目基本情况!E37)))</f>
        <v>八级</v>
      </c>
      <c r="I58" s="773">
        <f>SUMIF(修正!A57:A68,H58,修正!G57:G68)</f>
        <v>0.1</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1790.41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3388</v>
      </c>
      <c r="C2" s="2145" t="s">
        <v>2074</v>
      </c>
      <c r="D2" s="2145" t="s">
        <v>2075</v>
      </c>
      <c r="E2" s="2612">
        <f ca="1">SUMIF(E6:E13,"&lt;&gt;#ref!",E6:E13)</f>
        <v>3658.15</v>
      </c>
      <c r="F2" s="2793"/>
      <c r="G2" s="2793"/>
      <c r="H2" s="2793"/>
      <c r="I2" s="2793"/>
      <c r="J2" s="2793"/>
      <c r="K2" s="2793"/>
      <c r="L2" s="2793"/>
      <c r="M2" s="2793"/>
      <c r="N2" s="2793"/>
      <c r="O2" s="2793"/>
      <c r="P2" s="2793"/>
    </row>
    <row r="3" spans="1:16" ht="15.75">
      <c r="A3" s="2145" t="s">
        <v>2076</v>
      </c>
      <c r="B3" s="2602">
        <f ca="1">ROUND(B2*10000/E2,0)</f>
        <v>9262</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3388</v>
      </c>
      <c r="C6" s="2145" t="s">
        <v>2074</v>
      </c>
      <c r="D6" s="2793"/>
      <c r="E6" s="2612">
        <f ca="1">SUMIF(INDIRECT("'"&amp;A6&amp;"'"&amp;"!C:C"),"建筑面积",INDIRECT("'"&amp;A6&amp;"'"&amp;"!D:D"))</f>
        <v>3658.15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E16" sqref="E1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 ca="1">SUM(D33:D34,D37:D42)</f>
        <v>3658.15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 ca="1">C30</f>
        <v>3388</v>
      </c>
      <c r="C2" s="1999" t="s">
        <v>1935</v>
      </c>
      <c r="D2" s="2000" t="s">
        <v>1936</v>
      </c>
      <c r="E2" s="3422" t="s">
        <v>3384</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Ⅷ-密1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15587</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 ca="1">ROUND(B2*10000/D1,0)</f>
        <v>9262</v>
      </c>
      <c r="C3" s="1999" t="s">
        <v>1941</v>
      </c>
      <c r="D3" s="2000" t="s">
        <v>1942</v>
      </c>
      <c r="E3" s="3420" t="s">
        <v>3393</v>
      </c>
      <c r="F3" s="2004" t="s">
        <v>3394</v>
      </c>
      <c r="G3" s="752">
        <f>IF(F3="宗地容积率",'数据-汇总表'!I4,IF(F3="估价对象容积率",'数据-汇总表'!I6,'数据-汇总表'!I7))</f>
        <v>2.04</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12014</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9800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9622</v>
      </c>
      <c r="D5" s="1339">
        <f>ROUND(C6*C17+C20,0)</f>
        <v>8337</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8320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8290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7580</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2.04</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8290</v>
      </c>
      <c r="N8" s="866">
        <f>SUMPRODUCT((因素修正幅度!B234:B276=I2)*(因素修正幅度!C3:G3=E2)*(因素修正幅度!C234:G276))</f>
        <v>0.11799999999999999</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1.155</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t="s">
        <v>3419</v>
      </c>
      <c r="D15" s="2044" t="s">
        <v>3419</v>
      </c>
      <c r="E15" s="2045" t="s">
        <v>3395</v>
      </c>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v>1.1000000000000001</v>
      </c>
      <c r="D16" s="3318">
        <v>1.05</v>
      </c>
      <c r="E16" s="3318">
        <v>1</v>
      </c>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0.96709999999999996</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f>ROUND(IF(F21="与级别开发程度一致",0,(G21-E21)/C21),0)</f>
        <v>47</v>
      </c>
      <c r="D20" s="3341" t="s">
        <v>1998</v>
      </c>
      <c r="E20" s="3342"/>
      <c r="F20" s="3755" t="s">
        <v>1995</v>
      </c>
      <c r="G20" s="3756"/>
      <c r="H20" s="3326" t="s">
        <v>3396</v>
      </c>
      <c r="I20" s="3326" t="s">
        <v>3397</v>
      </c>
      <c r="J20" s="3327" t="s">
        <v>3398</v>
      </c>
      <c r="K20" s="2047" t="s">
        <v>3399</v>
      </c>
      <c r="L20" s="2047" t="s">
        <v>3400</v>
      </c>
      <c r="M20" s="2047" t="s">
        <v>3401</v>
      </c>
      <c r="N20" s="2047" t="s">
        <v>3415</v>
      </c>
      <c r="O20" s="2048" t="s">
        <v>3416</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3414</v>
      </c>
      <c r="G21" s="2157">
        <f>SUM(H21:O21)</f>
        <v>255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40</v>
      </c>
      <c r="O21" s="2167">
        <f>SUMPRODUCT((七通一平=O20)*(修正!B1:M1=G2)*(修正!B8:M16))</f>
        <v>30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1.0573999999999999</v>
      </c>
      <c r="D23" s="2054" t="s">
        <v>2002</v>
      </c>
      <c r="E23" s="761">
        <v>44197</v>
      </c>
      <c r="F23" s="2054" t="s">
        <v>2003</v>
      </c>
      <c r="G23" s="762">
        <f>'数据-取费表'!B2</f>
        <v>45114</v>
      </c>
      <c r="H23" s="3343" t="s">
        <v>3261</v>
      </c>
      <c r="I23" s="3344" t="str">
        <f>IF(H23="季度增幅（自定义）",SUMIF(N25:N28,E2,O25:O28),"")</f>
        <v/>
      </c>
      <c r="J23" s="3446" t="s">
        <v>3402</v>
      </c>
      <c r="K23" s="1125"/>
      <c r="L23" s="2055" t="s">
        <v>2004</v>
      </c>
      <c r="M23" s="1328">
        <f>ROUND(SUMIF(地价!B2:G2,E2,地价!B16:G16),0)</f>
        <v>687</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0.93640000000000001</v>
      </c>
      <c r="D24" s="2060" t="s">
        <v>2007</v>
      </c>
      <c r="E24" s="1335">
        <f>存贷款利率!E23/100</f>
        <v>4.3499999999999997E-2</v>
      </c>
      <c r="F24" s="2060" t="s">
        <v>1999</v>
      </c>
      <c r="G24" s="768">
        <f>SUMIF(M30:Q30,E2,M33:Q33)</f>
        <v>0.05</v>
      </c>
      <c r="H24" s="2060" t="s">
        <v>2008</v>
      </c>
      <c r="I24" s="769">
        <f>SUMIF('数据-取费表'!C6:C15,E2,'数据-取费表'!F6:F15)/COUNTIF('数据-取费表'!C6:C15,E2)</f>
        <v>48.38</v>
      </c>
      <c r="J24" s="770">
        <f>IF(E2="住宅",70,IF(E2="商业",40,50))</f>
        <v>70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0.91610000000000003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0.91610000000000003</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0.92130000000000001</v>
      </c>
      <c r="G26" s="752">
        <f>ROUNDUP(G3,1)</f>
        <v>2.1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0.90820000000000001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1.0610999999999999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 ca="1">IF(B25="容积率修正",E33+SUM(E37:E42),SUM(V2:V16)+SUM(E37:E42))</f>
        <v>3388</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9261</v>
      </c>
      <c r="D33" s="2098">
        <f ca="1">'成本法 (元)'!D9</f>
        <v>3658.15</v>
      </c>
      <c r="E33" s="773">
        <f ca="1">ROUND(C33*D33/10000,0)</f>
        <v>3388</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2315</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4380</v>
      </c>
      <c r="D37" s="2098"/>
      <c r="E37" s="171">
        <f>ROUND(C37*D37/10000,0)</f>
        <v>0</v>
      </c>
      <c r="F37" s="171">
        <f>SUMIF(修正!A57:A68,G2,修正!B57:B68)</f>
        <v>0.5</v>
      </c>
      <c r="G37" s="171">
        <f>ROUND(IF(E2="工业",C37*$M$42,C37*$M$41),0)</f>
        <v>1095</v>
      </c>
      <c r="H37" s="171">
        <f>D37</f>
        <v>0</v>
      </c>
      <c r="I37" s="171">
        <f>ROUND(G37*H37/10000,0)</f>
        <v>0</v>
      </c>
      <c r="J37" s="3012"/>
      <c r="K37" s="3359" t="s">
        <v>3271</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1752</v>
      </c>
      <c r="D38" s="2098"/>
      <c r="E38" s="171">
        <f t="shared" ref="E38:E42" si="4">ROUND(C38*D38/10000,0)</f>
        <v>0</v>
      </c>
      <c r="F38" s="171">
        <f>SUMIF(修正!A57:A68,G2,修正!C57:C68)</f>
        <v>0.2</v>
      </c>
      <c r="G38" s="171">
        <f>ROUND(IF(E2="工业",C38*$M$42,C38*$M$41),0)</f>
        <v>438</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3264</v>
      </c>
      <c r="C39" s="175">
        <f>ROUND(D5*C22*C23*C24*C28*F39,0)</f>
        <v>1752</v>
      </c>
      <c r="D39" s="2098"/>
      <c r="E39" s="171">
        <f t="shared" si="4"/>
        <v>0</v>
      </c>
      <c r="F39" s="171">
        <f>SUMIF(修正!A57:A68,G2,修正!D57:D68)</f>
        <v>0.2</v>
      </c>
      <c r="G39" s="171">
        <f>ROUND(IF(E2="工业",C39*$M$42,C39*$M$41),0)</f>
        <v>438</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1752</v>
      </c>
      <c r="D40" s="2098"/>
      <c r="E40" s="171">
        <f t="shared" si="4"/>
        <v>0</v>
      </c>
      <c r="F40" s="175">
        <f>SUMIF(修正!A57:A68,G2,修正!E57:E68)</f>
        <v>0.2</v>
      </c>
      <c r="G40" s="171">
        <f>ROUND(IF(E2="工业",C40*$M$42,C40*$M$41),0)</f>
        <v>438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1.0610999999999999</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t="s">
        <v>3403</v>
      </c>
      <c r="D72" s="1065">
        <f t="shared" ref="D72:D80" si="17">SUMIF($J$71:$N$71,C72,J72:N72)</f>
        <v>1.18E-2</v>
      </c>
      <c r="E72" s="744">
        <f>ROUND(SUM(D72:D80),4)</f>
        <v>6.1100000000000002E-2</v>
      </c>
      <c r="F72" s="1814">
        <f>IF(E2="住宅",SUMIF(L1:L12,G2,N1:N12),"——")</f>
        <v>0.11799999999999999</v>
      </c>
      <c r="G72" s="1063">
        <f>H72</f>
        <v>1.18E-2</v>
      </c>
      <c r="H72" s="1066">
        <f t="shared" ref="H72:H80" si="18">IFERROR(ROUNDDOWN($F$72*I72/2,4),"——")</f>
        <v>1.18E-2</v>
      </c>
      <c r="I72" s="3367">
        <v>0.2</v>
      </c>
      <c r="J72" s="1064">
        <f t="shared" ref="J72:J80" si="19">K72+$G72</f>
        <v>2.3599999999999999E-2</v>
      </c>
      <c r="K72" s="1064">
        <f t="shared" ref="K72:K80" si="20">$L72+$G72</f>
        <v>1.18E-2</v>
      </c>
      <c r="L72" s="1064">
        <v>0</v>
      </c>
      <c r="M72" s="1064">
        <f t="shared" ref="M72:N80" si="21">L72-$G72</f>
        <v>-1.18E-2</v>
      </c>
      <c r="N72" s="1064">
        <f t="shared" si="21"/>
        <v>-2.3599999999999999E-2</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t="s">
        <v>3403</v>
      </c>
      <c r="D73" s="1065">
        <f t="shared" si="17"/>
        <v>1.5299999999999999E-2</v>
      </c>
      <c r="E73" s="747"/>
      <c r="F73" s="1814"/>
      <c r="G73" s="1063">
        <f t="shared" ref="G73:G80" si="22">H73</f>
        <v>1.5299999999999999E-2</v>
      </c>
      <c r="H73" s="1066">
        <f t="shared" si="18"/>
        <v>1.5299999999999999E-2</v>
      </c>
      <c r="I73" s="3367">
        <v>0.26</v>
      </c>
      <c r="J73" s="1064">
        <f t="shared" si="19"/>
        <v>3.0599999999999999E-2</v>
      </c>
      <c r="K73" s="1064">
        <f t="shared" si="20"/>
        <v>1.5299999999999999E-2</v>
      </c>
      <c r="L73" s="1064">
        <v>0</v>
      </c>
      <c r="M73" s="1064">
        <f t="shared" si="21"/>
        <v>-1.5299999999999999E-2</v>
      </c>
      <c r="N73" s="1064">
        <f t="shared" si="21"/>
        <v>-3.0599999999999999E-2</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t="s">
        <v>3403</v>
      </c>
      <c r="D74" s="1065">
        <f t="shared" si="17"/>
        <v>5.8999999999999999E-3</v>
      </c>
      <c r="E74" s="747"/>
      <c r="F74" s="1814"/>
      <c r="G74" s="1063">
        <f t="shared" si="22"/>
        <v>5.8999999999999999E-3</v>
      </c>
      <c r="H74" s="1066">
        <f t="shared" si="18"/>
        <v>5.8999999999999999E-3</v>
      </c>
      <c r="I74" s="3367">
        <v>0.1</v>
      </c>
      <c r="J74" s="1064">
        <f t="shared" si="19"/>
        <v>1.18E-2</v>
      </c>
      <c r="K74" s="1064">
        <f t="shared" si="20"/>
        <v>5.8999999999999999E-3</v>
      </c>
      <c r="L74" s="1064">
        <v>0</v>
      </c>
      <c r="M74" s="1064">
        <f t="shared" si="21"/>
        <v>-5.8999999999999999E-3</v>
      </c>
      <c r="N74" s="1064">
        <f t="shared" si="21"/>
        <v>-1.18E-2</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t="s">
        <v>3418</v>
      </c>
      <c r="D75" s="1065">
        <f t="shared" si="17"/>
        <v>-2.8999999999999998E-3</v>
      </c>
      <c r="E75" s="747"/>
      <c r="F75" s="1814"/>
      <c r="G75" s="1063">
        <f t="shared" si="22"/>
        <v>2.8999999999999998E-3</v>
      </c>
      <c r="H75" s="1066">
        <f t="shared" si="18"/>
        <v>2.8999999999999998E-3</v>
      </c>
      <c r="I75" s="3367">
        <v>0.05</v>
      </c>
      <c r="J75" s="1064">
        <f t="shared" si="19"/>
        <v>5.7999999999999996E-3</v>
      </c>
      <c r="K75" s="1064">
        <f t="shared" si="20"/>
        <v>2.8999999999999998E-3</v>
      </c>
      <c r="L75" s="1064">
        <v>0</v>
      </c>
      <c r="M75" s="1064">
        <f t="shared" si="21"/>
        <v>-2.8999999999999998E-3</v>
      </c>
      <c r="N75" s="1064">
        <f t="shared" si="21"/>
        <v>-5.7999999999999996E-3</v>
      </c>
      <c r="O75" s="1119"/>
      <c r="P75" s="1119"/>
      <c r="Q75" s="1997"/>
      <c r="Z75" s="1998"/>
      <c r="AA75" s="2053"/>
      <c r="AG75" s="1121"/>
      <c r="AK75" s="2053"/>
    </row>
    <row r="76" spans="1:37" ht="25.5">
      <c r="A76" s="2130" t="s">
        <v>2059</v>
      </c>
      <c r="B76" s="1326" t="str">
        <f>估价对象房地状况!C21</f>
        <v>估价对象所在区域公共配套设施齐备情况</v>
      </c>
      <c r="C76" s="2044" t="s">
        <v>3403</v>
      </c>
      <c r="D76" s="1065">
        <f t="shared" si="17"/>
        <v>4.7000000000000002E-3</v>
      </c>
      <c r="E76" s="747"/>
      <c r="F76" s="1814"/>
      <c r="G76" s="1063">
        <f t="shared" si="22"/>
        <v>4.7000000000000002E-3</v>
      </c>
      <c r="H76" s="1066">
        <f t="shared" si="18"/>
        <v>4.7000000000000002E-3</v>
      </c>
      <c r="I76" s="3367">
        <v>0.08</v>
      </c>
      <c r="J76" s="1064">
        <f t="shared" si="19"/>
        <v>9.4000000000000004E-3</v>
      </c>
      <c r="K76" s="1064">
        <f t="shared" si="20"/>
        <v>4.7000000000000002E-3</v>
      </c>
      <c r="L76" s="1064">
        <v>0</v>
      </c>
      <c r="M76" s="1064">
        <f t="shared" si="21"/>
        <v>-4.7000000000000002E-3</v>
      </c>
      <c r="N76" s="1064">
        <f t="shared" si="21"/>
        <v>-9.4000000000000004E-3</v>
      </c>
      <c r="O76" s="1119"/>
      <c r="P76" s="1119"/>
      <c r="Z76" s="1998"/>
      <c r="AA76" s="2053"/>
      <c r="AG76" s="1121"/>
      <c r="AK76" s="2053"/>
    </row>
    <row r="77" spans="1:37" ht="25.5">
      <c r="A77" s="2130" t="s">
        <v>2060</v>
      </c>
      <c r="B77" s="1326" t="str">
        <f>估价对象房地状况!C22</f>
        <v>估价对象所在区域基础设施水平</v>
      </c>
      <c r="C77" s="2044" t="s">
        <v>3404</v>
      </c>
      <c r="D77" s="1065">
        <f t="shared" si="17"/>
        <v>1.06E-2</v>
      </c>
      <c r="E77" s="747"/>
      <c r="F77" s="1814"/>
      <c r="G77" s="1063">
        <f t="shared" si="22"/>
        <v>5.3E-3</v>
      </c>
      <c r="H77" s="1066">
        <f t="shared" si="18"/>
        <v>5.3E-3</v>
      </c>
      <c r="I77" s="3367">
        <v>0.09</v>
      </c>
      <c r="J77" s="1064">
        <f t="shared" si="19"/>
        <v>1.06E-2</v>
      </c>
      <c r="K77" s="1064">
        <f t="shared" si="20"/>
        <v>5.3E-3</v>
      </c>
      <c r="L77" s="1064">
        <v>0</v>
      </c>
      <c r="M77" s="1064">
        <f t="shared" si="21"/>
        <v>-5.3E-3</v>
      </c>
      <c r="N77" s="1064">
        <f t="shared" si="21"/>
        <v>-1.06E-2</v>
      </c>
      <c r="O77" s="1119"/>
      <c r="P77" s="1119"/>
      <c r="Z77" s="1998"/>
      <c r="AA77" s="2053"/>
      <c r="AG77" s="1121"/>
      <c r="AK77" s="2053"/>
    </row>
    <row r="78" spans="1:37" ht="24">
      <c r="A78" s="2130" t="s">
        <v>2057</v>
      </c>
      <c r="B78" s="2136" t="s">
        <v>2058</v>
      </c>
      <c r="C78" s="2044" t="s">
        <v>3403</v>
      </c>
      <c r="D78" s="1065">
        <f t="shared" si="17"/>
        <v>2.8999999999999998E-3</v>
      </c>
      <c r="E78" s="747"/>
      <c r="F78" s="1814"/>
      <c r="G78" s="1063">
        <f t="shared" si="22"/>
        <v>2.8999999999999998E-3</v>
      </c>
      <c r="H78" s="1066">
        <f t="shared" si="18"/>
        <v>2.8999999999999998E-3</v>
      </c>
      <c r="I78" s="3367">
        <v>0.05</v>
      </c>
      <c r="J78" s="1064">
        <f t="shared" si="19"/>
        <v>5.7999999999999996E-3</v>
      </c>
      <c r="K78" s="1064">
        <f t="shared" si="20"/>
        <v>2.8999999999999998E-3</v>
      </c>
      <c r="L78" s="1064">
        <v>0</v>
      </c>
      <c r="M78" s="1064">
        <f t="shared" si="21"/>
        <v>-2.8999999999999998E-3</v>
      </c>
      <c r="N78" s="1064">
        <f t="shared" si="21"/>
        <v>-5.7999999999999996E-3</v>
      </c>
      <c r="O78" s="1997"/>
      <c r="P78" s="1997"/>
      <c r="Z78" s="1998"/>
      <c r="AA78" s="2053"/>
      <c r="AG78" s="1121"/>
      <c r="AK78" s="2053"/>
    </row>
    <row r="79" spans="1:37" ht="25.5">
      <c r="A79" s="2130" t="s">
        <v>2061</v>
      </c>
      <c r="B79" s="2133" t="str">
        <f>估价对象房地状况!C20</f>
        <v>区域自然环境：；人文环境；综合评价环境状况一般</v>
      </c>
      <c r="C79" s="2044" t="s">
        <v>3403</v>
      </c>
      <c r="D79" s="1065">
        <f t="shared" si="17"/>
        <v>7.0000000000000001E-3</v>
      </c>
      <c r="E79" s="747"/>
      <c r="F79" s="1814"/>
      <c r="G79" s="1063">
        <f t="shared" si="22"/>
        <v>7.0000000000000001E-3</v>
      </c>
      <c r="H79" s="1066">
        <f t="shared" si="18"/>
        <v>7.0000000000000001E-3</v>
      </c>
      <c r="I79" s="3367">
        <v>0.12</v>
      </c>
      <c r="J79" s="1064">
        <f t="shared" si="19"/>
        <v>1.4E-2</v>
      </c>
      <c r="K79" s="1064">
        <f t="shared" si="20"/>
        <v>7.0000000000000001E-3</v>
      </c>
      <c r="L79" s="1064">
        <v>0</v>
      </c>
      <c r="M79" s="1064">
        <f t="shared" si="21"/>
        <v>-7.0000000000000001E-3</v>
      </c>
      <c r="N79" s="1064">
        <f t="shared" si="21"/>
        <v>-1.4E-2</v>
      </c>
      <c r="Z79" s="1998"/>
      <c r="AA79" s="2053"/>
      <c r="AG79" s="1121"/>
      <c r="AK79" s="2053"/>
    </row>
    <row r="80" spans="1:37" ht="24.75" thickBot="1">
      <c r="A80" s="2138" t="s">
        <v>2068</v>
      </c>
      <c r="B80" s="2142"/>
      <c r="C80" s="2044" t="s">
        <v>3404</v>
      </c>
      <c r="D80" s="1065">
        <f t="shared" si="17"/>
        <v>5.7999999999999996E-3</v>
      </c>
      <c r="E80" s="748"/>
      <c r="F80" s="1814"/>
      <c r="G80" s="1063">
        <f t="shared" si="22"/>
        <v>2.8999999999999998E-3</v>
      </c>
      <c r="H80" s="1066">
        <f t="shared" si="18"/>
        <v>2.8999999999999998E-3</v>
      </c>
      <c r="I80" s="3368">
        <v>0.05</v>
      </c>
      <c r="J80" s="1064">
        <f t="shared" si="19"/>
        <v>5.7999999999999996E-3</v>
      </c>
      <c r="K80" s="1064">
        <f t="shared" si="20"/>
        <v>2.8999999999999998E-3</v>
      </c>
      <c r="L80" s="1064">
        <v>0</v>
      </c>
      <c r="M80" s="1064">
        <f t="shared" si="21"/>
        <v>-2.8999999999999998E-3</v>
      </c>
      <c r="N80" s="1064">
        <f t="shared" si="21"/>
        <v>-5.7999999999999996E-3</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1" t="s">
        <v>3299</v>
      </c>
      <c r="B103" s="3751"/>
      <c r="C103" s="3751"/>
      <c r="D103" s="3751"/>
      <c r="E103" s="3751"/>
      <c r="F103" s="3751"/>
      <c r="G103" s="3751"/>
      <c r="H103" s="3751"/>
      <c r="I103" s="3751"/>
      <c r="J103" s="3751"/>
      <c r="K103" s="3390"/>
      <c r="L103" s="3390"/>
      <c r="M103" s="3390"/>
      <c r="N103" s="3390"/>
    </row>
    <row r="104" spans="1:14">
      <c r="A104" s="3752" t="s">
        <v>3300</v>
      </c>
      <c r="B104" s="3752" t="s">
        <v>3301</v>
      </c>
      <c r="C104" s="3391" t="s">
        <v>3302</v>
      </c>
      <c r="D104" s="3392"/>
      <c r="E104" s="3392"/>
      <c r="F104" s="3392"/>
      <c r="G104" s="3392"/>
      <c r="H104" s="3392"/>
      <c r="I104" s="3392"/>
      <c r="J104" s="3393"/>
      <c r="K104" s="3394"/>
      <c r="L104" s="3394"/>
      <c r="M104" s="3394"/>
      <c r="N104" s="3394"/>
    </row>
    <row r="105" spans="1:14">
      <c r="A105" s="3752"/>
      <c r="B105" s="3752"/>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8"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1" t="s">
        <v>3316</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2.04</v>
      </c>
      <c r="C116" s="3400" t="s">
        <v>3318</v>
      </c>
      <c r="D116" s="3401">
        <f>SUMPRODUCT((A118:A122=F116)*(B117:M117=H116)*B118:M122)</f>
        <v>0.75880000000000003</v>
      </c>
      <c r="E116" s="2000" t="s">
        <v>3319</v>
      </c>
      <c r="F116" s="3402" t="str">
        <f>E2</f>
        <v>住宅</v>
      </c>
      <c r="G116" s="2000" t="s">
        <v>3320</v>
      </c>
      <c r="H116" s="3402" t="str">
        <f>G2</f>
        <v>八级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0.97440000000000004</v>
      </c>
      <c r="C118" s="3388">
        <f>B118</f>
        <v>0.97440000000000004</v>
      </c>
      <c r="D118" s="3388">
        <f>ROUND(0.949-0.014*B116,4)</f>
        <v>0.9204</v>
      </c>
      <c r="E118" s="3388">
        <f>D118</f>
        <v>0.9204</v>
      </c>
      <c r="F118" s="3388">
        <f>E118</f>
        <v>0.9204</v>
      </c>
      <c r="G118" s="3388">
        <f>F118</f>
        <v>0.9204</v>
      </c>
      <c r="H118" s="3388">
        <f>G118</f>
        <v>0.9204</v>
      </c>
      <c r="I118" s="3388">
        <f>ROUND(0.8486-0.018*B116,4)</f>
        <v>0.81189999999999996</v>
      </c>
      <c r="J118" s="3388">
        <f t="shared" ref="J118:M122" si="36">I118</f>
        <v>0.81189999999999996</v>
      </c>
      <c r="K118" s="3388">
        <f t="shared" si="36"/>
        <v>0.81189999999999996</v>
      </c>
      <c r="L118" s="3388">
        <f t="shared" si="36"/>
        <v>0.81189999999999996</v>
      </c>
      <c r="M118" s="3411">
        <f t="shared" si="36"/>
        <v>0.81189999999999996</v>
      </c>
      <c r="N118" s="3398"/>
    </row>
    <row r="119" spans="1:14">
      <c r="A119" s="3410" t="s">
        <v>3334</v>
      </c>
      <c r="B119" s="3388">
        <f>ROUND(0.993-0.0112*B116,4)</f>
        <v>0.97019999999999995</v>
      </c>
      <c r="C119" s="3388">
        <f>B119</f>
        <v>0.97019999999999995</v>
      </c>
      <c r="D119" s="3388">
        <f>ROUND(0.9415-0.0142*B116,4)</f>
        <v>0.91249999999999998</v>
      </c>
      <c r="E119" s="3388">
        <f t="shared" ref="E119:H120" si="37">D119</f>
        <v>0.91249999999999998</v>
      </c>
      <c r="F119" s="3388">
        <f t="shared" si="37"/>
        <v>0.91249999999999998</v>
      </c>
      <c r="G119" s="3388">
        <f t="shared" si="37"/>
        <v>0.91249999999999998</v>
      </c>
      <c r="H119" s="3388">
        <f t="shared" si="37"/>
        <v>0.91249999999999998</v>
      </c>
      <c r="I119" s="3388">
        <f>ROUND(0.838-0.0182*B116,4)</f>
        <v>0.80089999999999995</v>
      </c>
      <c r="J119" s="3388">
        <f t="shared" si="36"/>
        <v>0.80089999999999995</v>
      </c>
      <c r="K119" s="3388">
        <f t="shared" si="36"/>
        <v>0.80089999999999995</v>
      </c>
      <c r="L119" s="3388">
        <f t="shared" si="36"/>
        <v>0.80089999999999995</v>
      </c>
      <c r="M119" s="3411">
        <f t="shared" si="36"/>
        <v>0.80089999999999995</v>
      </c>
      <c r="N119" s="3398"/>
    </row>
    <row r="120" spans="1:14">
      <c r="A120" s="3410" t="s">
        <v>3335</v>
      </c>
      <c r="B120" s="3388">
        <f>ROUND(0.9448-0.0115*B116,4)</f>
        <v>0.92130000000000001</v>
      </c>
      <c r="C120" s="3388">
        <f>B120</f>
        <v>0.92130000000000001</v>
      </c>
      <c r="D120" s="3388">
        <f>ROUND(0.937-0.0145*B116,4)</f>
        <v>0.90739999999999998</v>
      </c>
      <c r="E120" s="3388">
        <f t="shared" si="37"/>
        <v>0.90739999999999998</v>
      </c>
      <c r="F120" s="3388">
        <f t="shared" si="37"/>
        <v>0.90739999999999998</v>
      </c>
      <c r="G120" s="3388">
        <f t="shared" si="37"/>
        <v>0.90739999999999998</v>
      </c>
      <c r="H120" s="3388">
        <f t="shared" si="37"/>
        <v>0.90739999999999998</v>
      </c>
      <c r="I120" s="3388">
        <f>ROUND(0.7965-0.0185*B116,4)</f>
        <v>0.75880000000000003</v>
      </c>
      <c r="J120" s="3388">
        <f t="shared" si="36"/>
        <v>0.75880000000000003</v>
      </c>
      <c r="K120" s="3388">
        <f t="shared" si="36"/>
        <v>0.75880000000000003</v>
      </c>
      <c r="L120" s="3388">
        <f t="shared" si="36"/>
        <v>0.75880000000000003</v>
      </c>
      <c r="M120" s="3411">
        <f t="shared" si="36"/>
        <v>0.75880000000000003</v>
      </c>
      <c r="N120" s="3398"/>
    </row>
    <row r="121" spans="1:14" ht="13.5" thickBot="1">
      <c r="A121" s="3412" t="s">
        <v>3336</v>
      </c>
      <c r="B121" s="3413">
        <f>ROUND(0.7836-0.012*B116,4)</f>
        <v>0.7591</v>
      </c>
      <c r="C121" s="3413">
        <f>B121</f>
        <v>0.7591</v>
      </c>
      <c r="D121" s="3413">
        <f>ROUND(0.753-0.015*B116,4)</f>
        <v>0.72240000000000004</v>
      </c>
      <c r="E121" s="3413">
        <f>D121</f>
        <v>0.72240000000000004</v>
      </c>
      <c r="F121" s="3413">
        <f>E121</f>
        <v>0.72240000000000004</v>
      </c>
      <c r="G121" s="3413">
        <f>ROUND(0.6612-0.018*B116,4)</f>
        <v>0.62450000000000006</v>
      </c>
      <c r="H121" s="3413">
        <f>G121</f>
        <v>0.62450000000000006</v>
      </c>
      <c r="I121" s="3413">
        <f>ROUND(0.5905-0.019*B116,4)</f>
        <v>0.55169999999999997</v>
      </c>
      <c r="J121" s="3413">
        <f t="shared" si="36"/>
        <v>0.55169999999999997</v>
      </c>
      <c r="K121" s="3413">
        <f t="shared" si="36"/>
        <v>0.55169999999999997</v>
      </c>
      <c r="L121" s="3413">
        <f t="shared" si="36"/>
        <v>0.55169999999999997</v>
      </c>
      <c r="M121" s="3414">
        <f t="shared" si="36"/>
        <v>0.55169999999999997</v>
      </c>
      <c r="N121" s="3398"/>
    </row>
    <row r="122" spans="1:14">
      <c r="A122" s="3415" t="s">
        <v>2616</v>
      </c>
      <c r="B122" s="3388">
        <f>ROUND(0.9404-0.0106*B116,4)</f>
        <v>0.91879999999999995</v>
      </c>
      <c r="C122" s="3388">
        <f>B122</f>
        <v>0.91879999999999995</v>
      </c>
      <c r="D122" s="3388">
        <f>ROUND(0.8955-0.0135*B116,4)</f>
        <v>0.86799999999999999</v>
      </c>
      <c r="E122" s="3388">
        <f t="shared" ref="E122:H122" si="38">D122</f>
        <v>0.86799999999999999</v>
      </c>
      <c r="F122" s="3388">
        <f t="shared" si="38"/>
        <v>0.86799999999999999</v>
      </c>
      <c r="G122" s="3388">
        <f t="shared" si="38"/>
        <v>0.86799999999999999</v>
      </c>
      <c r="H122" s="3388">
        <f t="shared" si="38"/>
        <v>0.86799999999999999</v>
      </c>
      <c r="I122" s="3388">
        <f>ROUND(0.7632-0.0166*B116,4)</f>
        <v>0.72929999999999995</v>
      </c>
      <c r="J122" s="3388">
        <f t="shared" si="36"/>
        <v>0.72929999999999995</v>
      </c>
      <c r="K122" s="3388">
        <f t="shared" si="36"/>
        <v>0.72929999999999995</v>
      </c>
      <c r="L122" s="3388">
        <f t="shared" si="36"/>
        <v>0.72929999999999995</v>
      </c>
      <c r="M122" s="3411">
        <f t="shared" si="36"/>
        <v>0.72929999999999995</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J150" sqref="J150"/>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6" t="s">
        <v>2611</v>
      </c>
      <c r="B20" s="3761" t="s">
        <v>2632</v>
      </c>
      <c r="C20" s="3103" t="s">
        <v>2443</v>
      </c>
      <c r="D20" s="3104"/>
      <c r="E20" s="3105">
        <v>1</v>
      </c>
      <c r="F20" s="3106" t="s">
        <v>2444</v>
      </c>
      <c r="G20" s="3106"/>
    </row>
    <row r="21" spans="1:13" ht="19.5" customHeight="1">
      <c r="A21" s="3767"/>
      <c r="B21" s="3760"/>
      <c r="C21" s="3107" t="s">
        <v>2445</v>
      </c>
      <c r="D21" s="3108"/>
      <c r="E21" s="3109">
        <v>1</v>
      </c>
      <c r="F21" s="3106" t="s">
        <v>2446</v>
      </c>
      <c r="G21" s="3106"/>
    </row>
    <row r="22" spans="1:13" ht="19.5" customHeight="1">
      <c r="A22" s="3767"/>
      <c r="B22" s="3760"/>
      <c r="C22" s="3107" t="s">
        <v>2447</v>
      </c>
      <c r="D22" s="3108"/>
      <c r="E22" s="3109">
        <v>0.9</v>
      </c>
      <c r="F22" s="3106" t="s">
        <v>2448</v>
      </c>
      <c r="G22" s="3106"/>
    </row>
    <row r="23" spans="1:13" ht="19.5" customHeight="1">
      <c r="A23" s="3767"/>
      <c r="B23" s="3760"/>
      <c r="C23" s="3107" t="s">
        <v>2449</v>
      </c>
      <c r="D23" s="3108"/>
      <c r="E23" s="3109">
        <v>0.9</v>
      </c>
      <c r="F23" s="3106" t="s">
        <v>2450</v>
      </c>
      <c r="G23" s="3106"/>
    </row>
    <row r="24" spans="1:13" ht="19.5" customHeight="1">
      <c r="A24" s="3767"/>
      <c r="B24" s="3760"/>
      <c r="C24" s="3107" t="s">
        <v>2451</v>
      </c>
      <c r="D24" s="3108"/>
      <c r="E24" s="3109">
        <v>0.8</v>
      </c>
      <c r="F24" s="3106" t="s">
        <v>2452</v>
      </c>
      <c r="G24" s="3106"/>
    </row>
    <row r="25" spans="1:13" ht="19.5" customHeight="1" thickBot="1">
      <c r="A25" s="3768"/>
      <c r="B25" s="376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3" t="s">
        <v>2635</v>
      </c>
      <c r="B27" s="3761" t="s">
        <v>2616</v>
      </c>
      <c r="C27" s="3103" t="s">
        <v>2456</v>
      </c>
      <c r="D27" s="3104"/>
      <c r="E27" s="3105">
        <v>1</v>
      </c>
      <c r="F27" s="3106" t="s">
        <v>2457</v>
      </c>
      <c r="G27" s="3106"/>
    </row>
    <row r="28" spans="1:13" ht="19.5" customHeight="1">
      <c r="A28" s="3764"/>
      <c r="B28" s="3760"/>
      <c r="C28" s="3107" t="s">
        <v>2458</v>
      </c>
      <c r="D28" s="3108"/>
      <c r="E28" s="3109">
        <v>1</v>
      </c>
      <c r="F28" s="3106" t="s">
        <v>2459</v>
      </c>
      <c r="G28" s="3106"/>
    </row>
    <row r="29" spans="1:13" ht="19.5" customHeight="1">
      <c r="A29" s="3764"/>
      <c r="B29" s="3760"/>
      <c r="C29" s="3107" t="s">
        <v>2460</v>
      </c>
      <c r="D29" s="3108"/>
      <c r="E29" s="3109">
        <v>0.8</v>
      </c>
      <c r="F29" s="3106" t="s">
        <v>2461</v>
      </c>
      <c r="G29" s="3106"/>
    </row>
    <row r="30" spans="1:13" ht="19.5" customHeight="1">
      <c r="A30" s="3764"/>
      <c r="B30" s="3760"/>
      <c r="C30" s="3107" t="s">
        <v>2462</v>
      </c>
      <c r="D30" s="3108"/>
      <c r="E30" s="3109">
        <v>0.8</v>
      </c>
      <c r="F30" s="3106" t="s">
        <v>2463</v>
      </c>
      <c r="G30" s="3106"/>
    </row>
    <row r="31" spans="1:13" ht="19.5" customHeight="1">
      <c r="A31" s="3764"/>
      <c r="B31" s="3760"/>
      <c r="C31" s="3107" t="s">
        <v>2464</v>
      </c>
      <c r="D31" s="3108"/>
      <c r="E31" s="3109">
        <v>0.8</v>
      </c>
      <c r="F31" s="3106" t="s">
        <v>2465</v>
      </c>
      <c r="G31" s="3106"/>
    </row>
    <row r="32" spans="1:13" ht="19.5" customHeight="1">
      <c r="A32" s="3764"/>
      <c r="B32" s="3760"/>
      <c r="C32" s="3107" t="s">
        <v>2466</v>
      </c>
      <c r="D32" s="3108"/>
      <c r="E32" s="3109">
        <v>0.7</v>
      </c>
      <c r="F32" s="3106" t="s">
        <v>2467</v>
      </c>
      <c r="G32" s="3106"/>
    </row>
    <row r="33" spans="1:7" ht="19.5" customHeight="1">
      <c r="A33" s="3764"/>
      <c r="B33" s="3760"/>
      <c r="C33" s="3107" t="s">
        <v>2468</v>
      </c>
      <c r="D33" s="3108"/>
      <c r="E33" s="3109">
        <v>0.8</v>
      </c>
      <c r="F33" s="3106" t="s">
        <v>2469</v>
      </c>
      <c r="G33" s="3106"/>
    </row>
    <row r="34" spans="1:7" ht="19.5" customHeight="1">
      <c r="A34" s="3764"/>
      <c r="B34" s="3760"/>
      <c r="C34" s="3107" t="s">
        <v>2470</v>
      </c>
      <c r="D34" s="3108"/>
      <c r="E34" s="3109">
        <v>0.6</v>
      </c>
      <c r="F34" s="3106" t="s">
        <v>2471</v>
      </c>
      <c r="G34" s="3106"/>
    </row>
    <row r="35" spans="1:7" ht="19.5" customHeight="1">
      <c r="A35" s="3764"/>
      <c r="B35" s="3760"/>
      <c r="C35" s="3107" t="s">
        <v>2472</v>
      </c>
      <c r="D35" s="3108"/>
      <c r="E35" s="3109">
        <v>0.2</v>
      </c>
      <c r="F35" s="3106" t="s">
        <v>2473</v>
      </c>
      <c r="G35" s="3106"/>
    </row>
    <row r="36" spans="1:7" ht="19.5" customHeight="1">
      <c r="A36" s="3764"/>
      <c r="B36" s="3760"/>
      <c r="C36" s="3107" t="s">
        <v>2474</v>
      </c>
      <c r="D36" s="3108"/>
      <c r="E36" s="3109">
        <v>0.2</v>
      </c>
      <c r="F36" s="3106" t="s">
        <v>2475</v>
      </c>
      <c r="G36" s="3106"/>
    </row>
    <row r="37" spans="1:7" ht="19.5" customHeight="1">
      <c r="A37" s="3764"/>
      <c r="B37" s="3758" t="s">
        <v>2636</v>
      </c>
      <c r="C37" s="3107" t="s">
        <v>2476</v>
      </c>
      <c r="D37" s="3108"/>
      <c r="E37" s="3109">
        <v>0.6</v>
      </c>
      <c r="F37" s="3106" t="s">
        <v>2477</v>
      </c>
      <c r="G37" s="3106"/>
    </row>
    <row r="38" spans="1:7" ht="19.5" customHeight="1">
      <c r="A38" s="3764"/>
      <c r="B38" s="3760"/>
      <c r="C38" s="3107" t="s">
        <v>2478</v>
      </c>
      <c r="D38" s="3108"/>
      <c r="E38" s="3109">
        <v>0.6</v>
      </c>
      <c r="F38" s="3106" t="s">
        <v>2479</v>
      </c>
      <c r="G38" s="3106"/>
    </row>
    <row r="39" spans="1:7" ht="19.5" customHeight="1" thickBot="1">
      <c r="A39" s="3765"/>
      <c r="B39" s="376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6" t="s">
        <v>2614</v>
      </c>
      <c r="B41" s="3761" t="s">
        <v>2638</v>
      </c>
      <c r="C41" s="3103" t="s">
        <v>2483</v>
      </c>
      <c r="D41" s="3104"/>
      <c r="E41" s="3105">
        <v>1</v>
      </c>
      <c r="F41" s="3106" t="s">
        <v>2484</v>
      </c>
      <c r="G41" s="3106"/>
    </row>
    <row r="42" spans="1:7" ht="19.5" customHeight="1">
      <c r="A42" s="3767"/>
      <c r="B42" s="3760"/>
      <c r="C42" s="3107" t="s">
        <v>2485</v>
      </c>
      <c r="D42" s="3108"/>
      <c r="E42" s="3109">
        <v>1</v>
      </c>
      <c r="F42" s="3106" t="s">
        <v>2486</v>
      </c>
      <c r="G42" s="3106"/>
    </row>
    <row r="43" spans="1:7" ht="19.5" customHeight="1">
      <c r="A43" s="3767"/>
      <c r="B43" s="3759"/>
      <c r="C43" s="3107" t="s">
        <v>2487</v>
      </c>
      <c r="D43" s="3108"/>
      <c r="E43" s="3109">
        <v>1.5</v>
      </c>
      <c r="F43" s="3106" t="s">
        <v>2488</v>
      </c>
      <c r="G43" s="3106"/>
    </row>
    <row r="44" spans="1:7" ht="19.5" customHeight="1">
      <c r="A44" s="3767"/>
      <c r="B44" s="3118" t="s">
        <v>2639</v>
      </c>
      <c r="C44" s="3107" t="s">
        <v>2640</v>
      </c>
      <c r="D44" s="3108"/>
      <c r="E44" s="3109">
        <v>2</v>
      </c>
      <c r="F44" s="3106" t="s">
        <v>2489</v>
      </c>
      <c r="G44" s="3106"/>
    </row>
    <row r="45" spans="1:7" ht="19.5" customHeight="1">
      <c r="A45" s="3767"/>
      <c r="B45" s="3758" t="s">
        <v>2641</v>
      </c>
      <c r="C45" s="3107" t="s">
        <v>2490</v>
      </c>
      <c r="D45" s="3108"/>
      <c r="E45" s="3109">
        <v>1</v>
      </c>
      <c r="F45" s="3106" t="s">
        <v>2491</v>
      </c>
      <c r="G45" s="3106"/>
    </row>
    <row r="46" spans="1:7" ht="19.5" customHeight="1">
      <c r="A46" s="3767"/>
      <c r="B46" s="3760"/>
      <c r="C46" s="3107" t="s">
        <v>2492</v>
      </c>
      <c r="D46" s="3108"/>
      <c r="E46" s="3109">
        <v>1</v>
      </c>
      <c r="F46" s="3106" t="s">
        <v>2493</v>
      </c>
      <c r="G46" s="3106"/>
    </row>
    <row r="47" spans="1:7" ht="19.5" customHeight="1">
      <c r="A47" s="3767"/>
      <c r="B47" s="3760"/>
      <c r="C47" s="3107" t="s">
        <v>2494</v>
      </c>
      <c r="D47" s="3108"/>
      <c r="E47" s="3109">
        <v>1</v>
      </c>
      <c r="F47" s="3106" t="s">
        <v>2495</v>
      </c>
      <c r="G47" s="3106"/>
    </row>
    <row r="48" spans="1:7" ht="19.5" customHeight="1">
      <c r="A48" s="3767"/>
      <c r="B48" s="3760"/>
      <c r="C48" s="3107" t="s">
        <v>2496</v>
      </c>
      <c r="D48" s="3108"/>
      <c r="E48" s="3109">
        <v>1</v>
      </c>
      <c r="F48" s="3106" t="s">
        <v>2497</v>
      </c>
      <c r="G48" s="3106"/>
    </row>
    <row r="49" spans="1:7" ht="19.5" customHeight="1">
      <c r="A49" s="3767"/>
      <c r="B49" s="3760"/>
      <c r="C49" s="3107" t="s">
        <v>2498</v>
      </c>
      <c r="D49" s="3108"/>
      <c r="E49" s="3109">
        <v>1</v>
      </c>
      <c r="F49" s="3106" t="s">
        <v>2499</v>
      </c>
      <c r="G49" s="3106"/>
    </row>
    <row r="50" spans="1:7" ht="19.5" customHeight="1">
      <c r="A50" s="3767"/>
      <c r="B50" s="3760"/>
      <c r="C50" s="3107" t="s">
        <v>2500</v>
      </c>
      <c r="D50" s="3108"/>
      <c r="E50" s="3109">
        <v>1</v>
      </c>
      <c r="F50" s="3106" t="s">
        <v>2501</v>
      </c>
      <c r="G50" s="3106"/>
    </row>
    <row r="51" spans="1:7" ht="19.5" customHeight="1" thickBot="1">
      <c r="A51" s="3768"/>
      <c r="B51" s="376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8" t="s">
        <v>2655</v>
      </c>
      <c r="C73" s="3092" t="s">
        <v>2656</v>
      </c>
      <c r="D73" s="3092" t="s">
        <v>2657</v>
      </c>
      <c r="E73" s="3118">
        <v>0.2</v>
      </c>
      <c r="F73" s="3118">
        <v>25</v>
      </c>
    </row>
    <row r="74" spans="1:7" ht="24">
      <c r="A74" s="3118">
        <v>2</v>
      </c>
      <c r="B74" s="3760"/>
      <c r="C74" s="3092" t="s">
        <v>2658</v>
      </c>
      <c r="D74" s="3092" t="s">
        <v>2659</v>
      </c>
      <c r="E74" s="3118">
        <v>0.2</v>
      </c>
      <c r="F74" s="3118">
        <v>25</v>
      </c>
    </row>
    <row r="75" spans="1:7" ht="24">
      <c r="A75" s="3118">
        <v>3</v>
      </c>
      <c r="B75" s="3760"/>
      <c r="C75" s="3092" t="s">
        <v>2660</v>
      </c>
      <c r="D75" s="3092" t="s">
        <v>2661</v>
      </c>
      <c r="E75" s="3118">
        <v>0.2</v>
      </c>
      <c r="F75" s="3118">
        <v>25</v>
      </c>
    </row>
    <row r="76" spans="1:7" ht="13.5">
      <c r="A76" s="3118">
        <v>4</v>
      </c>
      <c r="B76" s="3760"/>
      <c r="C76" s="3092" t="s">
        <v>2662</v>
      </c>
      <c r="D76" s="3092" t="s">
        <v>2663</v>
      </c>
      <c r="E76" s="3118">
        <v>0.15</v>
      </c>
      <c r="F76" s="3118">
        <v>20</v>
      </c>
    </row>
    <row r="77" spans="1:7" ht="24">
      <c r="A77" s="3118">
        <v>5</v>
      </c>
      <c r="B77" s="3760"/>
      <c r="C77" s="3092" t="s">
        <v>2664</v>
      </c>
      <c r="D77" s="3092" t="s">
        <v>2665</v>
      </c>
      <c r="E77" s="3118">
        <v>0.15</v>
      </c>
      <c r="F77" s="3118">
        <v>20</v>
      </c>
    </row>
    <row r="78" spans="1:7" ht="24">
      <c r="A78" s="3118">
        <v>6</v>
      </c>
      <c r="B78" s="3760"/>
      <c r="C78" s="3092" t="s">
        <v>2666</v>
      </c>
      <c r="D78" s="3092" t="s">
        <v>2667</v>
      </c>
      <c r="E78" s="3118">
        <v>0.15</v>
      </c>
      <c r="F78" s="3118">
        <v>20</v>
      </c>
    </row>
    <row r="79" spans="1:7" ht="24">
      <c r="A79" s="3118">
        <v>7</v>
      </c>
      <c r="B79" s="3760"/>
      <c r="C79" s="3092" t="s">
        <v>2668</v>
      </c>
      <c r="D79" s="3092" t="s">
        <v>2669</v>
      </c>
      <c r="E79" s="3118">
        <v>0.15</v>
      </c>
      <c r="F79" s="3118">
        <v>20</v>
      </c>
    </row>
    <row r="80" spans="1:7" ht="24">
      <c r="A80" s="3118">
        <v>8</v>
      </c>
      <c r="B80" s="3760"/>
      <c r="C80" s="3092" t="s">
        <v>2670</v>
      </c>
      <c r="D80" s="3092" t="s">
        <v>2671</v>
      </c>
      <c r="E80" s="3118">
        <v>0.1</v>
      </c>
      <c r="F80" s="3118">
        <v>15</v>
      </c>
    </row>
    <row r="81" spans="1:6" ht="24">
      <c r="A81" s="3118">
        <v>9</v>
      </c>
      <c r="B81" s="3760"/>
      <c r="C81" s="3092" t="s">
        <v>2672</v>
      </c>
      <c r="D81" s="3092" t="s">
        <v>2673</v>
      </c>
      <c r="E81" s="3118">
        <v>0.1</v>
      </c>
      <c r="F81" s="3118">
        <v>15</v>
      </c>
    </row>
    <row r="82" spans="1:6" ht="24">
      <c r="A82" s="3118">
        <v>10</v>
      </c>
      <c r="B82" s="3760"/>
      <c r="C82" s="3092" t="s">
        <v>2674</v>
      </c>
      <c r="D82" s="3092" t="s">
        <v>2675</v>
      </c>
      <c r="E82" s="3118">
        <v>0.1</v>
      </c>
      <c r="F82" s="3118">
        <v>15</v>
      </c>
    </row>
    <row r="83" spans="1:6" ht="24">
      <c r="A83" s="3118">
        <v>11</v>
      </c>
      <c r="B83" s="3760"/>
      <c r="C83" s="3092" t="s">
        <v>2676</v>
      </c>
      <c r="D83" s="3092" t="s">
        <v>2677</v>
      </c>
      <c r="E83" s="3118">
        <v>0.1</v>
      </c>
      <c r="F83" s="3118">
        <v>15</v>
      </c>
    </row>
    <row r="84" spans="1:6" ht="24">
      <c r="A84" s="3118">
        <v>12</v>
      </c>
      <c r="B84" s="3760"/>
      <c r="C84" s="3092" t="s">
        <v>2678</v>
      </c>
      <c r="D84" s="3092" t="s">
        <v>2679</v>
      </c>
      <c r="E84" s="3118">
        <v>0.1</v>
      </c>
      <c r="F84" s="3118">
        <v>15</v>
      </c>
    </row>
    <row r="85" spans="1:6" ht="13.5">
      <c r="A85" s="3118">
        <v>13</v>
      </c>
      <c r="B85" s="3760"/>
      <c r="C85" s="3092" t="s">
        <v>2680</v>
      </c>
      <c r="D85" s="3092" t="s">
        <v>2681</v>
      </c>
      <c r="E85" s="3118">
        <v>0.1</v>
      </c>
      <c r="F85" s="3118">
        <v>15</v>
      </c>
    </row>
    <row r="86" spans="1:6" ht="13.5">
      <c r="A86" s="3118">
        <v>14</v>
      </c>
      <c r="B86" s="3760"/>
      <c r="C86" s="3092" t="s">
        <v>2682</v>
      </c>
      <c r="D86" s="3092" t="s">
        <v>2683</v>
      </c>
      <c r="E86" s="3118">
        <v>0.1</v>
      </c>
      <c r="F86" s="3118">
        <v>15</v>
      </c>
    </row>
    <row r="87" spans="1:6" ht="13.5">
      <c r="A87" s="3118">
        <v>15</v>
      </c>
      <c r="B87" s="3760"/>
      <c r="C87" s="3092" t="s">
        <v>2684</v>
      </c>
      <c r="D87" s="3092" t="s">
        <v>2685</v>
      </c>
      <c r="E87" s="3118">
        <v>0.1</v>
      </c>
      <c r="F87" s="3118">
        <v>15</v>
      </c>
    </row>
    <row r="88" spans="1:6" ht="24">
      <c r="A88" s="3118">
        <v>16</v>
      </c>
      <c r="B88" s="3760"/>
      <c r="C88" s="3092" t="s">
        <v>2686</v>
      </c>
      <c r="D88" s="3092" t="s">
        <v>2687</v>
      </c>
      <c r="E88" s="3118">
        <v>0.1</v>
      </c>
      <c r="F88" s="3118">
        <v>15</v>
      </c>
    </row>
    <row r="89" spans="1:6" ht="24">
      <c r="A89" s="3118">
        <v>17</v>
      </c>
      <c r="B89" s="3759"/>
      <c r="C89" s="3092" t="s">
        <v>2688</v>
      </c>
      <c r="D89" s="3092" t="s">
        <v>2689</v>
      </c>
      <c r="E89" s="3118">
        <v>0.1</v>
      </c>
      <c r="F89" s="3118">
        <v>15</v>
      </c>
    </row>
    <row r="90" spans="1:6" ht="13.5">
      <c r="A90" s="3118">
        <v>18</v>
      </c>
      <c r="B90" s="3758" t="s">
        <v>2690</v>
      </c>
      <c r="C90" s="3092" t="s">
        <v>2691</v>
      </c>
      <c r="D90" s="3092" t="s">
        <v>2692</v>
      </c>
      <c r="E90" s="3118">
        <v>0.2</v>
      </c>
      <c r="F90" s="3118">
        <v>25</v>
      </c>
    </row>
    <row r="91" spans="1:6" ht="24">
      <c r="A91" s="3118">
        <v>19</v>
      </c>
      <c r="B91" s="3760"/>
      <c r="C91" s="3092" t="s">
        <v>2693</v>
      </c>
      <c r="D91" s="3092" t="s">
        <v>2694</v>
      </c>
      <c r="E91" s="3118">
        <v>0.2</v>
      </c>
      <c r="F91" s="3118">
        <v>25</v>
      </c>
    </row>
    <row r="92" spans="1:6" ht="13.5">
      <c r="A92" s="3118">
        <v>20</v>
      </c>
      <c r="B92" s="3760"/>
      <c r="C92" s="3092" t="s">
        <v>2695</v>
      </c>
      <c r="D92" s="3092" t="s">
        <v>2696</v>
      </c>
      <c r="E92" s="3118">
        <v>0.15</v>
      </c>
      <c r="F92" s="3118">
        <v>20</v>
      </c>
    </row>
    <row r="93" spans="1:6" ht="13.5">
      <c r="A93" s="3118">
        <v>21</v>
      </c>
      <c r="B93" s="3760"/>
      <c r="C93" s="3092" t="s">
        <v>2697</v>
      </c>
      <c r="D93" s="3092" t="s">
        <v>2698</v>
      </c>
      <c r="E93" s="3118">
        <v>0.15</v>
      </c>
      <c r="F93" s="3118">
        <v>20</v>
      </c>
    </row>
    <row r="94" spans="1:6" ht="13.5">
      <c r="A94" s="3118">
        <v>22</v>
      </c>
      <c r="B94" s="3760"/>
      <c r="C94" s="3092" t="s">
        <v>2699</v>
      </c>
      <c r="D94" s="3092" t="s">
        <v>2700</v>
      </c>
      <c r="E94" s="3118">
        <v>0.15</v>
      </c>
      <c r="F94" s="3118">
        <v>20</v>
      </c>
    </row>
    <row r="95" spans="1:6" ht="36">
      <c r="A95" s="3118">
        <v>23</v>
      </c>
      <c r="B95" s="3760"/>
      <c r="C95" s="3092" t="s">
        <v>2701</v>
      </c>
      <c r="D95" s="3092" t="s">
        <v>2702</v>
      </c>
      <c r="E95" s="3118">
        <v>0.15</v>
      </c>
      <c r="F95" s="3118">
        <v>20</v>
      </c>
    </row>
    <row r="96" spans="1:6" ht="13.5">
      <c r="A96" s="3118">
        <v>24</v>
      </c>
      <c r="B96" s="3760"/>
      <c r="C96" s="3092" t="s">
        <v>2703</v>
      </c>
      <c r="D96" s="3092" t="s">
        <v>2704</v>
      </c>
      <c r="E96" s="3118">
        <v>0.1</v>
      </c>
      <c r="F96" s="3118">
        <v>15</v>
      </c>
    </row>
    <row r="97" spans="1:6" ht="13.5">
      <c r="A97" s="3118">
        <v>25</v>
      </c>
      <c r="B97" s="3760"/>
      <c r="C97" s="3092" t="s">
        <v>2705</v>
      </c>
      <c r="D97" s="3092" t="s">
        <v>2706</v>
      </c>
      <c r="E97" s="3118">
        <v>0.1</v>
      </c>
      <c r="F97" s="3118">
        <v>15</v>
      </c>
    </row>
    <row r="98" spans="1:6" ht="24">
      <c r="A98" s="3118">
        <v>26</v>
      </c>
      <c r="B98" s="3760"/>
      <c r="C98" s="3092" t="s">
        <v>2707</v>
      </c>
      <c r="D98" s="3092" t="s">
        <v>2708</v>
      </c>
      <c r="E98" s="3118">
        <v>0.1</v>
      </c>
      <c r="F98" s="3118">
        <v>15</v>
      </c>
    </row>
    <row r="99" spans="1:6" ht="24">
      <c r="A99" s="3118">
        <v>27</v>
      </c>
      <c r="B99" s="3760"/>
      <c r="C99" s="3092" t="s">
        <v>2709</v>
      </c>
      <c r="D99" s="3092" t="s">
        <v>2710</v>
      </c>
      <c r="E99" s="3118">
        <v>0.1</v>
      </c>
      <c r="F99" s="3118">
        <v>15</v>
      </c>
    </row>
    <row r="100" spans="1:6" ht="13.5">
      <c r="A100" s="3118">
        <v>28</v>
      </c>
      <c r="B100" s="3760"/>
      <c r="C100" s="3092" t="s">
        <v>2711</v>
      </c>
      <c r="D100" s="3092" t="s">
        <v>2712</v>
      </c>
      <c r="E100" s="3118">
        <v>0.1</v>
      </c>
      <c r="F100" s="3118">
        <v>15</v>
      </c>
    </row>
    <row r="101" spans="1:6" ht="13.5">
      <c r="A101" s="3118">
        <v>29</v>
      </c>
      <c r="B101" s="3760"/>
      <c r="C101" s="3092" t="s">
        <v>2713</v>
      </c>
      <c r="D101" s="3092" t="s">
        <v>2714</v>
      </c>
      <c r="E101" s="3118">
        <v>0.1</v>
      </c>
      <c r="F101" s="3118">
        <v>15</v>
      </c>
    </row>
    <row r="102" spans="1:6" ht="13.5">
      <c r="A102" s="3118">
        <v>30</v>
      </c>
      <c r="B102" s="3760"/>
      <c r="C102" s="3092" t="s">
        <v>2715</v>
      </c>
      <c r="D102" s="3092" t="s">
        <v>2716</v>
      </c>
      <c r="E102" s="3118">
        <v>0.1</v>
      </c>
      <c r="F102" s="3118">
        <v>15</v>
      </c>
    </row>
    <row r="103" spans="1:6" ht="24">
      <c r="A103" s="3118">
        <v>31</v>
      </c>
      <c r="B103" s="3760"/>
      <c r="C103" s="3092" t="s">
        <v>2717</v>
      </c>
      <c r="D103" s="3092" t="s">
        <v>2718</v>
      </c>
      <c r="E103" s="3118">
        <v>0.1</v>
      </c>
      <c r="F103" s="3118">
        <v>15</v>
      </c>
    </row>
    <row r="104" spans="1:6" ht="24">
      <c r="A104" s="3118">
        <v>32</v>
      </c>
      <c r="B104" s="3760"/>
      <c r="C104" s="3092" t="s">
        <v>2719</v>
      </c>
      <c r="D104" s="3092" t="s">
        <v>2720</v>
      </c>
      <c r="E104" s="3118">
        <v>0.1</v>
      </c>
      <c r="F104" s="3118">
        <v>15</v>
      </c>
    </row>
    <row r="105" spans="1:6" ht="24">
      <c r="A105" s="3118">
        <v>33</v>
      </c>
      <c r="B105" s="3760"/>
      <c r="C105" s="3092" t="s">
        <v>2721</v>
      </c>
      <c r="D105" s="3092" t="s">
        <v>2722</v>
      </c>
      <c r="E105" s="3118">
        <v>0.1</v>
      </c>
      <c r="F105" s="3118">
        <v>15</v>
      </c>
    </row>
    <row r="106" spans="1:6" ht="24">
      <c r="A106" s="3118">
        <v>34</v>
      </c>
      <c r="B106" s="3759"/>
      <c r="C106" s="3092" t="s">
        <v>2723</v>
      </c>
      <c r="D106" s="3092" t="s">
        <v>2724</v>
      </c>
      <c r="E106" s="3118">
        <v>0.1</v>
      </c>
      <c r="F106" s="3118">
        <v>15</v>
      </c>
    </row>
    <row r="107" spans="1:6" ht="24">
      <c r="A107" s="3118">
        <v>35</v>
      </c>
      <c r="B107" s="3758" t="s">
        <v>2725</v>
      </c>
      <c r="C107" s="3118" t="s">
        <v>2726</v>
      </c>
      <c r="D107" s="3092" t="s">
        <v>2727</v>
      </c>
      <c r="E107" s="3118">
        <v>0.15</v>
      </c>
      <c r="F107" s="3118">
        <v>20</v>
      </c>
    </row>
    <row r="108" spans="1:6" ht="13.5">
      <c r="A108" s="3118">
        <v>36</v>
      </c>
      <c r="B108" s="3760"/>
      <c r="C108" s="3118" t="s">
        <v>2728</v>
      </c>
      <c r="D108" s="3092" t="s">
        <v>2729</v>
      </c>
      <c r="E108" s="3118">
        <v>0.15</v>
      </c>
      <c r="F108" s="3118">
        <v>20</v>
      </c>
    </row>
    <row r="109" spans="1:6" ht="13.5">
      <c r="A109" s="3118">
        <v>37</v>
      </c>
      <c r="B109" s="3760"/>
      <c r="C109" s="3118" t="s">
        <v>2730</v>
      </c>
      <c r="D109" s="3092" t="s">
        <v>2731</v>
      </c>
      <c r="E109" s="3118">
        <v>0.15</v>
      </c>
      <c r="F109" s="3118">
        <v>20</v>
      </c>
    </row>
    <row r="110" spans="1:6" ht="13.5">
      <c r="A110" s="3118">
        <v>38</v>
      </c>
      <c r="B110" s="3760"/>
      <c r="C110" s="3118" t="s">
        <v>2732</v>
      </c>
      <c r="D110" s="3092" t="s">
        <v>2733</v>
      </c>
      <c r="E110" s="3118">
        <v>0.1</v>
      </c>
      <c r="F110" s="3118">
        <v>15</v>
      </c>
    </row>
    <row r="111" spans="1:6" ht="24">
      <c r="A111" s="3118">
        <v>39</v>
      </c>
      <c r="B111" s="3760"/>
      <c r="C111" s="3118" t="s">
        <v>2734</v>
      </c>
      <c r="D111" s="3092" t="s">
        <v>2735</v>
      </c>
      <c r="E111" s="3118">
        <v>0.1</v>
      </c>
      <c r="F111" s="3118">
        <v>15</v>
      </c>
    </row>
    <row r="112" spans="1:6" ht="24">
      <c r="A112" s="3118">
        <v>40</v>
      </c>
      <c r="B112" s="3759"/>
      <c r="C112" s="3118" t="s">
        <v>2736</v>
      </c>
      <c r="D112" s="3092" t="s">
        <v>2737</v>
      </c>
      <c r="E112" s="3118">
        <v>0.1</v>
      </c>
      <c r="F112" s="3118">
        <v>15</v>
      </c>
    </row>
    <row r="113" spans="1:6" ht="13.5">
      <c r="A113" s="3118">
        <v>41</v>
      </c>
      <c r="B113" s="3757" t="s">
        <v>2738</v>
      </c>
      <c r="C113" s="3118" t="s">
        <v>2739</v>
      </c>
      <c r="D113" s="3092" t="s">
        <v>2740</v>
      </c>
      <c r="E113" s="3118">
        <v>0.1</v>
      </c>
      <c r="F113" s="3118">
        <v>15</v>
      </c>
    </row>
    <row r="114" spans="1:6" ht="13.5">
      <c r="A114" s="3118">
        <v>42</v>
      </c>
      <c r="B114" s="3757"/>
      <c r="C114" s="3118" t="s">
        <v>2741</v>
      </c>
      <c r="D114" s="3092" t="s">
        <v>2742</v>
      </c>
      <c r="E114" s="3118">
        <v>0.1</v>
      </c>
      <c r="F114" s="3118">
        <v>15</v>
      </c>
    </row>
    <row r="115" spans="1:6" ht="24">
      <c r="A115" s="3118">
        <v>43</v>
      </c>
      <c r="B115" s="3757"/>
      <c r="C115" s="3118" t="s">
        <v>2743</v>
      </c>
      <c r="D115" s="3092" t="s">
        <v>2744</v>
      </c>
      <c r="E115" s="3118">
        <v>0.1</v>
      </c>
      <c r="F115" s="3118">
        <v>15</v>
      </c>
    </row>
    <row r="116" spans="1:6" ht="13.5">
      <c r="A116" s="3118">
        <v>44</v>
      </c>
      <c r="B116" s="3758" t="s">
        <v>2745</v>
      </c>
      <c r="C116" s="3118" t="s">
        <v>2746</v>
      </c>
      <c r="D116" s="3092" t="s">
        <v>2747</v>
      </c>
      <c r="E116" s="3118">
        <v>0.1</v>
      </c>
      <c r="F116" s="3118">
        <v>15</v>
      </c>
    </row>
    <row r="117" spans="1:6" ht="24">
      <c r="A117" s="3118">
        <v>45</v>
      </c>
      <c r="B117" s="3759"/>
      <c r="C117" s="3092" t="s">
        <v>2748</v>
      </c>
      <c r="D117" s="3092" t="s">
        <v>2749</v>
      </c>
      <c r="E117" s="3118">
        <v>0.1</v>
      </c>
      <c r="F117" s="3118">
        <v>15</v>
      </c>
    </row>
    <row r="118" spans="1:6" ht="24">
      <c r="A118" s="3118">
        <v>46</v>
      </c>
      <c r="B118" s="3758" t="s">
        <v>2750</v>
      </c>
      <c r="C118" s="3118" t="s">
        <v>2751</v>
      </c>
      <c r="D118" s="3092" t="s">
        <v>2752</v>
      </c>
      <c r="E118" s="3118">
        <v>0.1</v>
      </c>
      <c r="F118" s="3118">
        <v>15</v>
      </c>
    </row>
    <row r="119" spans="1:6" ht="24">
      <c r="A119" s="3118">
        <v>47</v>
      </c>
      <c r="B119" s="3759"/>
      <c r="C119" s="3118" t="s">
        <v>2753</v>
      </c>
      <c r="D119" s="3092" t="s">
        <v>2754</v>
      </c>
      <c r="E119" s="3118">
        <v>0.1</v>
      </c>
      <c r="F119" s="3118">
        <v>15</v>
      </c>
    </row>
    <row r="120" spans="1:6" ht="13.5">
      <c r="A120" s="3118">
        <v>48</v>
      </c>
      <c r="B120" s="3758" t="s">
        <v>2755</v>
      </c>
      <c r="C120" s="3118" t="s">
        <v>2756</v>
      </c>
      <c r="D120" s="3092" t="s">
        <v>2757</v>
      </c>
      <c r="E120" s="3118">
        <v>0.1</v>
      </c>
      <c r="F120" s="3118">
        <v>15</v>
      </c>
    </row>
    <row r="121" spans="1:6" ht="13.5">
      <c r="A121" s="3118">
        <v>49</v>
      </c>
      <c r="B121" s="3759"/>
      <c r="C121" s="3118" t="s">
        <v>2758</v>
      </c>
      <c r="D121" s="3092" t="s">
        <v>2759</v>
      </c>
      <c r="E121" s="3118">
        <v>0.1</v>
      </c>
      <c r="F121" s="3118">
        <v>15</v>
      </c>
    </row>
    <row r="122" spans="1:6" ht="24">
      <c r="A122" s="3118">
        <v>50</v>
      </c>
      <c r="B122" s="3757" t="s">
        <v>2760</v>
      </c>
      <c r="C122" s="3118" t="s">
        <v>2761</v>
      </c>
      <c r="D122" s="3092" t="s">
        <v>2762</v>
      </c>
      <c r="E122" s="3118">
        <v>0.1</v>
      </c>
      <c r="F122" s="3118">
        <v>15</v>
      </c>
    </row>
    <row r="123" spans="1:6" ht="24">
      <c r="A123" s="3118">
        <v>51</v>
      </c>
      <c r="B123" s="3757"/>
      <c r="C123" s="3118" t="s">
        <v>2763</v>
      </c>
      <c r="D123" s="3092" t="s">
        <v>2764</v>
      </c>
      <c r="E123" s="3118">
        <v>0.1</v>
      </c>
      <c r="F123" s="3118">
        <v>15</v>
      </c>
    </row>
    <row r="124" spans="1:6" ht="24">
      <c r="A124" s="3118">
        <v>52</v>
      </c>
      <c r="B124" s="3757" t="s">
        <v>2765</v>
      </c>
      <c r="C124" s="3118" t="s">
        <v>2766</v>
      </c>
      <c r="D124" s="3092" t="s">
        <v>2767</v>
      </c>
      <c r="E124" s="3118">
        <v>0.1</v>
      </c>
      <c r="F124" s="3118">
        <v>15</v>
      </c>
    </row>
    <row r="125" spans="1:6" ht="24">
      <c r="A125" s="3118">
        <v>53</v>
      </c>
      <c r="B125" s="375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7" t="s">
        <v>2773</v>
      </c>
      <c r="C127" s="3118" t="s">
        <v>2774</v>
      </c>
      <c r="D127" s="3092" t="s">
        <v>2775</v>
      </c>
      <c r="E127" s="3118">
        <v>0.1</v>
      </c>
      <c r="F127" s="3118">
        <v>15</v>
      </c>
    </row>
    <row r="128" spans="1:6" ht="13.5">
      <c r="A128" s="3118">
        <v>56</v>
      </c>
      <c r="B128" s="3757"/>
      <c r="C128" s="3118" t="s">
        <v>2776</v>
      </c>
      <c r="D128" s="3092" t="s">
        <v>2777</v>
      </c>
      <c r="E128" s="3118">
        <v>0.1</v>
      </c>
      <c r="F128" s="3118">
        <v>15</v>
      </c>
    </row>
    <row r="129" spans="1:6" ht="24">
      <c r="A129" s="3118">
        <v>57</v>
      </c>
      <c r="B129" s="3757"/>
      <c r="C129" s="3118" t="s">
        <v>2778</v>
      </c>
      <c r="D129" s="3092" t="s">
        <v>2779</v>
      </c>
      <c r="E129" s="3118">
        <v>0.1</v>
      </c>
      <c r="F129" s="3118">
        <v>15</v>
      </c>
    </row>
    <row r="130" spans="1:6" ht="24">
      <c r="A130" s="3118">
        <v>58</v>
      </c>
      <c r="B130" s="3757" t="s">
        <v>2780</v>
      </c>
      <c r="C130" s="3118" t="s">
        <v>2781</v>
      </c>
      <c r="D130" s="3092" t="s">
        <v>2782</v>
      </c>
      <c r="E130" s="3118">
        <v>0.1</v>
      </c>
      <c r="F130" s="3118">
        <v>15</v>
      </c>
    </row>
    <row r="131" spans="1:6" ht="13.5">
      <c r="A131" s="3118">
        <v>59</v>
      </c>
      <c r="B131" s="3757"/>
      <c r="C131" s="3118" t="s">
        <v>2783</v>
      </c>
      <c r="D131" s="3092" t="s">
        <v>2784</v>
      </c>
      <c r="E131" s="3118">
        <v>0.1</v>
      </c>
      <c r="F131" s="3118">
        <v>15</v>
      </c>
    </row>
    <row r="132" spans="1:6" ht="13.5">
      <c r="A132" s="3118">
        <v>60</v>
      </c>
      <c r="B132" s="3758" t="s">
        <v>2785</v>
      </c>
      <c r="C132" s="3118" t="s">
        <v>2786</v>
      </c>
      <c r="D132" s="3092" t="s">
        <v>2787</v>
      </c>
      <c r="E132" s="3118">
        <v>0.1</v>
      </c>
      <c r="F132" s="3118">
        <v>15</v>
      </c>
    </row>
    <row r="133" spans="1:6" ht="13.5">
      <c r="A133" s="3118">
        <v>61</v>
      </c>
      <c r="B133" s="375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7" t="s">
        <v>2793</v>
      </c>
      <c r="C135" s="3118" t="s">
        <v>2794</v>
      </c>
      <c r="D135" s="3092" t="s">
        <v>2795</v>
      </c>
      <c r="E135" s="3118">
        <v>0.1</v>
      </c>
      <c r="F135" s="3118">
        <v>15</v>
      </c>
    </row>
    <row r="136" spans="1:6" ht="13.5">
      <c r="A136" s="3118">
        <v>64</v>
      </c>
      <c r="B136" s="375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0.9103</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26983</v>
      </c>
      <c r="C2" s="2" t="s">
        <v>106</v>
      </c>
      <c r="D2" s="199"/>
      <c r="E2" s="199"/>
      <c r="F2" s="199"/>
      <c r="G2" s="199"/>
    </row>
    <row r="3" spans="1:7" s="200" customFormat="1" ht="18" customHeight="1" thickBot="1">
      <c r="A3" s="203" t="s">
        <v>58</v>
      </c>
      <c r="B3" s="204">
        <f ca="1">ROUND(B2*10000/'数据-汇总表'!E3,0)</f>
        <v>73761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55</v>
      </c>
      <c r="D9" s="845">
        <f>'数据-汇总表'!E5</f>
        <v>3658.15</v>
      </c>
      <c r="E9" s="225">
        <f>'数据-取费表'!B27</f>
        <v>150</v>
      </c>
      <c r="F9" s="221"/>
      <c r="G9" s="226"/>
    </row>
    <row r="10" spans="1:7" s="214" customFormat="1" ht="13.5" customHeight="1">
      <c r="A10" s="779" t="s">
        <v>356</v>
      </c>
      <c r="B10" s="224" t="s">
        <v>67</v>
      </c>
      <c r="C10" s="225">
        <f>ROUND(D10*E10/10000,0)</f>
        <v>0</v>
      </c>
      <c r="D10" s="845">
        <f>'数据-汇总表'!E6</f>
        <v>0</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73</v>
      </c>
      <c r="D19" s="849">
        <f>'数据-汇总表'!E3</f>
        <v>3658.15</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742</v>
      </c>
      <c r="D22" s="235">
        <f ca="1">C26</f>
        <v>4.0000000000000002E-4</v>
      </c>
      <c r="E22" s="236" t="s">
        <v>99</v>
      </c>
      <c r="F22" s="237">
        <f ca="1">'数据-取费表'!B40</f>
        <v>3.5499999999999997E-2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2110</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2110</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25885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1274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1097</v>
      </c>
      <c r="D34" s="217"/>
      <c r="E34" s="220"/>
      <c r="F34" s="257">
        <f>IF('数据-取费表'!B24=0,1,'数据-取费表'!N16)</f>
        <v>1</v>
      </c>
      <c r="G34" s="219" t="s">
        <v>89</v>
      </c>
    </row>
    <row r="35" spans="1:7" ht="13.5" customHeight="1">
      <c r="A35" s="780" t="s">
        <v>351</v>
      </c>
      <c r="B35" s="215" t="s">
        <v>33</v>
      </c>
      <c r="C35" s="220">
        <f>ROUND(C34*F35,0)</f>
        <v>33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55</v>
      </c>
      <c r="D36" s="220"/>
      <c r="E36" s="220"/>
      <c r="F36" s="259">
        <f>'数据-取费表'!B34</f>
        <v>0.05</v>
      </c>
      <c r="G36" s="260" t="s">
        <v>35</v>
      </c>
    </row>
    <row r="37" spans="1:7" s="258" customFormat="1" ht="13.5" customHeight="1">
      <c r="A37" s="780" t="s">
        <v>353</v>
      </c>
      <c r="B37" s="215" t="s">
        <v>91</v>
      </c>
      <c r="C37" s="249">
        <f>ROUND(E37*D37*F34/10000,0)</f>
        <v>73</v>
      </c>
      <c r="D37" s="217">
        <f>'数据-汇总表'!E3</f>
        <v>3658.15</v>
      </c>
      <c r="E37" s="249">
        <f>'数据-取费表'!B35</f>
        <v>200</v>
      </c>
      <c r="F37" s="259"/>
      <c r="G37" s="261" t="s">
        <v>92</v>
      </c>
    </row>
    <row r="38" spans="1:7" ht="13.5" customHeight="1">
      <c r="A38" s="780" t="s">
        <v>354</v>
      </c>
      <c r="B38" s="215" t="s">
        <v>36</v>
      </c>
      <c r="C38" s="220">
        <f>ROUND(C34*F38,0)</f>
        <v>16</v>
      </c>
      <c r="D38" s="220"/>
      <c r="E38" s="220"/>
      <c r="F38" s="259">
        <f>'数据-取费表'!B36</f>
        <v>1.4999999999999999E-2</v>
      </c>
      <c r="G38" s="219" t="s">
        <v>90</v>
      </c>
    </row>
    <row r="39" spans="1:7" s="214" customFormat="1" ht="13.5" customHeight="1">
      <c r="A39" s="777" t="s">
        <v>338</v>
      </c>
      <c r="B39" s="210" t="s">
        <v>77</v>
      </c>
      <c r="C39" s="232">
        <f>ROUND(C33*F20,0)</f>
        <v>25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23</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23</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7" t="s">
        <v>341</v>
      </c>
      <c r="B45" s="244" t="s">
        <v>85</v>
      </c>
      <c r="C45" s="245">
        <f>C46</f>
        <v>130</v>
      </c>
      <c r="D45" s="235">
        <f>C47</f>
        <v>2E-3</v>
      </c>
      <c r="E45" s="236" t="s">
        <v>102</v>
      </c>
      <c r="F45" s="246"/>
      <c r="G45" s="247" t="s">
        <v>434</v>
      </c>
    </row>
    <row r="46" spans="1:7" s="214" customFormat="1" ht="13.5" customHeight="1">
      <c r="A46" s="780" t="s">
        <v>349</v>
      </c>
      <c r="B46" s="248" t="s">
        <v>427</v>
      </c>
      <c r="C46" s="249">
        <f>ROUND((C33+C39)*F27,0)</f>
        <v>130</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1569</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1098</v>
      </c>
      <c r="D51" s="232"/>
      <c r="E51" s="232"/>
      <c r="F51" s="264"/>
      <c r="G51" s="234" t="s">
        <v>37</v>
      </c>
    </row>
    <row r="52" spans="1:7" s="208" customFormat="1" ht="16.5" thickBot="1">
      <c r="A52" s="265" t="s">
        <v>38</v>
      </c>
      <c r="B52" s="266"/>
      <c r="C52" s="267">
        <f ca="1">C31+C51</f>
        <v>26983</v>
      </c>
      <c r="D52" s="266"/>
      <c r="E52" s="266"/>
      <c r="F52" s="266"/>
      <c r="G52" s="268"/>
    </row>
    <row r="55" spans="1:7" ht="15">
      <c r="B55" s="270" t="s">
        <v>39</v>
      </c>
      <c r="C55" s="271"/>
    </row>
    <row r="56" spans="1:7">
      <c r="B56" s="273" t="s">
        <v>40</v>
      </c>
      <c r="C56" s="274">
        <f ca="1">ROUND(C51/C52,3)</f>
        <v>4.1000000000000002E-2</v>
      </c>
    </row>
    <row r="57" spans="1:7">
      <c r="B57" s="273" t="s">
        <v>41</v>
      </c>
      <c r="C57" s="275">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234" sqref="A234:G276"/>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B236" sqref="B23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3238</v>
      </c>
      <c r="B1" s="3774"/>
      <c r="C1" s="3774"/>
      <c r="D1" s="3774"/>
      <c r="E1" s="3774"/>
      <c r="F1" s="377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3"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45114</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topLeftCell="A13" workbookViewId="0">
      <selection activeCell="E23" sqref="E2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45114</v>
      </c>
      <c r="D1" s="1302" t="s">
        <v>603</v>
      </c>
      <c r="E1" s="1297">
        <f>'数据-取费表'!B22</f>
        <v>1</v>
      </c>
      <c r="F1" s="1302" t="s">
        <v>604</v>
      </c>
      <c r="G1" s="1298">
        <f ca="1">INDIRECT("d"&amp;$K$1)/100</f>
        <v>3.5499999999999997E-2</v>
      </c>
      <c r="H1" s="1302" t="s">
        <v>634</v>
      </c>
      <c r="I1" s="1298">
        <f ca="1">F4/100</f>
        <v>1.4999999999999999E-2</v>
      </c>
      <c r="J1" s="1303">
        <f>IF(C1&gt;C13,0,MATCH(C1,C$13:C$110,-1))+IF(SUMIF(C13:C110,C1,D13:D110)=0,13,12)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2023-07-12T01:20:53Z</dcterms:modified>
</cp:coreProperties>
</file>