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80" yWindow="30" windowWidth="14970" windowHeight="1252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Z18" i="1"/>
  <c r="D33" i="43"/>
  <c r="AF6" i="1"/>
  <c r="S21" i="1" l="1"/>
  <c r="R21" i="1"/>
  <c r="D3" i="4"/>
  <c r="L52" i="15" l="1"/>
  <c r="Y6"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26" i="67"/>
  <c r="D6" i="73"/>
  <c r="M23" i="15"/>
  <c r="E8" i="76"/>
  <c r="E10" i="76"/>
  <c r="M29" i="15"/>
  <c r="F3" i="73"/>
  <c r="M22" i="15"/>
  <c r="F37" i="67"/>
  <c r="F43" i="15"/>
  <c r="E13" i="76"/>
  <c r="M8" i="67"/>
  <c r="F8" i="15"/>
  <c r="D3" i="73"/>
  <c r="F40" i="15"/>
  <c r="F36" i="15"/>
  <c r="F6" i="15"/>
  <c r="F13" i="15"/>
  <c r="M22" i="67"/>
  <c r="M26" i="67"/>
  <c r="L47" i="67"/>
  <c r="F5" i="73"/>
  <c r="B8" i="76"/>
  <c r="E2" i="68"/>
  <c r="F26" i="15"/>
  <c r="M8" i="15"/>
  <c r="F16" i="15"/>
  <c r="D5" i="73"/>
  <c r="B13" i="76"/>
  <c r="F8" i="67"/>
  <c r="L47" i="15"/>
  <c r="M6" i="67"/>
  <c r="F7" i="67"/>
  <c r="M28" i="15"/>
  <c r="M24" i="67"/>
  <c r="M26" i="15"/>
  <c r="D7" i="73"/>
  <c r="M9" i="15"/>
  <c r="F4" i="73"/>
  <c r="F43" i="67"/>
  <c r="M24" i="15"/>
  <c r="M28" i="67"/>
  <c r="C76" i="15"/>
  <c r="J15" i="67"/>
  <c r="E11" i="76"/>
  <c r="F36" i="67"/>
  <c r="D4" i="73"/>
  <c r="C76" i="67"/>
  <c r="M9" i="67"/>
  <c r="E7" i="76"/>
  <c r="F37" i="15"/>
  <c r="L48" i="15"/>
  <c r="B9" i="76"/>
  <c r="F9" i="15"/>
  <c r="B12" i="76"/>
  <c r="L48" i="67"/>
  <c r="F6" i="73"/>
  <c r="F13" i="67"/>
  <c r="F38" i="67"/>
  <c r="F40" i="67"/>
  <c r="F6" i="67"/>
  <c r="F42" i="67"/>
  <c r="M6" i="15"/>
  <c r="F42" i="15"/>
  <c r="J15" i="15"/>
  <c r="M23" i="67"/>
  <c r="B11" i="76"/>
  <c r="E12" i="76"/>
  <c r="F38" i="15"/>
  <c r="F7" i="15"/>
  <c r="B10" i="76"/>
  <c r="E9" i="76"/>
  <c r="F9" i="67"/>
  <c r="B7" i="76"/>
  <c r="F7" i="73"/>
  <c r="F16" i="67"/>
  <c r="F20" i="31"/>
  <c r="M29" i="67"/>
  <c r="E2" i="69"/>
  <c r="AH6" i="3" l="1"/>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BL5" i="3"/>
  <c r="BA5" i="3"/>
  <c r="C28" i="67"/>
  <c r="G6" i="1"/>
  <c r="I24" i="43"/>
  <c r="J51" i="15"/>
  <c r="D68" i="9"/>
  <c r="M18" i="15"/>
  <c r="F30" i="69"/>
  <c r="F48" i="69" s="1"/>
  <c r="M18" i="67"/>
  <c r="F31" i="12"/>
  <c r="F30" i="11"/>
  <c r="C48" i="11" s="1"/>
  <c r="G28" i="6"/>
  <c r="E28" i="6" s="1"/>
  <c r="K14" i="1" s="1"/>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E26" i="43" l="1"/>
  <c r="H26" i="43"/>
  <c r="C30" i="11"/>
  <c r="C30" i="69"/>
  <c r="N94" i="46"/>
  <c r="J26" i="43"/>
  <c r="N370" i="46"/>
  <c r="G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 i="74" l="1"/>
  <c r="B14" i="7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4" i="74" l="1"/>
  <c r="B2" i="74" s="1"/>
  <c r="D7" i="74"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3" i="67"/>
  <c r="J19" i="67"/>
  <c r="C34" i="68"/>
  <c r="E6" i="76"/>
  <c r="C14" i="15"/>
  <c r="B6" i="76"/>
  <c r="B3" i="43" l="1"/>
  <c r="L50" i="15"/>
  <c r="Q58" i="15" s="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C5" i="68"/>
  <c r="C23" i="68" s="1"/>
  <c r="C21" i="12"/>
  <c r="C22" i="12"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39" i="68"/>
  <c r="C43" i="68" s="1"/>
  <c r="C91" i="9"/>
  <c r="C27" i="12"/>
  <c r="C25" i="12" s="1"/>
  <c r="C30" i="12"/>
  <c r="C28" i="12" s="1"/>
  <c r="J7" i="35"/>
  <c r="W7" i="35" s="1"/>
  <c r="D6" i="71"/>
  <c r="C5"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25" i="68"/>
  <c r="C22" i="68" s="1"/>
  <c r="C31" i="68" s="1"/>
  <c r="C46" i="68"/>
  <c r="C45" i="68" s="1"/>
  <c r="L67" i="39"/>
  <c r="K69" i="39"/>
  <c r="AC7" i="35"/>
  <c r="V38" i="35" s="1"/>
  <c r="I38" i="35" s="1"/>
  <c r="J65" i="40"/>
  <c r="K63" i="40"/>
  <c r="I52" i="21"/>
  <c r="J52" i="21" s="1"/>
  <c r="U7" i="35"/>
  <c r="AB7" i="35"/>
  <c r="T38" i="35" s="1"/>
  <c r="G38" i="35" s="1"/>
  <c r="R49" i="21"/>
  <c r="E48" i="21"/>
  <c r="G52" i="21"/>
  <c r="H52" i="21" s="1"/>
  <c r="G53" i="21"/>
  <c r="H53" i="21" s="1"/>
  <c r="F7" i="35"/>
  <c r="F35" i="67"/>
  <c r="M21" i="15"/>
  <c r="F35" i="15"/>
  <c r="M21" i="67"/>
  <c r="C92" i="9" l="1"/>
  <c r="C94" i="9"/>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12" i="1"/>
  <c r="AO9"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H101" i="9"/>
  <c r="H107" i="9" s="1"/>
  <c r="D13" i="53" s="1"/>
  <c r="I118" i="9"/>
  <c r="I4" i="52" s="1"/>
  <c r="M49" i="9"/>
  <c r="F4" i="52"/>
  <c r="B51" i="72" s="1"/>
  <c r="G118" i="9"/>
  <c r="G4" i="52" s="1"/>
  <c r="B52" i="72" s="1"/>
  <c r="D119" i="9"/>
  <c r="D5" i="52" s="1"/>
  <c r="B49" i="72" s="1"/>
  <c r="C104" i="9"/>
  <c r="H119" i="9"/>
  <c r="H5" i="52" s="1"/>
  <c r="C105" i="9" l="1"/>
  <c r="H102" i="9"/>
  <c r="F14" i="74"/>
  <c r="E14" i="74"/>
  <c r="B5" i="74"/>
  <c r="D5" i="74" s="1"/>
  <c r="E118" i="9"/>
  <c r="E4" i="52" s="1"/>
  <c r="B48" i="72" s="1"/>
  <c r="M48" i="9"/>
  <c r="H108" i="9"/>
  <c r="D15" i="53" s="1"/>
  <c r="B31" i="72" s="1"/>
  <c r="D5" i="53"/>
  <c r="B20" i="72" s="1"/>
  <c r="D45" i="9"/>
  <c r="C64" i="9" s="1"/>
  <c r="C63" i="9" s="1"/>
  <c r="C67" i="9" s="1"/>
  <c r="D122" i="9"/>
  <c r="L65" i="9"/>
  <c r="M65" i="9" s="1"/>
  <c r="L68" i="9"/>
  <c r="M68" i="9" s="1"/>
  <c r="L63" i="9"/>
  <c r="M63" i="9" s="1"/>
  <c r="L66" i="9"/>
  <c r="M66" i="9" s="1"/>
  <c r="L64" i="9"/>
  <c r="M64" i="9" s="1"/>
  <c r="L67" i="9"/>
  <c r="M67" i="9" s="1"/>
  <c r="D7" i="53"/>
  <c r="B21" i="72" s="1"/>
  <c r="B30" i="72"/>
  <c r="D14" i="53"/>
  <c r="B32" i="72" s="1"/>
  <c r="C5" i="74" l="1"/>
  <c r="D8" i="52"/>
  <c r="G14" i="74"/>
  <c r="B6" i="74" s="1"/>
  <c r="D6" i="74" s="1"/>
  <c r="D123" i="9"/>
  <c r="D9" i="52" s="1"/>
  <c r="D6" i="53"/>
  <c r="B22" i="72" s="1"/>
  <c r="D52" i="9"/>
  <c r="C6" i="74"/>
  <c r="D55" i="9"/>
  <c r="M53" i="9" s="1"/>
  <c r="C72" i="9"/>
  <c r="D53" i="9"/>
  <c r="C85" i="9"/>
  <c r="C78" i="9"/>
  <c r="C73" i="9" s="1"/>
  <c r="C93" i="9"/>
  <c r="C86" i="9" s="1"/>
  <c r="M69" i="9"/>
  <c r="N69" i="9" s="1"/>
  <c r="C68" i="9"/>
  <c r="D54" i="9" s="1"/>
  <c r="D59" i="9"/>
  <c r="M55" i="9" s="1"/>
  <c r="D48" i="9" l="1"/>
  <c r="M52" i="9" s="1"/>
  <c r="C79" i="9"/>
  <c r="C80" i="9" s="1"/>
  <c r="E80" i="9" s="1"/>
  <c r="E81" i="9" s="1"/>
  <c r="C95" i="9"/>
  <c r="C81" i="9"/>
  <c r="C96" i="9" l="1"/>
  <c r="E96" i="9" s="1"/>
  <c r="E97" i="9" s="1"/>
  <c r="C97" i="9" l="1"/>
  <c r="D58" i="9" s="1"/>
  <c r="D56" i="9" s="1"/>
  <c r="M54" i="9" s="1"/>
  <c r="N57" i="9" s="1"/>
  <c r="N58" i="9" s="1"/>
  <c r="N59" i="9" l="1"/>
  <c r="P57" i="9"/>
  <c r="N60" i="9" l="1"/>
  <c r="H111" i="9"/>
  <c r="N61" i="9"/>
  <c r="H112" i="9" s="1"/>
  <c r="D126" i="9" l="1"/>
  <c r="I14" i="74" s="1"/>
  <c r="B8" i="74" s="1"/>
  <c r="D8" i="74" s="1"/>
  <c r="D19" i="53"/>
  <c r="D21" i="53"/>
  <c r="B39" i="72" s="1"/>
  <c r="C8" i="74"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<sst xmlns="http://schemas.openxmlformats.org/spreadsheetml/2006/main" count="7831" uniqueCount="3428">
  <si>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</si>
  <si>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</si>
  <si>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</si>
  <si>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</si>
  <si>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</si>
  <si>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</si>
  <si>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</si>
  <si>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</si>
  <si>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</si>
  <si>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</si>
  <si>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</si>
  <si>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</si>
  <si>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</si>
  <si>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</si>
  <si>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</si>
  <si>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</si>
  <si>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</si>
  <si>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</si>
  <si>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</si>
  <si>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</si>
  <si>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</si>
  <si>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</si>
  <si>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</si>
  <si>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</si>
  <si>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</si>
  <si>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</si>
  <si>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</si>
  <si>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</si>
  <si>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</si>
  <si>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</si>
  <si>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</si>
  <si>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</si>
  <si>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</si>
  <si>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</si>
  <si>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</si>
  <si>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</si>
  <si>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</si>
  <si>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</si>
  <si>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</si>
  <si>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</si>
  <si>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</si>
  <si>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</si>
  <si>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</si>
  <si>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</si>
  <si>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</si>
  <si>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</si>
  <si>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</si>
  <si>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</si>
  <si>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</si>
  <si>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</si>
  <si>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</si>
  <si>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</si>
  <si>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</si>
  <si>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</si>
  <si>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</si>
  <si>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</si>
  <si>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</si>
  <si>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</si>
  <si>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</si>
  <si>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</si>
  <si>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</si>
  <si>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</si>
  <si>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</si>
  <si>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</si>
  <si>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</si>
  <si>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</si>
  <si>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</si>
  <si>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</si>
  <si>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</si>
  <si>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</si>
  <si>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</si>
  <si>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</si>
  <si>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</si>
  <si>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</si>
  <si>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</si>
  <si>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</si>
  <si>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</si>
  <si>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</si>
  <si>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</si>
  <si>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</si>
  <si>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</si>
  <si>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</si>
  <si>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</si>
  <si>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</si>
  <si>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</si>
  <si>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</si>
  <si>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</si>
  <si>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</si>
  <si>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</si>
  <si>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</si>
  <si>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</si>
  <si>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</si>
  <si>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</si>
  <si>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</si>
  <si>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</si>
  <si>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</si>
  <si>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</si>
  <si>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</si>
  <si>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</si>
  <si>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</si>
  <si>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</si>
  <si>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</si>
  <si>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</si>
  <si>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</si>
  <si>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</si>
  <si>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</si>
  <si>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</si>
  <si>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</si>
  <si>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</si>
  <si>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</si>
  <si>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</si>
  <si>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</si>
  <si>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</si>
  <si>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</si>
  <si>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</si>
  <si>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</si>
  <si>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</si>
  <si>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</si>
  <si>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</si>
  <si>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</si>
  <si>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</si>
  <si>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</si>
  <si>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</si>
  <si>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</si>
  <si>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</si>
  <si>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</si>
  <si>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</si>
  <si>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</si>
  <si>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</si>
  <si>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</si>
  <si>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</si>
  <si>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</si>
  <si>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</si>
  <si>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</si>
  <si>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</si>
  <si>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</si>
  <si>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</si>
  <si>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</si>
  <si>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</si>
  <si>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</si>
  <si>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</si>
  <si>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</si>
  <si>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</si>
  <si>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</si>
  <si>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</si>
  <si>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</si>
  <si>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</si>
  <si>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</si>
  <si>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</si>
  <si>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</si>
  <si>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</si>
  <si>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</si>
  <si>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</si>
  <si>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</si>
  <si>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</si>
  <si>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</si>
  <si>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</si>
  <si>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</si>
  <si>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</si>
  <si>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</si>
  <si>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</si>
  <si>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</si>
  <si>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</si>
  <si>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</si>
  <si>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</si>
  <si>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</si>
  <si>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</si>
  <si>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</si>
  <si>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</si>
  <si>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</si>
  <si>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</si>
  <si>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</si>
  <si>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</si>
  <si>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</si>
  <si>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</si>
  <si>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</si>
  <si>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</si>
  <si>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</si>
  <si>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</si>
  <si>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</si>
  <si>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</si>
  <si>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</si>
  <si>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</si>
  <si>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</si>
  <si>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</si>
  <si>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</si>
  <si>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</si>
  <si>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</si>
  <si>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</si>
  <si>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</si>
  <si>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</si>
  <si>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</si>
  <si>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</si>
  <si>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</si>
  <si>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</si>
  <si>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</si>
  <si>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</si>
  <si>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</si>
  <si>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</si>
  <si>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</si>
  <si>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</si>
  <si>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</si>
  <si>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</si>
  <si>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</si>
  <si>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</si>
  <si>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</si>
  <si>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</si>
  <si>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</si>
  <si>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</si>
  <si>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</si>
  <si>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</si>
  <si>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</si>
  <si>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</si>
  <si>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</si>
  <si>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</si>
  <si>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</si>
  <si>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</si>
  <si>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</si>
  <si>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</si>
  <si>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</si>
  <si>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</si>
  <si>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</si>
  <si>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</si>
  <si>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</si>
  <si>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</si>
  <si>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</si>
  <si>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</si>
  <si>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</si>
  <si>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</si>
  <si>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</si>
  <si>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</si>
  <si>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</si>
  <si>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</si>
  <si>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</si>
  <si>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</si>
  <si>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</si>
  <si>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</si>
  <si>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</si>
  <si>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</si>
  <si>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</si>
  <si>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</si>
  <si>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</si>
  <si>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</si>
  <si>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</si>
  <si>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</si>
  <si>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</si>
  <si>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</si>
  <si>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</si>
  <si>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</si>
  <si>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</si>
  <si>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</si>
  <si>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</si>
  <si>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</si>
  <si>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</si>
  <si>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</si>
  <si>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</si>
  <si>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</si>
  <si>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</si>
  <si>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</si>
  <si>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</si>
  <si>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</si>
  <si>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</si>
  <si>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</si>
  <si>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</si>
  <si>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</si>
  <si>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</si>
  <si>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</si>
  <si>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</si>
  <si>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</si>
  <si>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</si>
  <si>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</si>
  <si>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</si>
  <si>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</si>
  <si>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</si>
  <si>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</si>
  <si>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</si>
  <si>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</si>
  <si>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</si>
  <si>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</si>
  <si>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</si>
  <si>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</si>
  <si>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</si>
  <si>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</si>
  <si>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</si>
  <si>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</si>
  <si>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</si>
  <si>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</si>
  <si>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</si>
  <si>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</si>
  <si>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</si>
  <si>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</si>
  <si>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</si>
  <si>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</si>
  <si>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</si>
  <si>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</si>
  <si>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</si>
  <si>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</si>
  <si>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</si>
  <si>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</si>
  <si>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</si>
  <si>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</si>
  <si>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</si>
  <si>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</si>
  <si>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</si>
  <si>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</si>
  <si>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</si>
  <si>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</si>
  <si>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</si>
  <si>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</si>
  <si>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</si>
  <si>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</si>
  <si>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</si>
  <si>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</si>
  <si>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</si>
  <si>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</si>
  <si>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</si>
  <si>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</si>
  <si>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</si>
  <si>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</si>
  <si>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</si>
  <si>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</si>
  <si>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</si>
  <si>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</si>
  <si>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</si>
  <si>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</si>
  <si>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</si>
  <si>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</si>
  <si>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</si>
  <si>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</si>
  <si>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</si>
  <si>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</si>
  <si>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</si>
  <si>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</si>
  <si>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</si>
  <si>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</si>
  <si>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</si>
  <si>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</si>
  <si>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</si>
  <si>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</si>
  <si>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</si>
  <si>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</si>
  <si>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</si>
  <si>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</si>
  <si>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</si>
  <si>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</si>
  <si>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</si>
  <si>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</si>
  <si>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</si>
  <si>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</si>
  <si>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</si>
  <si>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</si>
  <si>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</si>
  <si>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</si>
  <si>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</si>
  <si>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</si>
  <si>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</si>
  <si>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</si>
  <si>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</si>
  <si>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</si>
  <si>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</si>
  <si>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</si>
  <si>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</si>
  <si>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</si>
  <si>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</si>
  <si>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</si>
  <si>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</si>
  <si>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</si>
  <si>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</si>
  <si>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</si>
  <si>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</si>
  <si>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</si>
  <si>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</si>
  <si>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</si>
  <si>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</si>
  <si>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</si>
  <si>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</si>
  <si>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</si>
  <si>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</si>
  <si>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</si>
  <si>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</si>
  <si>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</si>
  <si>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</si>
  <si>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</si>
  <si>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</si>
  <si>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</si>
  <si>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</si>
  <si>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</si>
  <si>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</si>
  <si>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</si>
  <si>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</si>
  <si>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</si>
  <si>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</si>
  <si>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</si>
  <si>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</si>
  <si>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</si>
  <si>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</si>
  <si>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</si>
  <si>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</si>
  <si>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</si>
  <si>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</si>
  <si>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</si>
  <si>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</si>
  <si>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</si>
  <si>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</si>
  <si>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</si>
  <si>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</si>
  <si>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</si>
  <si>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</si>
  <si>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</si>
  <si>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</si>
  <si>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</si>
  <si>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</si>
  <si>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</si>
  <si>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</si>
  <si>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</si>
  <si>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</si>
  <si>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</si>
  <si>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</si>
  <si>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</si>
  <si>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</si>
  <si>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</si>
  <si>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</si>
  <si>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</si>
  <si>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</si>
  <si>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</si>
  <si>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</si>
  <si>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</si>
  <si>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</si>
  <si>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</si>
  <si>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</si>
  <si>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</si>
  <si>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</si>
  <si>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</si>
  <si>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</si>
  <si>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</si>
  <si>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</si>
  <si>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</si>
  <si>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</si>
  <si>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</si>
  <si>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</si>
  <si>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</si>
  <si>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</si>
  <si>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</si>
  <si>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</si>
  <si>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</si>
  <si>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</si>
  <si>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</si>
  <si>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</si>
  <si>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</si>
  <si>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</si>
  <si>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</si>
  <si>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</si>
  <si>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</si>
  <si>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</si>
  <si>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</si>
  <si>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</si>
  <si>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</si>
  <si>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</si>
  <si>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</si>
  <si>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</si>
  <si>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</si>
  <si>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</si>
  <si>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</si>
  <si>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</si>
  <si>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</si>
  <si>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</si>
  <si>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</si>
  <si>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</si>
  <si>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</si>
  <si>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</si>
  <si>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</si>
  <si>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</si>
  <si>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</si>
  <si>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</si>
  <si>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</si>
  <si>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</si>
  <si>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</si>
  <si>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</si>
  <si>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</si>
  <si>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</si>
  <si>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</si>
  <si>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</si>
  <si>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</si>
  <si>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</si>
  <si>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</si>
  <si>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</si>
  <si>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</si>
  <si>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</si>
  <si>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</si>
  <si>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</si>
  <si>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</si>
  <si>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</si>
  <si>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</si>
  <si>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</si>
  <si>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</si>
  <si>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</si>
  <si>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</si>
  <si>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</si>
  <si>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</si>
  <si>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</si>
  <si>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</si>
  <si>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</si>
  <si>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</si>
  <si>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</si>
  <si>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</si>
  <si>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</si>
  <si>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</si>
  <si>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</si>
  <si>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</si>
  <si>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</si>
  <si>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</si>
  <si>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</si>
  <si>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</si>
  <si>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</si>
  <si>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</si>
  <si>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</si>
  <si>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</si>
  <si>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</si>
  <si>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</si>
  <si>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</si>
  <si>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</si>
  <si>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</si>
  <si>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</si>
  <si>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</si>
  <si>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</si>
  <si>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</si>
  <si>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</si>
  <si>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</si>
  <si>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</si>
  <si>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</si>
  <si>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</si>
  <si>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</si>
  <si>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</si>
  <si>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</si>
  <si>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</si>
  <si>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</si>
  <si>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</si>
  <si>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</si>
  <si>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</si>
  <si>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</si>
  <si>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</si>
  <si>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</si>
  <si>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</si>
  <si>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</si>
  <si>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</si>
  <si>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</si>
  <si>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</si>
  <si>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</si>
  <si>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</si>
  <si>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</si>
  <si>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</si>
  <si>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</si>
  <si>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</si>
  <si>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</si>
  <si>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</si>
  <si>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</si>
  <si>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</si>
  <si>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</si>
  <si>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</si>
  <si>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</si>
  <si>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</si>
  <si>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</si>
  <si>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</si>
  <si>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</si>
  <si>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</si>
  <si>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</si>
  <si>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</si>
  <si>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</si>
  <si>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</si>
  <si>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</si>
  <si>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</si>
  <si>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</si>
  <si>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</si>
  <si>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</si>
  <si>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</si>
  <si>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</si>
  <si>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</si>
  <si>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</si>
  <si>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</si>
  <si>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</si>
  <si>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</si>
  <si>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</si>
  <si>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</si>
  <si>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</si>
  <si>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</si>
  <si>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</si>
  <si>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</si>
  <si>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</si>
  <si>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</si>
  <si>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</si>
  <si>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</si>
  <si>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</si>
  <si>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</si>
  <si>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</si>
  <si>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</si>
  <si>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</si>
  <si>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</si>
  <si>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</si>
  <si>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</si>
  <si>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</si>
  <si>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</si>
  <si>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</si>
  <si>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</si>
  <si>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</si>
  <si>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</si>
  <si>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</si>
  <si>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</si>
  <si>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</si>
  <si>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</si>
  <si>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</si>
  <si>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</si>
  <si>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</si>
  <si>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</si>
  <si>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</si>
  <si>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</si>
  <si>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</si>
  <si>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</si>
  <si>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</si>
  <si>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</si>
  <si>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</si>
  <si>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</si>
  <si>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</si>
  <si>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</si>
  <si>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</si>
  <si>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</si>
  <si>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</si>
  <si>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</si>
  <si>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</si>
  <si>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</si>
  <si>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</si>
  <si>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</si>
  <si>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</si>
  <si>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</si>
  <si>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</si>
  <si>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</si>
  <si>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</si>
  <si>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</si>
  <si>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</si>
  <si>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</si>
  <si>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</si>
  <si>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</si>
  <si>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</si>
  <si>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</si>
  <si>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</si>
  <si>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</si>
  <si>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</si>
  <si>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</si>
  <si>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</si>
  <si>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</si>
  <si>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</si>
  <si>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</si>
  <si>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</si>
  <si>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</si>
  <si>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</si>
  <si>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</si>
  <si>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</si>
  <si>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</si>
  <si>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</si>
  <si>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</si>
  <si>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</si>
  <si>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</si>
  <si>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</si>
  <si>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</si>
  <si>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</si>
  <si>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</si>
  <si>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</si>
  <si>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</si>
  <si>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</si>
  <si>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</si>
  <si>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</si>
  <si>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</si>
  <si>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</si>
  <si>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</si>
  <si>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</si>
  <si>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</si>
  <si>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</si>
  <si>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</si>
  <si>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</si>
  <si>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</si>
  <si>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</si>
  <si>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</si>
  <si>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</si>
  <si>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</si>
  <si>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</si>
  <si>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</si>
  <si>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</si>
  <si>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</si>
  <si>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</si>
  <si>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</si>
  <si>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</si>
  <si>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</si>
  <si>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</si>
  <si>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</si>
  <si>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</si>
  <si>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</si>
  <si>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</si>
  <si>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</si>
  <si>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</si>
  <si>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</si>
  <si>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</si>
  <si>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</si>
  <si>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</si>
  <si>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</si>
  <si>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</si>
  <si>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</si>
  <si>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</si>
  <si>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</si>
  <si>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</si>
  <si>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</si>
  <si>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</si>
  <si>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</si>
  <si>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</si>
  <si>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</si>
  <si>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</si>
  <si>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</si>
  <si>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</si>
  <si>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</si>
  <si>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</si>
  <si>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</si>
  <si>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</si>
  <si>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</si>
  <si>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</si>
  <si>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</si>
  <si>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</si>
  <si>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</si>
  <si>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</si>
  <si>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</si>
  <si>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</si>
  <si>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</si>
  <si>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</si>
  <si>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</si>
  <si>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</si>
  <si>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</si>
  <si>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</si>
  <si>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</si>
  <si>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</si>
  <si>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</si>
  <si>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</si>
  <si>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</si>
  <si>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</si>
  <si>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</si>
  <si>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</si>
  <si>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</si>
  <si>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</si>
  <si>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</si>
  <si>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</si>
  <si>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</si>
  <si>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</si>
  <si>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</si>
  <si>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</si>
  <si>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</si>
  <si>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</si>
  <si>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</si>
  <si>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</si>
  <si>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</si>
  <si>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</si>
  <si>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</si>
  <si>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</si>
  <si>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</si>
  <si>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</si>
  <si>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</si>
  <si>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</si>
  <si>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</si>
  <si>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</si>
  <si>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</si>
  <si>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</si>
  <si>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</si>
  <si>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</si>
  <si>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</si>
  <si>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</si>
  <si>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</si>
  <si>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</si>
  <si>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</si>
  <si>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</si>
  <si>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</si>
  <si>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</si>
  <si>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</si>
  <si>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</si>
  <si>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</si>
  <si>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</si>
  <si>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</si>
  <si>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</si>
  <si>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</si>
  <si>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</si>
  <si>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</si>
  <si>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</si>
  <si>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</si>
  <si>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</si>
  <si>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</si>
  <si>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</si>
  <si>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</si>
  <si>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</si>
  <si>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</si>
  <si>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</si>
  <si>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</si>
  <si>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</si>
  <si>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</si>
  <si>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</si>
  <si>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</si>
  <si>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</si>
  <si>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</si>
  <si>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</si>
  <si>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</si>
  <si>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</si>
  <si>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</si>
  <si>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</si>
  <si>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</si>
  <si>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</si>
  <si>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</si>
  <si>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</si>
  <si>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</si>
  <si>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</si>
  <si>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</si>
  <si>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</si>
  <si>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</si>
  <si>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</si>
  <si>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</si>
  <si>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</si>
  <si>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</si>
  <si>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</si>
  <si>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</si>
  <si>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</si>
  <si>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</si>
  <si>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</si>
  <si>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</si>
  <si>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</si>
  <si>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</si>
  <si>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</si>
  <si>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</si>
  <si>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</si>
  <si>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</si>
  <si>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</si>
  <si>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</si>
  <si>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</si>
  <si>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</si>
  <si>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</si>
  <si>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</si>
  <si>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</si>
  <si>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</si>
  <si>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</si>
  <si>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</si>
  <si>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</si>
  <si>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</si>
  <si>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</si>
  <si>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</si>
  <si>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</si>
  <si>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</si>
  <si>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</si>
  <si>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</si>
  <si>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</si>
  <si>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</si>
  <si>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</si>
  <si>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</si>
  <si>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</si>
  <si>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</si>
  <si>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</si>
  <si>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</si>
  <si>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</si>
  <si>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</si>
  <si>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</si>
  <si>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</si>
  <si>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</si>
  <si>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</si>
  <si>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</si>
  <si>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</si>
  <si>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</si>
  <si>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</si>
  <si>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</si>
  <si>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</si>
  <si>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</si>
  <si>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</si>
  <si>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</si>
  <si>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</si>
  <si>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</si>
  <si>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</si>
  <si>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</si>
  <si>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</si>
  <si>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</si>
  <si>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</si>
  <si>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</si>
  <si>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</si>
  <si>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</si>
  <si>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</si>
  <si>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</si>
  <si>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</si>
  <si>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</si>
  <si>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</si>
  <si>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</si>
  <si>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</si>
  <si>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</si>
  <si>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</si>
  <si>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</si>
  <si>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</si>
  <si>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</si>
  <si>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</si>
  <si>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</si>
  <si>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</si>
  <si>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</si>
  <si>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</si>
  <si>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</si>
  <si>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</si>
  <si>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</si>
  <si>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</si>
  <si>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</si>
  <si>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</si>
  <si>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</si>
  <si>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</si>
  <si>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</si>
  <si>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</si>
  <si>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</si>
  <si>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</si>
  <si>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</si>
  <si>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</si>
  <si>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</si>
  <si>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</si>
  <si>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</si>
  <si>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</si>
  <si>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</si>
  <si>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</si>
  <si>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</si>
  <si>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</si>
  <si>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</si>
  <si>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</si>
  <si>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</si>
  <si>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</si>
  <si>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</si>
  <si>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</si>
  <si>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</si>
  <si>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</si>
  <si>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</si>
  <si>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</si>
  <si>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</si>
  <si>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</si>
  <si>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</si>
  <si>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</si>
  <si>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</si>
  <si>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</si>
  <si>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</si>
  <si>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</si>
  <si>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</si>
  <si>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</si>
  <si>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</si>
  <si>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</si>
  <si>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</si>
  <si>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</si>
  <si>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</si>
  <si>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</si>
  <si>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</si>
  <si>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</si>
  <si>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</si>
  <si>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</si>
  <si>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</si>
  <si>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</si>
  <si>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</si>
  <si>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</si>
  <si>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</si>
  <si>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</si>
  <si>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</si>
  <si>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</si>
  <si>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</si>
  <si>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</si>
  <si>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</si>
  <si>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</si>
  <si>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</si>
  <si>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</si>
  <si>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</si>
  <si>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</si>
  <si>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</si>
  <si>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</si>
  <si>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</si>
  <si>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</si>
  <si>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</si>
  <si>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</si>
  <si>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</si>
  <si>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</si>
  <si>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</si>
  <si>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</si>
  <si>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</si>
  <si>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</si>
  <si>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</si>
  <si>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</si>
  <si>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</si>
  <si>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</si>
  <si>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</si>
  <si>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</si>
  <si>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</si>
  <si>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</si>
  <si>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</si>
  <si>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</si>
  <si>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</si>
  <si>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</si>
  <si>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</si>
  <si>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</si>
  <si>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</si>
  <si>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</si>
  <si>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</si>
  <si>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</si>
  <si>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</si>
  <si>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</si>
  <si>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</si>
  <si>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</si>
  <si>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</si>
  <si>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</si>
  <si>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</si>
  <si>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</si>
  <si>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</si>
  <si>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</si>
  <si>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</si>
  <si>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</si>
  <si>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</si>
  <si>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</si>
  <si>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</si>
  <si>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</si>
  <si>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</si>
  <si>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</si>
  <si>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</si>
  <si>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</si>
  <si>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</si>
  <si>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</si>
  <si>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</si>
  <si>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</si>
  <si>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</si>
  <si>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</si>
  <si>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</si>
  <si>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</si>
  <si>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</si>
  <si>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</si>
  <si>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</si>
  <si>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</si>
  <si>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</si>
  <si>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</si>
  <si>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</si>
  <si>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</si>
  <si>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</si>
  <si>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</si>
  <si>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</si>
  <si>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</si>
  <si>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</si>
  <si>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</si>
  <si>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</si>
  <si>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</si>
  <si>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</si>
  <si>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</si>
  <si>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</si>
  <si>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</si>
  <si>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</si>
  <si>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</si>
  <si>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</si>
  <si>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</si>
  <si>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</si>
  <si>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</si>
  <si>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</si>
  <si>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</si>
  <si>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</si>
  <si>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</si>
  <si>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</si>
  <si>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</si>
  <si>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</si>
  <si>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</si>
  <si>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</si>
  <si>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</si>
  <si>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</si>
  <si>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</si>
  <si>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</si>
  <si>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</si>
  <si>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</si>
  <si>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</si>
  <si>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</si>
  <si>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</si>
  <si>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</si>
  <si>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</si>
  <si>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</si>
  <si>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</si>
  <si>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</si>
  <si>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</si>
  <si>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</si>
  <si>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</si>
  <si>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</si>
  <si>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</si>
  <si>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</si>
  <si>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</si>
  <si>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</si>
  <si>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</si>
  <si>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</si>
  <si>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</si>
  <si>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</si>
  <si>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</si>
  <si>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</si>
  <si>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</si>
  <si>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</si>
  <si>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</si>
  <si>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</si>
  <si>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</si>
  <si>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</si>
  <si>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</si>
  <si>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</si>
  <si>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</si>
  <si>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</si>
  <si>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</si>
  <si>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</si>
  <si>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</si>
  <si>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</si>
  <si>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</si>
  <si>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</si>
  <si>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</si>
  <si>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</si>
  <si>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</si>
  <si>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</si>
  <si>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</si>
  <si>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</si>
  <si>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</si>
  <si>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</si>
  <si>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</si>
  <si>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</si>
  <si>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</si>
  <si>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</si>
  <si>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</si>
  <si>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</si>
  <si>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</si>
  <si>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</si>
  <si>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</si>
  <si>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</si>
  <si>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</si>
  <si>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</si>
  <si>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</si>
  <si>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</si>
  <si>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</si>
  <si>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</si>
  <si>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</si>
  <si>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</si>
  <si>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</si>
  <si>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</si>
  <si>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</si>
  <si>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</si>
  <si>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</si>
  <si>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</si>
  <si>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</si>
  <si>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</si>
  <si>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</si>
  <si>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</si>
  <si>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</si>
  <si>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</si>
  <si>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</si>
  <si>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</si>
  <si>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</si>
  <si>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</si>
  <si>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</si>
  <si>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</si>
  <si>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</si>
  <si>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</si>
  <si>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</si>
  <si>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</si>
  <si>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</si>
  <si>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</si>
  <si>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</si>
  <si>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</si>
  <si>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</si>
  <si>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</si>
  <si>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</si>
  <si>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</si>
  <si>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</si>
  <si>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</si>
  <si>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</si>
  <si>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</si>
  <si>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</si>
  <si>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</si>
  <si>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</si>
  <si>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</si>
  <si>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</si>
  <si>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</si>
  <si>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</si>
  <si>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</si>
  <si>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</si>
  <si>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</si>
  <si>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</si>
  <si>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</si>
  <si>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</si>
  <si>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</si>
  <si>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</si>
  <si>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</si>
  <si>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</si>
  <si>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</si>
  <si>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</si>
  <si>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</si>
  <si>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</si>
  <si>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</si>
  <si>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</si>
  <si>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</si>
  <si>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</si>
  <si>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</si>
  <si>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</si>
  <si>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</si>
  <si>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</si>
  <si>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</si>
  <si>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</si>
  <si>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</si>
  <si>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</si>
  <si>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</si>
  <si>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</si>
  <si>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</si>
  <si>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</si>
  <si>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</si>
  <si>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</si>
  <si>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</si>
  <si>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</si>
  <si>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</si>
  <si>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</si>
  <si>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</si>
  <si>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</si>
  <si>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</si>
  <si>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</si>
  <si>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</si>
  <si>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</si>
  <si>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</si>
  <si>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</si>
  <si>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</si>
  <si>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</si>
  <si>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</si>
  <si>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</si>
  <si>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</si>
  <si>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</si>
  <si>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</si>
  <si>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</si>
  <si>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</si>
  <si>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</si>
  <si>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</si>
  <si>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</si>
  <si>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</si>
  <si>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</si>
  <si>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</si>
  <si>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</si>
  <si>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</si>
  <si>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</si>
  <si>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</si>
  <si>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</si>
  <si>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</si>
  <si>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</si>
  <si>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</si>
  <si>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</si>
  <si>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</si>
  <si>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</si>
  <si>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</si>
  <si>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</si>
  <si>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</si>
  <si>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</si>
  <si>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</si>
  <si>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</si>
  <si>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</si>
  <si>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</si>
  <si>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</si>
  <si>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</si>
  <si>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</si>
  <si>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</si>
  <si>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</si>
  <si>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</si>
  <si>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</si>
  <si>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</si>
  <si>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</si>
  <si>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</si>
  <si>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</si>
  <si>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</si>
  <si>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</si>
  <si>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</si>
  <si>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</si>
  <si>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</si>
  <si>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</si>
  <si>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</si>
  <si>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</si>
  <si>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</si>
  <si>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</si>
  <si>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</si>
  <si>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</si>
  <si>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</si>
  <si>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</si>
  <si>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</si>
  <si>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</si>
  <si>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</si>
  <si>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</si>
  <si>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</si>
  <si>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</si>
  <si>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</si>
  <si>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</si>
  <si>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</si>
  <si>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</si>
  <si>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</si>
  <si>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</si>
  <si>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</si>
  <si>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</si>
  <si>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</si>
  <si>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</si>
  <si>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</si>
  <si>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</si>
  <si>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</si>
  <si>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</si>
  <si>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</si>
  <si>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</si>
  <si>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</si>
  <si>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</si>
  <si>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</si>
  <si>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</si>
  <si>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</si>
  <si>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</si>
  <si>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</si>
  <si>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</si>
  <si>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</si>
  <si>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</si>
  <si>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</si>
  <si>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</si>
  <si>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</si>
  <si>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</si>
  <si>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</si>
  <si>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</si>
  <si>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</si>
  <si>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</si>
  <si>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</si>
  <si>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</si>
  <si>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</si>
  <si>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</si>
  <si>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</si>
  <si>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</si>
  <si>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</si>
  <si>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</si>
  <si>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</si>
  <si>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</si>
  <si>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</si>
  <si>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</si>
  <si>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</si>
  <si>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</si>
  <si>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</si>
  <si>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</si>
  <si>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</si>
  <si>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</si>
  <si>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</si>
  <si>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</si>
  <si>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</si>
  <si>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</si>
  <si>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</si>
  <si>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</si>
  <si>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</si>
  <si>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</si>
  <si>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</si>
  <si>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</si>
  <si>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</si>
  <si>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</si>
  <si>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</si>
  <si>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</si>
  <si>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</si>
  <si>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</si>
  <si>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</si>
  <si>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</si>
  <si>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</si>
  <si>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</si>
  <si>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</si>
  <si>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</si>
  <si>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</si>
  <si>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</si>
  <si>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</si>
  <si>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</si>
  <si>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</si>
  <si>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</si>
  <si>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</si>
  <si>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</si>
  <si>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</si>
  <si>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</si>
  <si>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</si>
  <si>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</si>
  <si>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</si>
  <si>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</si>
  <si>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</si>
  <si>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</si>
  <si>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</si>
  <si>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</si>
  <si>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</si>
  <si>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</si>
  <si>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</si>
  <si>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</si>
  <si>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</si>
  <si>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</si>
  <si>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</si>
  <si>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</si>
  <si>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</si>
  <si>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</si>
  <si>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</si>
  <si>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</si>
  <si>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</si>
  <si>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</si>
  <si>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</si>
  <si>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</si>
  <si>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</si>
  <si>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</si>
  <si>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</si>
  <si>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</si>
  <si>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</si>
  <si>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</si>
  <si>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</si>
  <si>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</si>
  <si>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</si>
  <si>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</si>
  <si>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</si>
  <si>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</si>
  <si>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</si>
  <si>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</si>
  <si>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</si>
  <si>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</si>
  <si>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</si>
  <si>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</si>
  <si>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</si>
  <si>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</si>
  <si>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</si>
  <si>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</si>
  <si>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</si>
  <si>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</si>
  <si>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</si>
  <si>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</si>
  <si>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</si>
  <si>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</si>
  <si>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</si>
  <si>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</si>
  <si>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</si>
  <si>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</si>
  <si>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</si>
  <si>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</si>
  <si>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</si>
  <si>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</si>
  <si>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</si>
  <si>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</si>
  <si>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</si>
  <si>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</si>
  <si>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</si>
  <si>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</si>
  <si>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</si>
  <si>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</si>
  <si>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</si>
  <si>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</si>
  <si>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</si>
  <si>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</si>
  <si>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</si>
  <si>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</si>
  <si>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</si>
  <si>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</si>
  <si>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</si>
  <si>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</si>
  <si>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</si>
  <si>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</si>
  <si>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</si>
  <si>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</si>
  <si>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</si>
  <si>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</si>
  <si>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</si>
  <si>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</si>
  <si>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</si>
  <si>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</si>
  <si>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</si>
  <si>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</si>
  <si>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</si>
  <si>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</si>
  <si>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</si>
  <si>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</si>
  <si>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</si>
  <si>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</si>
  <si>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</si>
  <si>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</si>
  <si>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</si>
  <si>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</si>
  <si>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</si>
  <si>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</si>
  <si>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</si>
  <si>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</si>
  <si>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</si>
  <si>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</si>
  <si>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</si>
  <si>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</si>
  <si>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</si>
  <si>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</si>
  <si>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</si>
  <si>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</si>
  <si>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</si>
  <si>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</si>
  <si>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</si>
  <si>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</si>
  <si>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</si>
  <si>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</si>
  <si>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</si>
  <si>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</si>
  <si>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</si>
  <si>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</si>
  <si>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</si>
  <si>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</si>
  <si>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</si>
  <si>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</si>
  <si>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</si>
  <si>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</si>
  <si>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</si>
  <si>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</si>
  <si>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</si>
  <si>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</si>
  <si>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</si>
  <si>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</si>
  <si>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</si>
  <si>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</si>
  <si>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</si>
  <si>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</si>
  <si>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</si>
  <si>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</si>
  <si>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</si>
  <si>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</si>
  <si>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</si>
  <si>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</si>
  <si>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</si>
  <si>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</si>
  <si>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</si>
  <si>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</si>
  <si>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</si>
  <si>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</si>
  <si>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</si>
  <si>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</si>
  <si>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</si>
  <si>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</si>
  <si>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</si>
  <si>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</si>
  <si>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</si>
  <si>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</si>
  <si>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</si>
  <si>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</si>
  <si>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</si>
  <si>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</si>
  <si>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</si>
  <si>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</si>
  <si>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</si>
  <si>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</si>
  <si>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</si>
  <si>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</si>
  <si>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</si>
  <si>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</si>
  <si>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</si>
  <si>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</si>
  <si>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</si>
  <si>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</si>
  <si>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</si>
  <si>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</si>
  <si>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</si>
  <si>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</si>
  <si>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</si>
  <si>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</si>
  <si>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</si>
  <si>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</si>
  <si>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</si>
  <si>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</si>
  <si>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</si>
  <si>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</si>
  <si>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</si>
  <si>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</si>
  <si>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</si>
  <si>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</si>
  <si>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</si>
  <si>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</si>
  <si>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</si>
  <si>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</si>
  <si>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</si>
  <si>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</si>
  <si>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</si>
  <si>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</si>
  <si>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</si>
  <si>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</si>
  <si>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</si>
  <si>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</si>
  <si>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</si>
  <si>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</si>
  <si>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</si>
  <si>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</si>
  <si>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</si>
  <si>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</si>
  <si>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</si>
  <si>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</si>
  <si>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</si>
  <si>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</si>
  <si>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</si>
  <si>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</si>
  <si>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</si>
  <si>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</si>
  <si>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</si>
  <si>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</si>
  <si>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</si>
  <si>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</si>
  <si>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</si>
  <si>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</si>
  <si>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</si>
  <si>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</si>
  <si>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</si>
  <si>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</si>
  <si>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</si>
  <si>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</si>
  <si>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</si>
  <si>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</si>
  <si>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</si>
  <si>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</si>
  <si>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</si>
  <si>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</si>
  <si>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</si>
  <si>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</si>
  <si>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</si>
  <si>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</si>
  <si>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</si>
  <si>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</si>
  <si>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</si>
  <si>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</si>
  <si>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</si>
  <si>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</si>
  <si>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</si>
  <si>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</si>
  <si>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</si>
  <si>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</si>
  <si>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</si>
  <si>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</si>
  <si>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</si>
  <si>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</si>
  <si>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</si>
  <si>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</si>
  <si>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</si>
  <si>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</si>
  <si>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</si>
  <si>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</si>
  <si>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</si>
  <si>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</si>
  <si>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</si>
  <si>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</si>
  <si>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</si>
  <si>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</si>
  <si>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</si>
  <si>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</si>
  <si>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</si>
  <si>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</si>
  <si>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</si>
  <si>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</si>
  <si>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</si>
  <si>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</si>
  <si>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</si>
  <si>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</si>
  <si>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</si>
  <si>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</si>
  <si>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</si>
  <si>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</si>
  <si>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</si>
  <si>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</si>
  <si>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</si>
  <si>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</si>
  <si>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</si>
  <si>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</si>
  <si>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</si>
  <si>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</si>
  <si>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</si>
  <si>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</si>
  <si>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</si>
  <si>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</si>
  <si>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</si>
  <si>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</si>
  <si>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</si>
  <si>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</si>
  <si>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</si>
  <si>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</si>
  <si>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</si>
  <si>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</si>
  <si>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</si>
  <si>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</si>
  <si>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</si>
  <si>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</si>
  <si>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</si>
  <si>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</si>
  <si>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</si>
  <si>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</si>
  <si>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</si>
  <si>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</si>
  <si>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</si>
  <si>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</si>
  <si>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</si>
  <si>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</si>
  <si>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</si>
  <si>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</si>
  <si>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</si>
  <si>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</si>
  <si>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</si>
  <si>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</si>
  <si>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</si>
  <si>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</si>
  <si>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</si>
  <si>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</si>
  <si>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</si>
  <si>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</si>
  <si>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</si>
  <si>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</si>
  <si>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</si>
  <si>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</si>
  <si>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</si>
  <si>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</si>
  <si>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</si>
  <si>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</si>
  <si>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</si>
  <si>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</si>
  <si>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</si>
  <si>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</si>
  <si>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</si>
  <si>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</si>
  <si>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</si>
  <si>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</si>
  <si>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</si>
  <si>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</si>
  <si>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</si>
  <si>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</si>
  <si>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</si>
  <si>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</si>
  <si>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</si>
  <si>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</si>
  <si>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</si>
  <si>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</si>
  <si>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</si>
  <si>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</si>
  <si>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</si>
  <si>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</si>
  <si>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</si>
  <si>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</si>
  <si>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</si>
  <si>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</si>
  <si>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</si>
  <si>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</si>
  <si>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</si>
  <si>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</si>
  <si>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</si>
  <si>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</si>
  <si>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</si>
  <si>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</si>
  <si>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</si>
  <si>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</si>
  <si>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</si>
  <si>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</si>
  <si>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</si>
  <si>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</si>
  <si>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</si>
  <si>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</si>
  <si>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</si>
  <si>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</si>
  <si>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</si>
  <si>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</si>
  <si>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</si>
  <si>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</si>
  <si>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</si>
  <si>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</si>
  <si>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</si>
  <si>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</si>
  <si>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</si>
  <si>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</si>
  <si>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</si>
  <si>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</si>
  <si>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</si>
  <si>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</si>
  <si>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</si>
  <si>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</si>
  <si>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</si>
  <si>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</si>
  <si>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</si>
  <si>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</si>
  <si>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</si>
  <si>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</si>
  <si>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</si>
  <si>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</si>
  <si>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</si>
  <si>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</si>
  <si>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</si>
  <si>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</si>
  <si>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</si>
  <si>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</si>
  <si>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</si>
  <si>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</si>
  <si>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</si>
  <si>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</si>
  <si>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</si>
  <si>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</si>
  <si>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</si>
  <si>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</si>
  <si>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</si>
  <si>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</si>
  <si>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</si>
  <si>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</si>
  <si>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</si>
  <si>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</si>
  <si>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</si>
  <si>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</si>
  <si>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</si>
  <si>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</si>
  <si>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</si>
  <si>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</si>
  <si>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</si>
  <si>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</si>
  <si>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</si>
  <si>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</si>
  <si>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</si>
  <si>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</si>
  <si>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</si>
  <si>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</si>
  <si>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</si>
  <si>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</si>
  <si>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</si>
  <si>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</si>
  <si>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</si>
  <si>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</si>
  <si>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</si>
  <si>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</si>
  <si>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</si>
  <si>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</si>
  <si>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</si>
  <si>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</si>
  <si>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</si>
  <si>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</si>
  <si>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</si>
  <si>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</si>
  <si>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</si>
  <si>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</si>
  <si>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</si>
  <si>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</si>
  <si>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</si>
  <si>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</si>
  <si>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</si>
  <si>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</si>
  <si>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</si>
  <si>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</si>
  <si>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</si>
  <si>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</si>
  <si>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</si>
  <si>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</si>
  <si>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</si>
  <si>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</si>
  <si>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</si>
  <si>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</si>
  <si>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</si>
  <si>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</si>
  <si>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</si>
  <si>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</si>
  <si>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</si>
  <si>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</si>
  <si>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</si>
  <si>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</si>
  <si>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</si>
  <si>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</si>
  <si>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</si>
  <si>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</si>
  <si>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</si>
  <si>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</si>
  <si>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</si>
  <si>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</si>
  <si>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</si>
  <si>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</si>
  <si>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</si>
  <si>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</si>
  <si>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</si>
  <si>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</si>
  <si>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</si>
  <si>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</si>
  <si>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</si>
  <si>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</si>
  <si>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</si>
  <si>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</si>
  <si>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</si>
  <si>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</si>
  <si>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</si>
  <si>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</si>
  <si>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</si>
  <si>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</si>
  <si>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</si>
  <si>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</si>
  <si>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</si>
  <si>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</si>
  <si>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</si>
  <si>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</si>
  <si>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</si>
  <si>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</si>
  <si>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</si>
  <si>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</si>
  <si>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</si>
  <si>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</si>
  <si>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</si>
  <si>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</si>
  <si>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</si>
  <si>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</si>
  <si>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</si>
  <si>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</si>
  <si>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</si>
  <si>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</si>
  <si>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</si>
  <si>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</si>
  <si>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</si>
  <si>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</si>
  <si>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</si>
  <si>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</si>
  <si>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</si>
  <si>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</si>
  <si>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</si>
  <si>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</si>
  <si>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</si>
  <si>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</si>
  <si>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</si>
  <si>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</si>
  <si>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</si>
  <si>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</si>
  <si>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</si>
  <si>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</si>
  <si>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</si>
  <si>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</si>
  <si>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</si>
  <si>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</si>
  <si>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</si>
  <si>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</si>
  <si>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</si>
  <si>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</si>
  <si>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</si>
  <si>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</si>
  <si>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</si>
  <si>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</si>
  <si>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</si>
  <si>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</si>
  <si>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</si>
  <si>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</si>
  <si>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</si>
  <si>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</si>
  <si>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</si>
  <si>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</si>
  <si>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</si>
  <si>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</si>
  <si>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</si>
  <si>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</si>
  <si>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</si>
  <si>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</si>
  <si>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</si>
  <si>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</si>
  <si>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</si>
  <si>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</si>
  <si>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</si>
  <si>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</si>
  <si>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</si>
  <si>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</si>
  <si>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</si>
  <si>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</si>
  <si>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</si>
  <si>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</si>
  <si>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</si>
  <si>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</si>
  <si>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</si>
  <si>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</si>
  <si>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</si>
  <si>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</si>
  <si>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</si>
  <si>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</si>
  <si>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</si>
  <si>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</si>
  <si>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</si>
  <si>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</si>
  <si>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</si>
  <si>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</si>
  <si>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</si>
  <si>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</si>
  <si>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</si>
  <si>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</si>
  <si>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</si>
  <si>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</si>
  <si>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</si>
  <si>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</si>
  <si>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</si>
  <si>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</si>
  <si>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</si>
  <si>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</si>
  <si>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</si>
  <si>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</si>
  <si>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</si>
  <si>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</si>
  <si>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</si>
  <si>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</si>
  <si>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</si>
  <si>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</si>
  <si>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</si>
  <si>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</si>
  <si>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</si>
  <si>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</si>
  <si>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</si>
  <si>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</si>
  <si>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</si>
  <si>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</si>
  <si>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</si>
  <si>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</si>
  <si>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</si>
  <si>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</si>
  <si>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</si>
  <si>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</si>
  <si>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</si>
  <si>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</si>
  <si>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</si>
  <si>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</si>
  <si>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</si>
  <si>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</si>
  <si>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</si>
  <si>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</si>
  <si>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</si>
  <si>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</si>
  <si>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</si>
  <si>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</si>
  <si>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</si>
  <si>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</si>
  <si>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</si>
  <si>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</si>
  <si>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</si>
  <si>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</si>
  <si>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</si>
  <si>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</si>
  <si>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</si>
  <si>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</si>
  <si>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</si>
  <si>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</si>
  <si>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</si>
  <si>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</si>
  <si>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</si>
  <si>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</si>
  <si>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</si>
  <si>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</si>
  <si>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</si>
  <si>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</si>
  <si>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</si>
  <si>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</si>
  <si>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</si>
  <si>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</si>
  <si>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</si>
  <si>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</si>
  <si>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</si>
  <si>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</si>
  <si>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</si>
  <si>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</si>
  <si>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</si>
  <si>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</si>
  <si>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</si>
  <si>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</si>
  <si>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</si>
  <si>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</si>
  <si>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</si>
  <si>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</si>
  <si>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</si>
  <si>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</si>
  <si>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</si>
  <si>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</si>
  <si>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</si>
  <si>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</si>
  <si>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</si>
  <si>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</si>
  <si>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</si>
  <si>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</si>
  <si>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</si>
  <si>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</si>
  <si>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</si>
  <si>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</si>
  <si>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</si>
  <si>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</si>
  <si>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</si>
  <si>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</si>
  <si>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</si>
  <si>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</si>
  <si>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</si>
  <si>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</si>
  <si>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</si>
  <si>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</si>
  <si>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</si>
  <si>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</si>
  <si>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</si>
  <si>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</si>
  <si>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</si>
  <si>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</si>
  <si>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</si>
  <si>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</si>
  <si>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</si>
  <si>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</si>
  <si>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</si>
  <si>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</si>
  <si>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</si>
  <si>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</si>
  <si>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</si>
  <si>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</si>
  <si>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</si>
  <si>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</si>
  <si>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</si>
  <si>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</si>
  <si>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</si>
  <si>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</si>
  <si>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</si>
  <si>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</si>
  <si>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</si>
  <si>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</si>
  <si>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</si>
  <si>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</si>
  <si>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</si>
  <si>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</si>
  <si>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</si>
  <si>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</si>
  <si>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</si>
  <si>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</si>
  <si>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</si>
  <si>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</si>
  <si>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</si>
  <si>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</si>
  <si>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</si>
  <si>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</si>
  <si>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</si>
  <si>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</si>
  <si>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</si>
  <si>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</si>
  <si>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</si>
  <si>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</si>
  <si>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</si>
  <si>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</si>
  <si>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</si>
  <si>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</si>
  <si>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</si>
  <si>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</si>
  <si>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</si>
  <si>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</si>
  <si>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</si>
  <si>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</si>
  <si>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</si>
  <si>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</si>
  <si>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</si>
  <si>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</si>
  <si>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</si>
  <si>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</si>
  <si>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</si>
  <si>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</si>
  <si>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</si>
  <si>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</si>
  <si>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</si>
  <si>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</si>
  <si>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</si>
  <si>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</si>
  <si>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</si>
  <si>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</si>
  <si>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</si>
  <si>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</si>
  <si>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</si>
  <si>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</si>
  <si>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</si>
  <si>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</si>
  <si>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</si>
  <si>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</si>
  <si>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</si>
  <si>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</si>
  <si>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</si>
  <si>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</si>
  <si>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</si>
  <si>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</si>
  <si>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</si>
  <si>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</si>
  <si>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</si>
  <si>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</si>
  <si>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</si>
  <si>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</si>
  <si>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</si>
  <si>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</si>
  <si>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</si>
  <si>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</si>
  <si>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</si>
  <si>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</si>
  <si>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</si>
  <si>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</si>
  <si>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</si>
  <si>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</si>
  <si>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</si>
  <si>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</si>
  <si>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</si>
  <si>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</si>
  <si>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</si>
  <si>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</si>
  <si>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</si>
  <si>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</si>
  <si>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</si>
  <si>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</si>
  <si>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</si>
  <si>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</si>
  <si>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</si>
  <si>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</si>
  <si>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</si>
  <si>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</si>
  <si>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</si>
  <si>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</si>
  <si>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</si>
  <si>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</si>
  <si>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</si>
  <si>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</si>
  <si>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</si>
  <si>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</si>
  <si>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</si>
  <si>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</si>
  <si>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</si>
  <si>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</si>
  <si>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</si>
  <si>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</si>
  <si>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</si>
  <si>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</si>
  <si>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</si>
  <si>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</si>
  <si>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</si>
  <si>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</si>
  <si>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</si>
  <si>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</si>
  <si>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</si>
  <si>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</si>
  <si>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</si>
  <si>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</si>
  <si>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</si>
  <si>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</si>
  <si>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</si>
  <si>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</si>
  <si>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</si>
  <si>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</si>
  <si>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</si>
  <si>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</si>
  <si>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</si>
  <si>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</si>
  <si>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</si>
  <si>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</si>
  <si>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</si>
  <si>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</si>
  <si>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</si>
  <si>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</si>
  <si>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</si>
  <si>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</si>
  <si>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</si>
  <si>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</si>
  <si>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</si>
  <si>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</si>
  <si>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</si>
  <si>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</si>
  <si>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</si>
  <si>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</si>
  <si>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</si>
  <si>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</si>
  <si>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</si>
  <si>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</si>
  <si>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</si>
  <si>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</si>
  <si>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</si>
  <si>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</si>
  <si>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</si>
  <si>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</si>
  <si>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</si>
  <si>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</si>
  <si>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</si>
  <si>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</si>
  <si>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</si>
  <si>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</si>
  <si>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</si>
  <si>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</si>
  <si>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</si>
  <si>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</si>
  <si>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</si>
  <si>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</si>
  <si>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</si>
  <si>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</si>
  <si>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</si>
  <si>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</si>
  <si>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</si>
  <si>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</si>
  <si>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</si>
  <si>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</si>
  <si>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</si>
  <si>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</si>
  <si>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</si>
  <si>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</si>
  <si>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</si>
  <si>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</si>
  <si>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</si>
  <si>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</si>
  <si>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</si>
  <si>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</si>
  <si>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</si>
  <si>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</si>
  <si>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</si>
  <si>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</si>
  <si>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</si>
  <si>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</si>
  <si>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</si>
  <si>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</si>
  <si>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</si>
  <si>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</si>
  <si>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</si>
  <si>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</si>
  <si>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</si>
  <si>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</si>
  <si>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</si>
  <si>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</si>
  <si>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</si>
  <si>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</si>
  <si>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</si>
  <si>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</si>
  <si>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</si>
  <si>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</si>
  <si>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</si>
  <si>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</si>
  <si>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</si>
  <si>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</si>
  <si>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</si>
  <si>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</si>
  <si>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</si>
  <si>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</si>
  <si>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</si>
  <si>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</si>
  <si>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</si>
  <si>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</si>
  <si>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</si>
  <si>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</si>
  <si>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</si>
  <si>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</si>
  <si>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</si>
  <si>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</si>
  <si>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</si>
  <si>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</si>
  <si>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</si>
  <si>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</si>
  <si>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</si>
  <si>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</si>
  <si>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</si>
  <si>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</si>
  <si>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</si>
  <si>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</si>
  <si>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</si>
  <si>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</si>
  <si>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</si>
  <si>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</si>
  <si>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</si>
  <si>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</si>
  <si>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</si>
  <si>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</si>
  <si>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</si>
  <si>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</si>
  <si>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</si>
  <si>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</si>
  <si>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</si>
  <si>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</si>
  <si>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</si>
  <si>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</si>
  <si>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</si>
  <si>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</si>
  <si>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</si>
  <si>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</si>
  <si>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</si>
  <si>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</si>
  <si>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</si>
  <si>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</si>
  <si>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</si>
  <si>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</si>
  <si>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</si>
  <si>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</si>
  <si>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</si>
  <si>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</si>
  <si>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</si>
  <si>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</si>
  <si>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</si>
  <si>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</si>
  <si>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</si>
  <si>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</si>
  <si>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</si>
  <si>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</si>
  <si>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</si>
  <si>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</si>
  <si>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</si>
  <si>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</si>
  <si>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</si>
  <si>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</si>
  <si>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</si>
  <si>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</si>
  <si>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</si>
  <si>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</si>
  <si>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</si>
  <si>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</si>
  <si>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</si>
  <si>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</si>
  <si>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</si>
  <si>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</si>
  <si>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</si>
  <si>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</si>
  <si>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</si>
  <si>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</si>
  <si>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</si>
  <si>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</si>
  <si>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</si>
  <si>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</si>
  <si>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</si>
  <si>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</si>
  <si>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</si>
  <si>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</si>
  <si>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</si>
  <si>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</si>
  <si>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</si>
  <si>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</si>
  <si>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</si>
  <si>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</si>
  <si>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</si>
  <si>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</si>
  <si>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</si>
  <si>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</si>
  <si>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</si>
  <si>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</si>
  <si>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</si>
  <si>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</si>
  <si>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</si>
  <si>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</si>
  <si>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</si>
  <si>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</si>
  <si>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</si>
  <si>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</si>
  <si>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</si>
  <si>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</si>
  <si>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</si>
  <si>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</si>
  <si>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</si>
  <si>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</si>
  <si>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</si>
  <si>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</si>
  <si>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</si>
  <si>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</si>
  <si>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</si>
  <si>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</si>
  <si>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</si>
  <si>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</si>
  <si>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</si>
  <si>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</si>
  <si>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</si>
  <si>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</si>
  <si>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</si>
  <si>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</si>
  <si>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</si>
  <si>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</si>
  <si>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</si>
  <si>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</si>
  <si>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</si>
  <si>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</si>
  <si>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</si>
  <si>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</si>
  <si>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</si>
  <si>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</si>
  <si>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</si>
  <si>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</si>
  <si>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</si>
  <si>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</si>
  <si>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</si>
  <si>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</si>
  <si>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</si>
  <si>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</si>
  <si>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</si>
  <si>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</si>
  <si>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</si>
  <si>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</si>
  <si>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</si>
  <si>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</si>
  <si>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</si>
  <si>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</si>
  <si>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</si>
  <si>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</si>
  <si>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</si>
  <si>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</si>
  <si>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</si>
  <si>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</si>
  <si>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</si>
  <si>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</si>
  <si>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</si>
  <si>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</si>
  <si>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</si>
  <si>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</si>
  <si>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</si>
  <si>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</si>
  <si>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</si>
  <si>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</si>
  <si>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</si>
  <si>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</si>
  <si>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</si>
  <si>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</si>
  <si>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</si>
  <si>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</si>
  <si>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</si>
  <si>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</si>
  <si>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</si>
  <si>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</si>
  <si>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</si>
  <si>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</si>
  <si>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</si>
  <si>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</si>
  <si>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</si>
  <si>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</si>
  <si>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</si>
  <si>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</si>
  <si>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</si>
  <si>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</si>
  <si>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</si>
  <si>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</si>
  <si>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</si>
  <si>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</si>
  <si>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</si>
  <si>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</si>
  <si>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</si>
  <si>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</si>
  <si>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</si>
  <si>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</si>
  <si>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</si>
  <si>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</si>
  <si>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</si>
  <si>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</si>
  <si>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</si>
  <si>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</si>
  <si>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</si>
  <si>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</si>
  <si>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</si>
  <si>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</si>
  <si>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</si>
  <si>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</si>
  <si>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</si>
  <si>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</si>
  <si>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</si>
  <si>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</si>
  <si>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</si>
  <si>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</si>
  <si>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</si>
  <si>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</si>
  <si>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</si>
  <si>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</si>
  <si>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</si>
  <si>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</si>
  <si>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</si>
  <si>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</si>
  <si>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</si>
  <si>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</si>
  <si>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</si>
  <si>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</si>
  <si>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</si>
  <si>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</si>
  <si>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</si>
  <si>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</si>
  <si>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</si>
  <si>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</si>
  <si>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</si>
  <si>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</si>
  <si>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</si>
  <si>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</si>
  <si>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</si>
  <si>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</si>
  <si>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</si>
  <si>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</si>
  <si>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</si>
  <si>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</si>
  <si>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</si>
  <si>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</si>
  <si>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</si>
  <si>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</si>
  <si>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</si>
  <si>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</si>
  <si>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</si>
  <si>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</si>
  <si>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</si>
  <si>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</si>
  <si>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</si>
  <si>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</si>
  <si>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</si>
  <si>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</si>
  <si>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</si>
  <si>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</si>
  <si>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</si>
  <si>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</si>
  <si>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</si>
  <si>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</si>
  <si>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</si>
  <si>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</si>
  <si>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</si>
  <si>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</si>
  <si>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</si>
  <si>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</si>
  <si>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</si>
  <si>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</si>
  <si>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</si>
  <si>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</si>
  <si>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</si>
  <si>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</si>
  <si>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</si>
  <si>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</si>
  <si>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</si>
  <si>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</si>
  <si>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</si>
  <si>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</si>
  <si>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</si>
  <si>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</si>
  <si>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</si>
  <si>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</si>
  <si>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</si>
  <si>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</si>
  <si>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</si>
  <si>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</si>
  <si>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</si>
  <si>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</si>
  <si>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</si>
  <si>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</si>
  <si>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</si>
  <si>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</si>
  <si>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</si>
  <si>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</si>
  <si>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</si>
  <si>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</si>
  <si>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</si>
  <si>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</si>
  <si>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</si>
  <si>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</si>
  <si>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</si>
  <si>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</si>
  <si>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</si>
  <si>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</si>
  <si>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</si>
  <si>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</si>
  <si>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</si>
  <si>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</si>
  <si>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</si>
  <si>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</si>
  <si>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</si>
  <si>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</si>
  <si>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</si>
  <si>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</si>
  <si>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</si>
  <si>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</si>
  <si>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</si>
  <si>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</si>
  <si>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</si>
  <si>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</si>
  <si>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</si>
  <si>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</si>
  <si>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</si>
  <si>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</si>
  <si>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</si>
  <si>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</si>
  <si>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</si>
  <si>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</si>
  <si>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</si>
  <si>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</si>
  <si>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</si>
  <si>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</si>
  <si>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</si>
  <si>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</si>
  <si>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</si>
  <si>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</si>
  <si>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</si>
  <si>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</si>
  <si>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</si>
  <si>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</si>
  <si>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</si>
  <si>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</si>
  <si>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</si>
  <si>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</si>
  <si>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</si>
  <si>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</si>
  <si>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</si>
  <si>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</si>
  <si>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</si>
  <si>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</si>
  <si>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</si>
  <si>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</si>
  <si>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</si>
  <si>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</si>
  <si>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</si>
  <si>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</si>
  <si>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</si>
  <si>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</si>
  <si>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</si>
  <si>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</si>
  <si>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</si>
  <si>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</si>
  <si>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</si>
  <si>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</si>
  <si>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</si>
  <si>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</si>
  <si>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</si>
  <si>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</si>
  <si>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</si>
  <si>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</si>
  <si>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</si>
  <si>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</si>
  <si>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</si>
  <si>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</si>
  <si>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</si>
  <si>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</si>
  <si>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</si>
  <si>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</si>
  <si>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</si>
  <si>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</si>
  <si>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</si>
  <si>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</si>
  <si>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</si>
  <si>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</si>
  <si>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</si>
  <si>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</si>
  <si>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</si>
  <si>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</si>
  <si>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</si>
  <si>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</si>
  <si>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</si>
  <si>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</si>
  <si>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</si>
  <si>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</si>
  <si>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</si>
  <si>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</si>
  <si>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</si>
  <si>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</si>
  <si>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</si>
  <si>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</si>
  <si>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</si>
  <si>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</si>
  <si>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</si>
  <si>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</si>
  <si>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</si>
  <si>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</si>
  <si>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</si>
  <si>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</si>
  <si>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</si>
  <si>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</si>
  <si>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</si>
  <si>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</si>
  <si>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</si>
  <si>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</si>
  <si>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</si>
  <si>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</si>
  <si>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</si>
  <si>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</si>
  <si>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</si>
  <si>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</si>
  <si>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</si>
  <si>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</si>
  <si>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</si>
  <si>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</si>
  <si>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</si>
  <si>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</si>
  <si>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</si>
  <si>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</si>
  <si>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</si>
  <si>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</si>
  <si>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</si>
  <si>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</si>
  <si>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</si>
  <si>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</si>
  <si>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</si>
  <si>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</si>
  <si>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</si>
  <si>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</si>
  <si>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</si>
  <si>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</si>
  <si>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</si>
  <si>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</si>
  <si>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</si>
  <si>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</si>
  <si>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</si>
  <si>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</si>
  <si>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</si>
  <si>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</si>
  <si>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</si>
  <si>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</si>
  <si>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</si>
  <si>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</si>
  <si>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</si>
  <si>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</si>
  <si>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</si>
  <si>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</si>
  <si>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</si>
  <si>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</si>
  <si>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</si>
  <si>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</si>
  <si>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</si>
  <si>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</si>
  <si>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</si>
  <si>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</si>
  <si>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</si>
  <si>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</si>
  <si>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</si>
  <si>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</si>
  <si>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</si>
  <si>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</si>
  <si>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</si>
  <si>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</si>
  <si>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</si>
  <si>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</si>
  <si>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</si>
  <si>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</si>
  <si>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</si>
  <si>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</si>
  <si>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</si>
  <si>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</si>
  <si>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</si>
  <si>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</si>
  <si>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</si>
  <si>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</si>
  <si>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</si>
  <si>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</si>
  <si>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</si>
  <si>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</si>
  <si>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</si>
  <si>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</si>
  <si>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</si>
  <si>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</si>
  <si>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</si>
  <si>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</si>
  <si>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</si>
  <si>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</si>
  <si>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</si>
  <si>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</si>
  <si>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</si>
  <si>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</si>
  <si>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</si>
  <si>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</si>
  <si>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</si>
  <si>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</si>
  <si>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</si>
  <si>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</si>
  <si>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</si>
  <si>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</si>
  <si>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</si>
  <si>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</si>
  <si>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</si>
  <si>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</si>
  <si>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</si>
  <si>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</si>
  <si>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</si>
  <si>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</si>
  <si>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</si>
  <si>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</si>
  <si>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</si>
  <si>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</si>
  <si>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</si>
  <si>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</si>
  <si>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</si>
  <si>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</si>
  <si>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</si>
  <si>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</si>
  <si>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</si>
  <si>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</si>
  <si>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</si>
  <si>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</si>
  <si>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</si>
  <si>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</si>
  <si>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</si>
  <si>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</si>
  <si>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</si>
  <si>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</si>
  <si>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</si>
  <si>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</si>
  <si>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</si>
  <si>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</si>
  <si>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</si>
  <si>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</si>
  <si>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</si>
  <si>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</si>
  <si>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</si>
  <si>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</si>
  <si>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</si>
  <si>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</si>
  <si>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</si>
  <si>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</si>
  <si>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</si>
  <si>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</si>
  <si>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</si>
  <si>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</si>
  <si>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</si>
  <si>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</si>
  <si>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</si>
  <si>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</si>
  <si>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</si>
  <si>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</si>
  <si>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</si>
  <si>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</si>
  <si>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</si>
  <si>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</si>
  <si>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</si>
  <si>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</si>
  <si>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</si>
  <si>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</si>
  <si>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</si>
  <si>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</si>
  <si>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</si>
  <si>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</si>
  <si>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</si>
  <si>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</si>
  <si>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</si>
  <si>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</si>
  <si>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</si>
  <si>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</si>
  <si>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</si>
  <si>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</si>
  <si>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</si>
  <si>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</si>
  <si>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</si>
  <si>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</si>
  <si>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</si>
  <si>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</si>
  <si>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</si>
  <si>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</si>
  <si>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</si>
  <si>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</si>
  <si>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</si>
  <si>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</si>
  <si>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</si>
  <si>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</si>
  <si>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</si>
  <si>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</si>
  <si>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</si>
  <si>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</si>
  <si>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</si>
  <si>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</si>
  <si>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</si>
  <si>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</si>
  <si>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</si>
  <si>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</si>
  <si>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</si>
  <si>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</si>
  <si>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</si>
  <si>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</si>
  <si>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</si>
  <si>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</si>
  <si>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</si>
  <si>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</si>
  <si>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</si>
  <si>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</si>
  <si>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</si>
  <si>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</si>
  <si>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</si>
  <si>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</si>
  <si>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</si>
  <si>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</si>
  <si>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</si>
  <si>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</si>
  <si>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</si>
  <si>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</si>
  <si>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</si>
  <si>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</si>
  <si>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</si>
  <si>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</si>
  <si>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</si>
  <si>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</si>
  <si>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</si>
  <si>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</si>
  <si>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</si>
  <si>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</si>
  <si>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</si>
  <si>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</si>
  <si>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</si>
  <si>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</si>
  <si>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</si>
  <si>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</si>
  <si>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</si>
  <si>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</si>
  <si>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</si>
  <si>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</si>
  <si>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</si>
  <si>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</si>
  <si>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</si>
  <si>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</si>
  <si>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</si>
  <si>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</si>
  <si>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</si>
  <si>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</si>
  <si>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</si>
  <si>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</si>
  <si>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</si>
  <si>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</si>
  <si>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</si>
  <si>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</si>
  <si>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</si>
  <si>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</si>
  <si>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</si>
  <si>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</si>
  <si>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</si>
  <si>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</si>
  <si>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</si>
  <si>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</si>
  <si>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</si>
  <si>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</si>
  <si>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</si>
  <si>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</si>
  <si>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</si>
  <si>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</si>
  <si>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</si>
  <si>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</si>
  <si>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</si>
  <si>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</si>
  <si>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</si>
  <si>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</si>
  <si>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</si>
  <si>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</si>
  <si>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</si>
  <si>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</si>
  <si>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</si>
  <si>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</si>
  <si>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</si>
  <si>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</si>
  <si>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</si>
  <si>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</si>
  <si>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</si>
  <si>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</si>
  <si>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</si>
  <si>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</si>
  <si>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</si>
  <si>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</si>
  <si>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</si>
  <si>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</si>
  <si>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</si>
  <si>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</si>
  <si>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</si>
  <si>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</si>
  <si>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</si>
  <si>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</si>
  <si>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</si>
  <si>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</si>
  <si>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</si>
  <si>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</si>
  <si>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</si>
  <si>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</si>
  <si>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</si>
  <si>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</si>
  <si>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</si>
  <si>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</si>
  <si>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</si>
  <si>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</si>
  <si>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</si>
  <si>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</si>
  <si>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</si>
  <si>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</si>
  <si>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</si>
  <si>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</si>
  <si>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</si>
  <si>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</si>
  <si>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</si>
  <si>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</si>
  <si>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</si>
  <si>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</si>
  <si>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</si>
  <si>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</si>
  <si>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</si>
  <si>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</si>
  <si>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</si>
  <si>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</si>
  <si>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</si>
  <si>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</si>
  <si>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</si>
  <si>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</si>
  <si>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</si>
  <si>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</si>
  <si>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</si>
  <si>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</si>
  <si>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</si>
  <si>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</si>
  <si>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</si>
  <si>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</si>
  <si>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</si>
  <si>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</si>
  <si>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</si>
  <si>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</si>
  <si>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</si>
  <si>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</si>
  <si>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</si>
  <si>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</si>
  <si>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</si>
  <si>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</si>
  <si>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</si>
  <si>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</si>
  <si>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</si>
  <si>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</si>
  <si>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</si>
  <si>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</si>
  <si>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</si>
  <si>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</si>
  <si>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</si>
  <si>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</si>
  <si>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</si>
  <si>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</si>
  <si>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</si>
  <si>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</si>
  <si>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</si>
  <si>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</si>
  <si>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</si>
  <si>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</si>
  <si>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</si>
  <si>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</si>
  <si>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</si>
  <si>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</si>
  <si>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</si>
  <si>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</si>
  <si>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</si>
  <si>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</si>
  <si>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</si>
  <si>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</si>
  <si>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</si>
  <si>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</si>
  <si>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</si>
  <si>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</si>
  <si>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</si>
  <si>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</si>
  <si>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</si>
  <si>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</si>
  <si>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</si>
  <si>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</si>
  <si>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</si>
  <si>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</si>
  <si>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</si>
  <si>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</si>
  <si>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</si>
  <si>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</si>
  <si>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</si>
  <si>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</si>
  <si>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</si>
  <si>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</si>
  <si>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</si>
  <si>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</si>
  <si>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</si>
  <si>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</si>
  <si>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</si>
  <si>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</si>
  <si>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</si>
  <si>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</si>
  <si>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</si>
  <si>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</si>
  <si>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</si>
  <si>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</si>
  <si>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</si>
  <si>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</si>
  <si>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</si>
  <si>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</si>
  <si>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</si>
  <si>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</si>
  <si>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</si>
  <si>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</si>
  <si>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</si>
  <si>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</si>
  <si>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</si>
  <si>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</si>
  <si>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</si>
  <si>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</si>
  <si>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</si>
  <si>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</si>
  <si>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</si>
  <si>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</si>
  <si>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</si>
  <si>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</si>
  <si>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</si>
  <si>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</si>
  <si>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</si>
  <si>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</si>
  <si>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</si>
  <si>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</si>
  <si>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</si>
  <si>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</si>
  <si>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</si>
  <si>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</si>
  <si>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</si>
  <si>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</si>
  <si>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</si>
  <si>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</si>
  <si>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</si>
  <si>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</si>
  <si>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</si>
  <si>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</si>
  <si>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</si>
  <si>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</si>
  <si>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</si>
  <si>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</si>
  <si>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</si>
  <si>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</si>
  <si>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</si>
  <si>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</si>
  <si>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</si>
  <si>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</si>
  <si>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</si>
  <si>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</si>
  <si>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</si>
  <si>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</si>
  <si>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</si>
  <si>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</si>
  <si>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</si>
  <si>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</si>
  <si>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</si>
  <si>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</si>
  <si>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</si>
  <si>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</si>
  <si>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</si>
  <si>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</si>
  <si>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</si>
  <si>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</si>
  <si>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</si>
  <si>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</si>
  <si>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</si>
  <si>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</si>
  <si>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</si>
  <si>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</si>
  <si>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</si>
  <si>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</si>
  <si>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</si>
  <si>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</si>
  <si>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</si>
  <si>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</si>
  <si>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</si>
  <si>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</si>
  <si>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</si>
  <si>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</si>
  <si>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</si>
  <si>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</si>
  <si>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</si>
  <si>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</si>
  <si>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</si>
  <si>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</si>
  <si>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</si>
  <si>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</si>
  <si>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</si>
  <si>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</si>
  <si>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</si>
  <si>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</si>
  <si>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</si>
  <si>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</si>
  <si>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</si>
  <si>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</si>
  <si>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</si>
  <si>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</si>
  <si>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</si>
  <si>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</si>
  <si>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</si>
  <si>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</si>
  <si>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</si>
  <si>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</si>
  <si>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</si>
  <si>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</si>
  <si>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</si>
  <si>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</si>
  <si>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</si>
  <si>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</si>
  <si>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</si>
  <si>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</si>
  <si>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</si>
  <si>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</si>
  <si>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</si>
  <si>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</si>
  <si>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</si>
  <si>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</si>
  <si>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</si>
  <si>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</si>
  <si>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</si>
  <si>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</si>
  <si>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</si>
  <si>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</si>
  <si>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</si>
  <si>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</si>
  <si>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</si>
  <si>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</si>
  <si>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</si>
  <si>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</si>
  <si>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</si>
  <si>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</si>
  <si>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</si>
  <si>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</si>
  <si>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</si>
  <si>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</si>
  <si>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</si>
  <si>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</si>
  <si>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</si>
  <si>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</si>
  <si>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</si>
  <si>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</si>
  <si>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</si>
  <si>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</si>
  <si>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</si>
  <si>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</si>
  <si>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</si>
  <si>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</si>
  <si>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</si>
  <si>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</si>
  <si>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</si>
  <si>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</si>
  <si>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</si>
  <si>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</si>
  <si>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</si>
  <si>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</si>
  <si>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</si>
  <si>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</si>
  <si>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</si>
  <si>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</si>
  <si>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</si>
  <si>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</si>
  <si>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</si>
  <si>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</si>
  <si>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</si>
  <si>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</si>
  <si>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</si>
  <si>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</si>
  <si>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</si>
  <si>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</si>
  <si>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</si>
  <si>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</si>
  <si>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</si>
  <si>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</si>
  <si>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</si>
  <si>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</si>
  <si>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</si>
  <si>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</si>
  <si>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</si>
  <si>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</si>
  <si>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</si>
  <si>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</si>
  <si>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</si>
  <si>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</si>
  <si>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</si>
  <si>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</si>
  <si>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</si>
  <si>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</si>
  <si>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</si>
  <si>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</si>
  <si>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</si>
  <si>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</si>
  <si>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</si>
  <si>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</si>
  <si>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</si>
  <si>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</si>
  <si>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</si>
  <si>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</si>
  <si>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</si>
  <si>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</si>
  <si>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</si>
  <si>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</si>
  <si>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</si>
  <si>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</si>
  <si>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</si>
  <si>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</si>
  <si>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</si>
  <si>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</si>
  <si>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</si>
  <si>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</si>
  <si>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</si>
  <si>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</si>
  <si>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</si>
  <si>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</si>
  <si>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</si>
  <si>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</si>
  <si>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</si>
  <si>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</si>
  <si>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</si>
  <si>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</si>
  <si>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</si>
  <si>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</si>
  <si>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</si>
  <si>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</si>
  <si>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</si>
  <si>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</si>
  <si>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</si>
  <si>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</si>
  <si>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</si>
  <si>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</si>
  <si>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</si>
  <si>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</si>
  <si>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</si>
  <si>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</si>
  <si>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</si>
  <si>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</si>
  <si>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</si>
  <si>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</si>
  <si>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</si>
  <si>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</si>
  <si>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</si>
  <si>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</si>
  <si>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</si>
  <si>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</si>
  <si>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</si>
  <si>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</si>
  <si>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</si>
  <si>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</si>
  <si>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</si>
  <si>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</si>
  <si>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</si>
  <si>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</si>
  <si>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</si>
  <si>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</si>
  <si>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</si>
  <si>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</si>
  <si>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</si>
  <si>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</si>
  <si>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</si>
  <si>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</si>
  <si>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</si>
  <si>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</si>
  <si>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</si>
  <si>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标准厂房</t>
  </si>
  <si>
    <t>工业</t>
    <phoneticPr fontId="7" type="noConversion"/>
  </si>
  <si>
    <t>成新度</t>
  </si>
  <si>
    <t>利息：取LPR加浮动点数</t>
  </si>
  <si>
    <t>收益法</t>
  </si>
  <si>
    <t>自定义容积率</t>
  </si>
  <si>
    <t>不临65条商业街</t>
  </si>
  <si>
    <t>与级别开发程度不一致</t>
  </si>
  <si>
    <t>通路</t>
  </si>
  <si>
    <t>通电</t>
  </si>
  <si>
    <t>通讯</t>
  </si>
  <si>
    <t>通上水</t>
  </si>
  <si>
    <t>通下水</t>
  </si>
  <si>
    <t>平整</t>
  </si>
  <si>
    <t>一般</t>
  </si>
  <si>
    <t>较好</t>
  </si>
  <si>
    <t>好</t>
  </si>
  <si>
    <t>未包含在土地购买价格中</t>
  </si>
  <si>
    <t>全部缴纳</t>
  </si>
  <si>
    <t>已包含在土地取得成本中</t>
  </si>
  <si>
    <t>押一</t>
  </si>
  <si>
    <t>砖混</t>
  </si>
  <si>
    <t>否</t>
  </si>
  <si>
    <t>基准地价</t>
  </si>
  <si>
    <t>非生产用房</t>
  </si>
  <si>
    <t>成本法</t>
  </si>
  <si>
    <t>总价</t>
  </si>
  <si>
    <t>情况3</t>
  </si>
  <si>
    <t>正常</t>
  </si>
  <si>
    <t>自行开发建设</t>
  </si>
  <si>
    <t>非个人房产</t>
  </si>
  <si>
    <t>出让金+开发费</t>
  </si>
  <si>
    <t>郑燚</t>
  </si>
  <si>
    <r>
      <rPr>
        <sz val="10"/>
        <color theme="9" tint="-0.249977111117893"/>
        <rFont val="宋体"/>
        <family val="3"/>
        <charset val="134"/>
      </rPr>
      <t>昌平区沙河镇展思门路</t>
    </r>
    <r>
      <rPr>
        <sz val="10"/>
        <color theme="9" tint="-0.249977111117893"/>
        <rFont val="Arial"/>
        <family val="2"/>
      </rPr>
      <t>15</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phoneticPr fontId="6" type="noConversion"/>
  </si>
  <si>
    <t>未办证</t>
    <phoneticPr fontId="3" type="noConversion"/>
  </si>
  <si>
    <t>租约</t>
    <phoneticPr fontId="3" type="noConversion"/>
  </si>
  <si>
    <r>
      <rPr>
        <sz val="10"/>
        <color indexed="8"/>
        <rFont val="宋体"/>
        <family val="3"/>
        <charset val="134"/>
      </rPr>
      <t>每两年递增</t>
    </r>
    <r>
      <rPr>
        <sz val="10"/>
        <color indexed="8"/>
        <rFont val="Arial"/>
        <family val="2"/>
      </rPr>
      <t>8%</t>
    </r>
    <phoneticPr fontId="3" type="noConversion"/>
  </si>
  <si>
    <r>
      <t>2022-7-26</t>
    </r>
    <r>
      <rPr>
        <sz val="10"/>
        <color indexed="8"/>
        <rFont val="宋体"/>
        <family val="3"/>
        <charset val="134"/>
      </rPr>
      <t>至</t>
    </r>
    <r>
      <rPr>
        <sz val="10"/>
        <color indexed="8"/>
        <rFont val="Arial"/>
        <family val="2"/>
      </rPr>
      <t>2032-7-25</t>
    </r>
    <phoneticPr fontId="3" type="noConversion"/>
  </si>
  <si>
    <t>租约面积（含未办证）</t>
    <phoneticPr fontId="3" type="noConversion"/>
  </si>
  <si>
    <t>较差</t>
  </si>
  <si>
    <t>按房产原值计税</t>
  </si>
  <si>
    <t>崔锴</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</si>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</sst>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北京市昌平区沙河镇展思门路15号2幢房地产抵押价值预评估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受贵公司委托，我公司对北京市昌平区沙河镇展思门路15号2幢房地产抵押价值进行了预评估。</v>
      </c>
    </row>
    <row r="7" spans="1:2" s="1203" customFormat="1">
      <c r="A7" s="1201" t="s">
        <v>566</v>
      </c>
      <c r="B7" s="1202" t="str">
        <f>'预评函-1'!A7</f>
        <v>估价对象为北京市昌平区沙河镇展思门路15号2幢房地产，为所有。根据《国有土地使用证》[]，估价对象（分摊）出让国有建设用地使用权面积为3046.53平方米，建筑面积为1691.9平方米。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沙河镇展思门路15号2幢房地产,属开发建设的，该项目尚在开发建设中。根据《国有土地使用证》[]，估价对象（分摊）出让国有建设用地使用权面积为3046.53平方米，规划建筑面积为1691.9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2023年2月22日（评估专业人员实地查勘之日）</v>
      </c>
    </row>
    <row r="13" spans="1:2" s="1203" customFormat="1">
      <c r="A13" s="1201" t="s">
        <v>529</v>
      </c>
      <c r="B13" s="1202"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1645</v>
      </c>
    </row>
    <row r="21" spans="1:2" s="1203" customFormat="1">
      <c r="A21" s="1201" t="s">
        <v>537</v>
      </c>
      <c r="B21" s="1202">
        <f ca="1">'预评函-2'!D7</f>
        <v>9723</v>
      </c>
    </row>
    <row r="22" spans="1:2" s="1203" customFormat="1">
      <c r="A22" s="1201" t="s">
        <v>538</v>
      </c>
      <c r="B22" s="1202" t="str">
        <f ca="1">'预评函-2'!D6</f>
        <v>壹仟陆佰肆拾伍万元整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1645</v>
      </c>
    </row>
    <row r="31" spans="1:2" s="1203" customFormat="1">
      <c r="A31" s="1201" t="s">
        <v>576</v>
      </c>
      <c r="B31" s="1202">
        <f ca="1">'预评函-2'!D15</f>
        <v>9723</v>
      </c>
    </row>
    <row r="32" spans="1:2" s="1203" customFormat="1">
      <c r="A32" s="1201" t="s">
        <v>543</v>
      </c>
      <c r="B32" s="1202" t="str">
        <f ca="1">'预评函-2'!D14</f>
        <v>壹仟陆佰肆拾伍万元整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1515</v>
      </c>
    </row>
    <row r="39" spans="1:2" s="1203" customFormat="1">
      <c r="A39" s="1201" t="s">
        <v>545</v>
      </c>
      <c r="B39" s="1202">
        <f ca="1">'预评函-2'!D21</f>
        <v>8954</v>
      </c>
    </row>
    <row r="40" spans="1:2" s="1203" customFormat="1">
      <c r="A40" s="1201" t="s">
        <v>546</v>
      </c>
      <c r="B40" s="1202" t="str">
        <f ca="1">'预评函-2'!D20</f>
        <v>壹仟伍佰壹拾伍万元整</v>
      </c>
    </row>
    <row r="41" spans="1:2" s="1203" customFormat="1">
      <c r="A41" s="1201" t="s">
        <v>592</v>
      </c>
      <c r="B41" s="1202" t="str">
        <f>'预评函-3'!A4</f>
        <v>北京市昌平区沙河镇展思门路15号2幢房地产</v>
      </c>
    </row>
    <row r="42" spans="1:2" s="1203" customFormat="1">
      <c r="A42" s="1201" t="s">
        <v>590</v>
      </c>
      <c r="B42" s="1202" t="str">
        <f>'预评函-3'!B2</f>
        <v>建筑面积</v>
      </c>
    </row>
    <row r="43" spans="1:2" s="1203" customFormat="1">
      <c r="A43" s="1201" t="s">
        <v>591</v>
      </c>
      <c r="B43" s="1202">
        <f>'预评函-3'!B4</f>
        <v>1691.9</v>
      </c>
    </row>
    <row r="44" spans="1:2" s="1203" customFormat="1">
      <c r="A44" s="1201" t="s">
        <v>575</v>
      </c>
      <c r="B44" s="1202" t="str">
        <f>'预评函-3'!C2</f>
        <v>(分摊)土地面积</v>
      </c>
    </row>
    <row r="45" spans="1:2" s="1203" customFormat="1">
      <c r="A45" s="1201" t="s">
        <v>547</v>
      </c>
      <c r="B45" s="1202">
        <f>'预评函-3'!C4</f>
        <v>3046.53</v>
      </c>
    </row>
    <row r="46" spans="1:2" s="1203" customFormat="1">
      <c r="A46" s="1201" t="s">
        <v>573</v>
      </c>
      <c r="B46" s="1202" t="str">
        <f>'预评函-3'!D2</f>
        <v>出让国有建设用地使用权价值</v>
      </c>
    </row>
    <row r="47" spans="1:2" s="1203" customFormat="1">
      <c r="A47" s="1201" t="s">
        <v>548</v>
      </c>
      <c r="B47" s="1202">
        <f ca="1">'预评函-3'!D4</f>
        <v>1194</v>
      </c>
    </row>
    <row r="48" spans="1:2" s="1203" customFormat="1">
      <c r="A48" s="1201" t="s">
        <v>549</v>
      </c>
      <c r="B48" s="1202">
        <f ca="1">'预评函-3'!E4</f>
        <v>7057</v>
      </c>
    </row>
    <row r="49" spans="1:2" s="1203" customFormat="1">
      <c r="A49" s="1201" t="s">
        <v>550</v>
      </c>
      <c r="B49" s="1202" t="str">
        <f ca="1">'预评函-3'!D5</f>
        <v>壹仟壹佰玖拾肆万元整</v>
      </c>
    </row>
    <row r="50" spans="1:2" s="1203" customFormat="1">
      <c r="A50" s="1201" t="s">
        <v>574</v>
      </c>
      <c r="B50" s="1202" t="str">
        <f>'预评函-3'!F2</f>
        <v>在建建筑物价值</v>
      </c>
    </row>
    <row r="51" spans="1:2" s="1203" customFormat="1">
      <c r="A51" s="1201" t="s">
        <v>551</v>
      </c>
      <c r="B51" s="1202">
        <f ca="1">'预评函-3'!F4</f>
        <v>451</v>
      </c>
    </row>
    <row r="52" spans="1:2" s="1203" customFormat="1">
      <c r="A52" s="1201" t="s">
        <v>552</v>
      </c>
      <c r="B52" s="1202">
        <f ca="1">'预评函-3'!G4</f>
        <v>2666</v>
      </c>
    </row>
    <row r="53" spans="1:2" s="1203" customFormat="1">
      <c r="A53" s="1201" t="s">
        <v>580</v>
      </c>
      <c r="B53" s="1202" t="str">
        <f ca="1">'预评函-3'!F5</f>
        <v>肆佰伍拾壹万元整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44979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3.82</v>
      </c>
      <c r="D5" s="3025">
        <f>IF(ISERROR(ROUND(POWER(1+E5,A5-C5)*(POWER(1+E5,C5)-1)/(POWER(1+E5,A5)-1),3)),0,ROUND(POWER(1+E5,A5-C5)*(POWER(1+E5,C5)-1)/(POWER(1+E5,A5)-1),4))</f>
        <v>0.1757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13.83</v>
      </c>
      <c r="D6" s="3025">
        <f>IF(ISERROR(ROUND(POWER(1+E6,A6-C6)*(POWER(1+E6,C6)-1)/(POWER(1+E6,A6)-1),3)),0,ROUND(POWER(1+E6,A6-C6)*(POWER(1+E6,C6)-1)/(POWER(1+E6,A6)-1),4))</f>
        <v>0.48720000000000002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33.840000000000003</v>
      </c>
      <c r="D7" s="3025">
        <f>IF(ISERROR(ROUND(POWER(1+E7,A7-C7)*(POWER(1+E7,C7)-1)/(POWER(1+E7,A7)-1),3)),0,ROUND(POWER(1+E7,A7-C7)*(POWER(1+E7,C7)-1)/(POWER(1+E7,A7)-1),4))</f>
        <v>0.78520000000000001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北京市昌平区沙河镇展思门路15号2幢房地产抵押价值预评估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北京市昌平区沙河镇展思门路15号2幢房地产抵押价值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北京市昌平区沙河镇展思门路15号2幢房地产</v>
      </c>
      <c r="T2" s="1745"/>
      <c r="U2" s="1745"/>
      <c r="V2" s="1745"/>
      <c r="W2" s="1745"/>
      <c r="X2" s="1745"/>
      <c r="Y2" s="1745"/>
      <c r="Z2" s="1745"/>
      <c r="AA2" s="1745"/>
      <c r="AB2" s="1745"/>
    </row>
    <row r="3" spans="1:30">
      <c r="A3" s="302" t="s">
        <v>2170</v>
      </c>
      <c r="B3" s="2373">
        <v>44979</v>
      </c>
      <c r="C3" s="2374" t="s">
        <v>2171</v>
      </c>
      <c r="D3" s="2373">
        <f>B3</f>
        <v>44979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3426</v>
      </c>
      <c r="C4" s="2376">
        <f ca="1">SUMIF(注册房地产估价师,B4,估价师及机构信息!B3:B24)</f>
        <v>1120100036</v>
      </c>
      <c r="D4" s="2375" t="s">
        <v>3417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8"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9"/>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3418</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54797</v>
      </c>
      <c r="I13" s="856">
        <v>48420</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26.89</v>
      </c>
      <c r="I15" s="2410">
        <f>IF(A13="出让",IF(I13="","",ROUNDDOWN(MIN((I13-$D$3)/365,I14),2)),I14)</f>
        <v>9.42</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1691.9</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3046.53</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285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6768.48</v>
      </c>
      <c r="B3" s="11">
        <f>IF(C3="否",G5-AT5,G5)</f>
        <v>3758.9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3758.9</v>
      </c>
      <c r="H5" s="13">
        <f t="shared" ref="H5:AT5" si="0">SUM(H13:H656)</f>
        <v>3758.9</v>
      </c>
      <c r="I5" s="13">
        <f t="shared" si="0"/>
        <v>3758.9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1691.9</v>
      </c>
      <c r="BA5" s="15">
        <f t="shared" si="1"/>
        <v>1691.9</v>
      </c>
      <c r="BB5" s="15">
        <f t="shared" si="1"/>
        <v>1691.9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6768.48</v>
      </c>
      <c r="F6" s="13" t="s">
        <v>0</v>
      </c>
      <c r="G6" s="13" t="s">
        <v>1</v>
      </c>
      <c r="H6" s="17">
        <f>SUMIF(I$12:AB$12,"总值",I6:AB6)</f>
        <v>6768.48</v>
      </c>
      <c r="I6" s="13">
        <f t="shared" ref="I6:AB6" si="2">ROUND($A$3*I5/$B$3,2)</f>
        <v>6768.48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3046.53</v>
      </c>
      <c r="AZ6" s="13" t="s">
        <v>2</v>
      </c>
      <c r="BA6" s="13">
        <f>ROUND($AY$6*BA5/$AZ$5,2)</f>
        <v>3046.53</v>
      </c>
      <c r="BB6" s="13">
        <f>ROUND($AY$6*BB5/$AZ$5,2)</f>
        <v>3046.53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3046.53</v>
      </c>
      <c r="F13" s="29"/>
      <c r="G13" s="30">
        <f>H13+AC13+AT13</f>
        <v>1691.9</v>
      </c>
      <c r="H13" s="17">
        <f>SUMIF(I$12:AB$12,"总值",I13:AB13)</f>
        <v>1691.9</v>
      </c>
      <c r="I13" s="1626">
        <v>1691.9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3046.53</v>
      </c>
      <c r="AZ13" s="13">
        <f>BA13+BL13</f>
        <v>1691.9</v>
      </c>
      <c r="BA13" s="13">
        <f>SUM(BB13:BK13)</f>
        <v>1691.9</v>
      </c>
      <c r="BB13" s="13">
        <f>IF($D13="是",I13-J13,0)</f>
        <v>1691.9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3419</v>
      </c>
      <c r="D14" s="1625" t="s">
        <v>3407</v>
      </c>
      <c r="E14" s="13">
        <f>IF($C$3="是",ROUND($A$3*G14/$B$3,2),ROUND($A$3*(G14-AT14)/$B$3,2))</f>
        <v>2996.29</v>
      </c>
      <c r="F14" s="29"/>
      <c r="G14" s="30">
        <f>H14+AC14+AT14</f>
        <v>1664</v>
      </c>
      <c r="H14" s="17">
        <f>SUMIF(I$12:AB$12,"总值",I14:AB14)</f>
        <v>1664</v>
      </c>
      <c r="I14" s="1626">
        <v>1664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未办证</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t="s">
        <v>3419</v>
      </c>
      <c r="D15" s="1625" t="s">
        <v>3407</v>
      </c>
      <c r="E15" s="13">
        <f>IF($C$3="是",ROUND($A$3*G15/$B$3,2),ROUND($A$3*(G15-AT15)/$B$3,2))</f>
        <v>725.66</v>
      </c>
      <c r="F15" s="29"/>
      <c r="G15" s="30">
        <f>H15+AC15+AT15</f>
        <v>403</v>
      </c>
      <c r="H15" s="17">
        <f>SUMIF(I$12:AB$12,"总值",I15:AB15)</f>
        <v>403</v>
      </c>
      <c r="I15" s="1626">
        <v>403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未办证</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3" sqref="F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3046.53</v>
      </c>
      <c r="E3" s="43">
        <f>'数据-基础表'!AZ5</f>
        <v>1691.9</v>
      </c>
      <c r="F3" s="2659"/>
      <c r="G3" s="1145"/>
      <c r="H3" s="1026" t="s">
        <v>1106</v>
      </c>
      <c r="I3" s="855">
        <f>ROUND('数据-基础表'!B3/'数据-基础表'!A3,2)</f>
        <v>0.56000000000000005</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0.56000000000000005</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0.56000000000000005</v>
      </c>
      <c r="J5" s="2659"/>
      <c r="K5" s="2659"/>
      <c r="L5" s="2659"/>
      <c r="M5" s="2659"/>
      <c r="N5" s="2659"/>
      <c r="O5" s="2659"/>
      <c r="P5" s="2659"/>
    </row>
    <row r="6" spans="1:16" ht="15" thickBot="1">
      <c r="A6" s="1644"/>
      <c r="B6" s="3539" t="s">
        <v>1111</v>
      </c>
      <c r="C6" s="3539"/>
      <c r="D6" s="45">
        <f>ROUND($D$3*E6/$E$3,2)</f>
        <v>3046.53</v>
      </c>
      <c r="E6" s="46">
        <f>E3-E5</f>
        <v>1691.9</v>
      </c>
      <c r="F6" s="2659"/>
      <c r="G6" s="2653" t="s">
        <v>1112</v>
      </c>
      <c r="H6" s="1146" t="s">
        <v>1113</v>
      </c>
      <c r="I6" s="2654">
        <f>ROUND(F31/D31,2)</f>
        <v>0.56000000000000005</v>
      </c>
      <c r="J6" s="2659"/>
      <c r="K6" s="2659"/>
      <c r="L6" s="2659"/>
      <c r="M6" s="2659"/>
      <c r="N6" s="2659"/>
      <c r="O6" s="2659"/>
      <c r="P6" s="2659"/>
    </row>
    <row r="7" spans="1:16" ht="15.75" thickBot="1">
      <c r="A7" s="3531"/>
      <c r="B7" s="3532"/>
      <c r="C7" s="353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3046.53</v>
      </c>
      <c r="E8" s="48">
        <f>SUMIF('数据-基础表'!BB10:BK10,"地上",'数据-基础表'!BB5:BK5)</f>
        <v>1691.9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3046.53</v>
      </c>
      <c r="E16" s="50">
        <f>SUM(E8:E15)</f>
        <v>1691.9</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3046.53</v>
      </c>
      <c r="E19" s="53">
        <f t="shared" ref="E19:E26" si="1">SUM(F19:G19)</f>
        <v>1691.9</v>
      </c>
      <c r="F19" s="2795">
        <v>1691.9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3046.53</v>
      </c>
      <c r="S19" s="1027">
        <f t="shared" si="5"/>
        <v>1691.9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3046.53</v>
      </c>
      <c r="E27" s="1141">
        <f>IF(SUM(E19:E26)='数据-基础表'!BA5,SUM(E19:E26),IF(F27="地上面积有误","面积有误","地下面积有误"))</f>
        <v>1691.9</v>
      </c>
      <c r="F27" s="1140">
        <f>IF(SUM(F19:F26)=E8,SUM(F19:F26),"地上面积有误")</f>
        <v>1691.9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3046.53</v>
      </c>
      <c r="S27" s="1026">
        <f>IF(SUM(S19:S26)=$E$3,SUM(S19:S26),SUM(S19:S26)&amp;"误差"&amp;ROUND(SUM(S19:S26)-E3,2))</f>
        <v>1691.9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3046.53</v>
      </c>
      <c r="E31" s="676">
        <f>E27+E30</f>
        <v>1691.9</v>
      </c>
      <c r="F31" s="677">
        <f>F27+F30</f>
        <v>1691.9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5" style="1682" customWidth="1"/>
    <col min="22" max="22" width="6.375" style="1682" customWidth="1"/>
    <col min="23" max="25" width="6.75" style="1682" customWidth="1"/>
    <col min="26" max="26" width="9.8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54797</v>
      </c>
      <c r="F6" s="64">
        <f>SUMIF(项目基本情况!C$12:I$12,C6,项目基本情况!C$15:I$15)</f>
        <v>26.89</v>
      </c>
      <c r="G6" s="65">
        <f>IF(ISERROR(ROUND(POWER(1+H6,D6-F6)*(POWER(1+H6,F6)-1)/(POWER(1+H6,D6)-1),3)),0,ROUND(POWER(1+H6,D6-F6)*(POWER(1+H6,F6)-1)/(POWER(1+H6,D6)-1),3))</f>
        <v>0.80100000000000005</v>
      </c>
      <c r="H6" s="732">
        <v>0.05</v>
      </c>
      <c r="I6" s="732">
        <v>5.5E-2</v>
      </c>
      <c r="J6" s="66">
        <v>7.0000000000000007E-2</v>
      </c>
      <c r="K6" s="1030">
        <f>SUMIF('数据-汇总表'!C$19:C$33,A6,'数据-汇总表'!E$19:E$33)</f>
        <v>1691.9</v>
      </c>
      <c r="L6" s="733">
        <v>2200</v>
      </c>
      <c r="M6" s="67">
        <f t="shared" ref="M6:M14" si="0">ROUND(K6*L6/10000,0)</f>
        <v>372</v>
      </c>
      <c r="N6" s="731">
        <v>0.6</v>
      </c>
      <c r="O6" s="67" t="str">
        <f>IF($N$5="成新度","——",ROUND(M6*N6,0))</f>
        <v>——</v>
      </c>
      <c r="P6" s="68" t="str">
        <f>IF($N$5="成新度","——",M6-O6)</f>
        <v>——</v>
      </c>
      <c r="Q6" s="734">
        <v>0.05</v>
      </c>
      <c r="R6" s="69">
        <f ca="1">SUMIF('数据-汇总表'!C$19:C$33,A6,'数据-汇总表'!R$19:R$27)</f>
        <v>3046.53</v>
      </c>
      <c r="S6" s="51">
        <f>IF('数据-汇总表'!$I$17="按面积比例",SUMIF('数据-汇总表'!C$19:C$33,A6,'数据-汇总表'!K$19:K$33),SUMIF('数据-汇总表'!C$19:C$33,A6,'数据-汇总表'!N$19:N$33))</f>
        <v>0</v>
      </c>
      <c r="T6" s="1172">
        <f>ROUND($L$14*S6/10000,0)</f>
        <v>0</v>
      </c>
      <c r="U6" s="3428">
        <v>875000</v>
      </c>
      <c r="V6" s="70">
        <v>0.04</v>
      </c>
      <c r="W6" s="70">
        <v>0</v>
      </c>
      <c r="X6" s="1040"/>
      <c r="Y6" s="71">
        <f>N6</f>
        <v>0.6</v>
      </c>
      <c r="Z6" s="72">
        <f>ROUND(Z18*365*K6,0)</f>
        <v>1117754</v>
      </c>
      <c r="AA6" s="66">
        <v>0.02</v>
      </c>
      <c r="AB6" s="66">
        <v>0.1</v>
      </c>
      <c r="AC6" s="1040"/>
      <c r="AD6" s="73">
        <v>0.6</v>
      </c>
      <c r="AE6" s="1041">
        <f ca="1">IF(AN6="",0,SUMIF(INDIRECT("'"&amp;AN6&amp;"'"&amp;"!E:E"),$AE$5,INDIRECT("'"&amp;AN6&amp;"'"&amp;"!F:F")))</f>
        <v>10</v>
      </c>
      <c r="AF6" s="1348">
        <f>项目基本情况!I15</f>
        <v>9.42</v>
      </c>
      <c r="AG6" s="138">
        <f ca="1">IF(AF6="",0,AE6-AF6)</f>
        <v>0.58000000000000007</v>
      </c>
      <c r="AH6" s="74">
        <v>1</v>
      </c>
      <c r="AI6" s="76">
        <v>1</v>
      </c>
      <c r="AJ6" s="77">
        <v>1012.438452</v>
      </c>
      <c r="AK6" s="78">
        <v>0.01</v>
      </c>
      <c r="AL6" s="79">
        <v>1E-3</v>
      </c>
      <c r="AM6" s="80">
        <v>0.01</v>
      </c>
      <c r="AN6" s="1715" t="s">
        <v>3389</v>
      </c>
      <c r="AO6" s="52">
        <f ca="1">SUMIF(INDIRECT("'"&amp;AN6&amp;"'"&amp;"!A:A"),"总价",INDIRECT("'"&amp;AN6&amp;"'"&amp;"!B:B"))</f>
        <v>1633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0.80100000000000005</v>
      </c>
      <c r="H16" s="90">
        <f>ROUND(SUMPRODUCT(H6:H13,K6:K13)/SUMPRODUCT((H6:H13&gt;0)*(K6:K13)),3)</f>
        <v>0.05</v>
      </c>
      <c r="I16" s="91"/>
      <c r="J16" s="91"/>
      <c r="K16" s="92">
        <f>SUM(K6:K15)</f>
        <v>1691.9</v>
      </c>
      <c r="L16" s="93">
        <f>ROUND(M16*10000/SUM(K6:K14),0)</f>
        <v>2199</v>
      </c>
      <c r="M16" s="93">
        <f>SUM(M6:M14)</f>
        <v>372</v>
      </c>
      <c r="N16" s="94">
        <f>ROUND(SUMPRODUCT(M6:M14,N6:N14)/M16,3)</f>
        <v>0.6</v>
      </c>
      <c r="O16" s="93">
        <f>SUM(O6:O14)</f>
        <v>0</v>
      </c>
      <c r="P16" s="93">
        <f>SUM(P6:P14)</f>
        <v>0</v>
      </c>
      <c r="Q16" s="95">
        <f>ROUND(SUMPRODUCT(Q6:Q13,K6:K13)/SUMPRODUCT((Q6:Q13&gt;0)*(K6:K13)),2)</f>
        <v>0.05</v>
      </c>
      <c r="R16" s="1034">
        <f ca="1">SUM(R6:R13)</f>
        <v>3046.53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f>ROUND(1.5*(1+2%)^AF6,2)</f>
        <v>1.81</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0.5</v>
      </c>
      <c r="C20" s="2800" t="s">
        <v>2303</v>
      </c>
      <c r="D20" s="2676"/>
      <c r="E20" s="2673"/>
      <c r="F20" s="2673"/>
      <c r="G20" s="2673"/>
      <c r="H20" s="2673"/>
      <c r="I20" s="2673"/>
      <c r="J20" s="2673"/>
      <c r="K20" s="2672"/>
      <c r="L20" s="2672"/>
      <c r="M20" s="2671"/>
      <c r="N20" s="2671"/>
      <c r="O20" s="2671"/>
      <c r="P20" s="2671"/>
      <c r="Q20" s="3451" t="s">
        <v>3420</v>
      </c>
      <c r="R20" s="2671">
        <v>875000</v>
      </c>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0.5</v>
      </c>
      <c r="C21" s="2673"/>
      <c r="D21" s="2676"/>
      <c r="E21" s="2673"/>
      <c r="F21" s="2673"/>
      <c r="G21" s="2673"/>
      <c r="H21" s="2673"/>
      <c r="I21" s="2673"/>
      <c r="J21" s="2673"/>
      <c r="K21" s="2672"/>
      <c r="L21" s="2672"/>
      <c r="M21" s="2671"/>
      <c r="N21" s="2671"/>
      <c r="O21" s="2671"/>
      <c r="P21" s="2671"/>
      <c r="Q21" s="3451" t="s">
        <v>3423</v>
      </c>
      <c r="R21" s="2671">
        <f>1692+1664</f>
        <v>3356</v>
      </c>
      <c r="S21" s="3452">
        <f>R20/R21/365</f>
        <v>0.71432070142211057</v>
      </c>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0.5</v>
      </c>
      <c r="C22" s="2673"/>
      <c r="D22" s="2676"/>
      <c r="E22" s="2673"/>
      <c r="F22" s="2673"/>
      <c r="G22" s="2673"/>
      <c r="H22" s="2673"/>
      <c r="I22" s="2673"/>
      <c r="J22" s="2673"/>
      <c r="K22" s="2672"/>
      <c r="L22" s="2672"/>
      <c r="M22" s="2671"/>
      <c r="N22" s="2671"/>
      <c r="O22" s="2671"/>
      <c r="P22" s="2671"/>
      <c r="Q22" s="2671" t="s">
        <v>3421</v>
      </c>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0.5</v>
      </c>
      <c r="C23" s="2673"/>
      <c r="D23" s="2676"/>
      <c r="E23" s="2673"/>
      <c r="F23" s="2673"/>
      <c r="G23" s="2673"/>
      <c r="H23" s="2673"/>
      <c r="I23" s="2673"/>
      <c r="J23" s="2673"/>
      <c r="K23" s="2672"/>
      <c r="L23" s="2672"/>
      <c r="M23" s="2671"/>
      <c r="N23" s="2671"/>
      <c r="O23" s="2671"/>
      <c r="P23" s="2671"/>
      <c r="Q23" s="2671" t="s">
        <v>3422</v>
      </c>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1.4999999999999999E-2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G38" sqref="G3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1691.9</v>
      </c>
      <c r="C1" s="2686"/>
      <c r="D1" s="2686"/>
      <c r="E1" s="2686"/>
      <c r="F1" s="2686"/>
      <c r="G1" s="2687"/>
      <c r="H1" s="2688"/>
      <c r="I1" s="2688"/>
      <c r="J1" s="2688"/>
      <c r="K1" s="2688"/>
    </row>
    <row r="2" spans="1:11" ht="16.5">
      <c r="A2" s="2512" t="s">
        <v>653</v>
      </c>
      <c r="B2" s="2512">
        <f>SUM(C14:C23)</f>
        <v>3046.53</v>
      </c>
      <c r="C2" s="2686"/>
      <c r="D2" s="2686"/>
      <c r="E2" s="2686"/>
      <c r="F2" s="2686"/>
      <c r="G2" s="2687"/>
      <c r="H2" s="2688"/>
      <c r="I2" s="2688"/>
      <c r="J2" s="2688"/>
      <c r="K2" s="2688"/>
    </row>
    <row r="3" spans="1:11" ht="16.5">
      <c r="A3" s="2512" t="s">
        <v>662</v>
      </c>
      <c r="B3" s="2514">
        <f>项目基本情况!D3</f>
        <v>44979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1645</v>
      </c>
      <c r="C5" s="2512">
        <f ca="1">IF(B5=D14,结果表!H102,ROUND(B5*10000/$B$1,0))</f>
        <v>9723</v>
      </c>
      <c r="D5" s="2512">
        <f ca="1">ROUND(B5*10000/$B$2,0)</f>
        <v>5400</v>
      </c>
      <c r="E5" s="2686"/>
      <c r="F5" s="2687"/>
      <c r="G5" s="2687"/>
      <c r="H5" s="2688"/>
      <c r="I5" s="2688"/>
      <c r="J5" s="2688"/>
      <c r="K5" s="2688"/>
    </row>
    <row r="6" spans="1:11" ht="16.5">
      <c r="A6" s="2512" t="s">
        <v>656</v>
      </c>
      <c r="B6" s="2512">
        <f ca="1">SUM(G14:G23)</f>
        <v>1645</v>
      </c>
      <c r="C6" s="2512">
        <f ca="1">IF(B6=G14,结果表!H108,ROUND(B6*10000/$B$1,0))</f>
        <v>9723</v>
      </c>
      <c r="D6" s="2512">
        <f ca="1">ROUND(B6*10000/$B$2,0)</f>
        <v>5400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1515</v>
      </c>
      <c r="C8" s="2512">
        <f ca="1">IF(B8=I14,结果表!H112,ROUND(B8*10000/$B$1,0))</f>
        <v>8954</v>
      </c>
      <c r="D8" s="2512">
        <f ca="1">ROUND(B8*10000/$B$2,0)</f>
        <v>4973</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1691.9</v>
      </c>
      <c r="C14" s="2518">
        <f>结果表!C118</f>
        <v>3046.53</v>
      </c>
      <c r="D14" s="2518">
        <f ca="1">结果表!H118</f>
        <v>1645</v>
      </c>
      <c r="E14" s="2518">
        <f ca="1">ROUND(D14*10000/B14,0)</f>
        <v>9723</v>
      </c>
      <c r="F14" s="2518">
        <f ca="1">ROUND(D14*10000/C14,0)</f>
        <v>5400</v>
      </c>
      <c r="G14" s="2518">
        <f ca="1">结果表!D122</f>
        <v>1645</v>
      </c>
      <c r="H14" s="2518"/>
      <c r="I14" s="2518">
        <f ca="1">结果表!D126</f>
        <v>1515</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112" zoomScale="115" zoomScaleNormal="100" zoomScaleSheetLayoutView="115" zoomScalePageLayoutView="80" workbookViewId="0">
      <selection activeCell="E130" sqref="E130:K1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北京市昌平区沙河镇展思门路15号2幢房地产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3410</v>
      </c>
      <c r="D4" s="1756" t="s">
        <v>3389</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5</v>
      </c>
      <c r="D14" s="3603">
        <v>5</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4" t="s">
        <v>2131</v>
      </c>
      <c r="F18" s="3635"/>
      <c r="G18" s="3635"/>
      <c r="H18" s="3635"/>
      <c r="I18" s="3635"/>
      <c r="K18" s="302" t="s">
        <v>1289</v>
      </c>
      <c r="L18" s="302">
        <f>IF(C1="",'数据-汇总表'!E3,SUMIF(项目类型,C1,'数据-汇总表'!E17:E26)+SUMIF(项目类型,C1,'数据-汇总表'!I17:I26))</f>
        <v>1691.9</v>
      </c>
      <c r="M18" s="302">
        <f>IF(C1="",'数据-汇总表'!E3,SUMIF(项目类型,C1,'数据-汇总表'!E17:E26))</f>
        <v>1691.9</v>
      </c>
    </row>
    <row r="19" spans="1:36" ht="15">
      <c r="A19" s="1761" t="s">
        <v>1290</v>
      </c>
      <c r="B19" s="1762" t="s">
        <v>1291</v>
      </c>
      <c r="C19" s="134">
        <f ca="1">SUMIF(INDIRECT("'"&amp;C4&amp;"'"&amp;"!A:A"),结果表!B19,INDIRECT("'"&amp;C4&amp;"'"&amp;"!B:B"))</f>
        <v>1656</v>
      </c>
      <c r="D19" s="135">
        <f ca="1">SUMIF(INDIRECT("'"&amp;D4&amp;"'"&amp;"!A:A"),结果表!B19,INDIRECT("'"&amp;D4&amp;"'"&amp;"!B:B"))</f>
        <v>1633</v>
      </c>
      <c r="E19" s="1761" t="s">
        <v>1292</v>
      </c>
      <c r="F19" s="1762" t="s">
        <v>1291</v>
      </c>
      <c r="G19" s="136">
        <f ca="1">ROUND(C19*$C$18+D19*$D$18,0)</f>
        <v>1645</v>
      </c>
      <c r="H19" s="1763" t="s">
        <v>1293</v>
      </c>
      <c r="I19" s="129"/>
      <c r="K19" s="302" t="s">
        <v>1294</v>
      </c>
      <c r="L19" s="302">
        <f>IF(C1="",'数据-汇总表'!D3,SUMIF(项目类型,C1,'数据-汇总表'!D17:D26)+SUMIF(项目类型,C1,'数据-汇总表'!H17:H27))</f>
        <v>3046.53</v>
      </c>
      <c r="M19" s="302">
        <f>IF(C1="",'数据-汇总表'!D3,SUMIF(项目类型,C1,'数据-汇总表'!D17:D26))</f>
        <v>3046.53</v>
      </c>
    </row>
    <row r="20" spans="1:36" ht="15">
      <c r="A20" s="1764"/>
      <c r="B20" s="1026" t="s">
        <v>1295</v>
      </c>
      <c r="C20" s="137">
        <f ca="1">SUMIF(INDIRECT("'"&amp;C4&amp;"'"&amp;"!A:A"),结果表!B20,INDIRECT("'"&amp;C4&amp;"'"&amp;"!B:B"))</f>
        <v>9788</v>
      </c>
      <c r="D20" s="138">
        <f ca="1">SUMIF(INDIRECT("'"&amp;D4&amp;"'"&amp;"!A:A"),结果表!B20,INDIRECT("'"&amp;D4&amp;"'"&amp;"!B:B"))</f>
        <v>9652</v>
      </c>
      <c r="E20" s="1764"/>
      <c r="F20" s="1026" t="s">
        <v>1295</v>
      </c>
      <c r="G20" s="139">
        <f ca="1">ROUND(C20*$C$18+D20*$D$18,0)</f>
        <v>9720</v>
      </c>
      <c r="H20" s="808" t="s">
        <v>1296</v>
      </c>
      <c r="I20" s="129"/>
    </row>
    <row r="21" spans="1:36" ht="15" customHeight="1" thickBot="1">
      <c r="A21" s="828"/>
      <c r="B21" s="1765" t="s">
        <v>1297</v>
      </c>
      <c r="C21" s="719">
        <f ca="1">ROUND(C19*10000/L19,0)</f>
        <v>5436</v>
      </c>
      <c r="D21" s="720">
        <f ca="1">ROUND(D19*10000/L19,0)</f>
        <v>5360</v>
      </c>
      <c r="E21" s="828"/>
      <c r="F21" s="1765" t="s">
        <v>1297</v>
      </c>
      <c r="G21" s="140">
        <f ca="1">ROUND(G19*10000/L19,0)</f>
        <v>5400</v>
      </c>
      <c r="H21" s="1766" t="s">
        <v>1296</v>
      </c>
      <c r="I21" s="129"/>
    </row>
    <row r="22" spans="1:36" ht="15" thickBot="1">
      <c r="A22" s="1688" t="s">
        <v>1298</v>
      </c>
      <c r="B22" s="1767"/>
      <c r="C22" s="1768"/>
      <c r="D22" s="721">
        <f ca="1">IF(C19&lt;D19,D19/C19-1,C19/D19-1)</f>
        <v>1.4084507042253502E-2</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1645</v>
      </c>
      <c r="D32" s="1775" t="s">
        <v>3411</v>
      </c>
      <c r="E32" s="129"/>
      <c r="F32" s="129"/>
      <c r="G32" s="129"/>
      <c r="H32" s="129"/>
      <c r="I32" s="129"/>
    </row>
    <row r="33" spans="1:15" ht="15">
      <c r="A33" s="786" t="s">
        <v>1306</v>
      </c>
      <c r="B33" s="1776"/>
      <c r="C33" s="1777" t="s">
        <v>3427</v>
      </c>
      <c r="D33" s="1778" t="s">
        <v>3389</v>
      </c>
      <c r="E33" s="1779" t="s">
        <v>1307</v>
      </c>
      <c r="F33" s="1780" t="str">
        <f>IF(D32="楼面单价","取值（单价）","取值（总价）")</f>
        <v>取值（总价）</v>
      </c>
      <c r="G33" s="129"/>
      <c r="H33" s="129"/>
      <c r="I33" s="129"/>
    </row>
    <row r="34" spans="1:15" ht="15">
      <c r="A34" s="1781"/>
      <c r="B34" s="1782" t="s">
        <v>1308</v>
      </c>
      <c r="C34" s="148">
        <f ca="1">IF(C33="自定义",F34,C32-C35)</f>
        <v>1194</v>
      </c>
      <c r="D34" s="861">
        <f ca="1">IF(C33="自定义",ROUND(C34/C32,3),IF(C33="收益比率",SUMIF(INDIRECT("'"&amp;D33&amp;"'"&amp;"!b:b"),"土地收益比率",INDIRECT("'"&amp;D33&amp;"'"&amp;"!c:c")),SUMIF(INDIRECT("'"&amp;D33&amp;"'"&amp;"!b:b"),"土地成本比率",INDIRECT("'"&amp;D33&amp;"'"&amp;"!c:c"))))</f>
        <v>0.72599999999999998</v>
      </c>
      <c r="E34" s="1783" t="s">
        <v>1309</v>
      </c>
      <c r="F34" s="1330"/>
      <c r="G34" s="129"/>
      <c r="H34" s="129"/>
      <c r="I34" s="129"/>
    </row>
    <row r="35" spans="1:15" ht="15.75" thickBot="1">
      <c r="A35" s="1784"/>
      <c r="B35" s="1785" t="s">
        <v>1310</v>
      </c>
      <c r="C35" s="1170">
        <f ca="1">IF(C33="自定义",F35,ROUND(C32*D35,0))</f>
        <v>451</v>
      </c>
      <c r="D35" s="1171">
        <f ca="1">IF(C33="自定义",ROUND(C35/C32,3),IF(C33="收益比率",SUMIF(INDIRECT("'"&amp;D33&amp;"'"&amp;"!b:b"),"建筑物收益比率",INDIRECT("'"&amp;D33&amp;"'"&amp;"!c:c")),SUMIF(INDIRECT("'"&amp;D33&amp;"'"&amp;"!b:b"),"建筑物成本比率",INDIRECT("'"&amp;D33&amp;"'"&amp;"!c:c"))))</f>
        <v>0.27400000000000002</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921</v>
      </c>
      <c r="E45" s="156" t="s">
        <v>1327</v>
      </c>
      <c r="F45" s="157">
        <v>0.56000000000000005</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44979</v>
      </c>
      <c r="N47" s="3547"/>
      <c r="O47" s="3547"/>
    </row>
    <row r="48" spans="1:15" ht="25.5">
      <c r="A48" s="3607" t="s">
        <v>1338</v>
      </c>
      <c r="B48" s="3608"/>
      <c r="C48" s="3608"/>
      <c r="D48" s="2324">
        <f ca="1">IF(H48="情况1",0,IF(H48="情况2",D52,IF(H48="情况3",D53,IF(H48="情况4",D54))))</f>
        <v>48</v>
      </c>
      <c r="E48" s="2334" t="str">
        <f>IF(H48="情况4","(销售额-原购置价)×税（费）率","销售额×税（费）率")</f>
        <v>销售额×税（费）率</v>
      </c>
      <c r="F48" s="2548">
        <f>IF(H48="情况1","免征",'数据-取费表'!B41)</f>
        <v>5.5000000000000007E-2</v>
      </c>
      <c r="G48" s="2549" t="s">
        <v>1339</v>
      </c>
      <c r="H48" s="2550" t="s">
        <v>3412</v>
      </c>
      <c r="I48" s="1806"/>
      <c r="J48" s="2523">
        <v>3</v>
      </c>
      <c r="K48" s="3545" t="s">
        <v>1340</v>
      </c>
      <c r="L48" s="3545"/>
      <c r="M48" s="3548">
        <f ca="1">H101</f>
        <v>1645</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1645</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48</v>
      </c>
      <c r="E52" s="2334" t="s">
        <v>1354</v>
      </c>
      <c r="F52" s="2554">
        <f>'数据-取费表'!B41</f>
        <v>5.5000000000000007E-2</v>
      </c>
      <c r="G52" s="2555"/>
      <c r="H52" s="2544"/>
      <c r="I52" s="1807"/>
      <c r="J52" s="2523">
        <v>1</v>
      </c>
      <c r="K52" s="3570" t="s">
        <v>1355</v>
      </c>
      <c r="L52" s="3570"/>
      <c r="M52" s="2525">
        <f ca="1">D48</f>
        <v>48</v>
      </c>
      <c r="N52" s="2523" t="str">
        <f>E48</f>
        <v>销售额×税（费）率</v>
      </c>
      <c r="O52" s="2526">
        <f>F48</f>
        <v>5.5000000000000007E-2</v>
      </c>
    </row>
    <row r="53" spans="1:35" ht="12" customHeight="1">
      <c r="A53" s="2335" t="s">
        <v>1356</v>
      </c>
      <c r="B53" s="3594" t="s">
        <v>2291</v>
      </c>
      <c r="C53" s="3595"/>
      <c r="D53" s="1087">
        <f ca="1">ROUND(D45*'数据-取费表'!B41/(1+'数据-取费表'!C42),0)</f>
        <v>48</v>
      </c>
      <c r="E53" s="2334" t="s">
        <v>1354</v>
      </c>
      <c r="F53" s="2554">
        <f>'数据-取费表'!B41</f>
        <v>5.5000000000000007E-2</v>
      </c>
      <c r="G53" s="2555"/>
      <c r="H53" s="2544"/>
      <c r="I53" s="1807"/>
      <c r="J53" s="2523">
        <v>2</v>
      </c>
      <c r="K53" s="3570" t="s">
        <v>1357</v>
      </c>
      <c r="L53" s="3570"/>
      <c r="M53" s="2525">
        <f t="shared" ref="M53:O54" ca="1" si="0">D55</f>
        <v>0</v>
      </c>
      <c r="N53" s="2523" t="str">
        <f t="shared" si="0"/>
        <v>销售额×税（费）率</v>
      </c>
      <c r="O53" s="2526">
        <f t="shared" si="0"/>
        <v>5.0000000000000001E-4</v>
      </c>
    </row>
    <row r="54" spans="1:35" ht="12" customHeight="1">
      <c r="A54" s="2335" t="s">
        <v>1358</v>
      </c>
      <c r="B54" s="3594" t="s">
        <v>2292</v>
      </c>
      <c r="C54" s="3595"/>
      <c r="D54" s="1087">
        <f ca="1">C68</f>
        <v>48</v>
      </c>
      <c r="E54" s="327" t="s">
        <v>1359</v>
      </c>
      <c r="F54" s="2554">
        <f>'数据-取费表'!B41</f>
        <v>5.5000000000000007E-2</v>
      </c>
      <c r="G54" s="2555"/>
      <c r="H54" s="2556"/>
      <c r="I54" s="1807"/>
      <c r="J54" s="2523">
        <v>3</v>
      </c>
      <c r="K54" s="3570" t="s">
        <v>1360</v>
      </c>
      <c r="L54" s="3570"/>
      <c r="M54" s="2525">
        <f t="shared" ca="1" si="0"/>
        <v>82</v>
      </c>
      <c r="N54" s="2523" t="str">
        <f t="shared" si="0"/>
        <v>增值额×税（费）率</v>
      </c>
      <c r="O54" s="2527" t="str">
        <f t="shared" si="0"/>
        <v>——</v>
      </c>
    </row>
    <row r="55" spans="1:35" ht="24" customHeight="1">
      <c r="A55" s="3630" t="s">
        <v>1361</v>
      </c>
      <c r="B55" s="3608"/>
      <c r="C55" s="3608"/>
      <c r="D55" s="2324">
        <f ca="1">IF(H55="个人住宅",0,ROUND(D45*I55,0))</f>
        <v>0</v>
      </c>
      <c r="E55" s="2334" t="s">
        <v>1362</v>
      </c>
      <c r="F55" s="2554">
        <f>IF(H55="正常",I55,"免征")</f>
        <v>5.0000000000000001E-4</v>
      </c>
      <c r="G55" s="2555"/>
      <c r="H55" s="2550" t="s">
        <v>3413</v>
      </c>
      <c r="I55" s="165">
        <f>'数据-取费表'!B49</f>
        <v>5.0000000000000001E-4</v>
      </c>
      <c r="J55" s="2523" t="str">
        <f>IF(H59="非个人房产","",4)</f>
        <v/>
      </c>
      <c r="K55" s="3570" t="str">
        <f>IF(H59="非个人房产","——","个人所得税")</f>
        <v>——</v>
      </c>
      <c r="L55" s="3570"/>
      <c r="M55" s="2528" t="str">
        <f>D59</f>
        <v>——</v>
      </c>
      <c r="N55" s="2040" t="str">
        <f>E59</f>
        <v>——</v>
      </c>
      <c r="O55" s="2529" t="str">
        <f>F59</f>
        <v>——</v>
      </c>
    </row>
    <row r="56" spans="1:35" ht="24.75">
      <c r="A56" s="3630" t="s">
        <v>1363</v>
      </c>
      <c r="B56" s="3608"/>
      <c r="C56" s="3608"/>
      <c r="D56" s="2324">
        <f ca="1">IF(H56="个人住宅",D57,D58)</f>
        <v>82</v>
      </c>
      <c r="E56" s="2334" t="s">
        <v>1364</v>
      </c>
      <c r="F56" s="2554" t="str">
        <f>IF(H56="正常",F58,"免征")</f>
        <v>——</v>
      </c>
      <c r="G56" s="2557" t="s">
        <v>1365</v>
      </c>
      <c r="H56" s="2558" t="s">
        <v>3413</v>
      </c>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4</v>
      </c>
      <c r="K57" s="3570" t="s">
        <v>1367</v>
      </c>
      <c r="L57" s="2530" t="s">
        <v>1368</v>
      </c>
      <c r="M57" s="2531"/>
      <c r="N57" s="2532">
        <f ca="1">SUMIF(M52:M56,"&lt;9e307")</f>
        <v>130</v>
      </c>
      <c r="O57" s="2533"/>
      <c r="P57" s="2690">
        <f ca="1">N57/M49</f>
        <v>7.9027355623100301E-2</v>
      </c>
    </row>
    <row r="58" spans="1:35" ht="24.75">
      <c r="A58" s="2335" t="s">
        <v>1352</v>
      </c>
      <c r="B58" s="3594" t="s">
        <v>1369</v>
      </c>
      <c r="C58" s="3593"/>
      <c r="D58" s="2324">
        <f ca="1">IF(H58="转让取得",C81,C97)</f>
        <v>82</v>
      </c>
      <c r="E58" s="2334" t="s">
        <v>1364</v>
      </c>
      <c r="F58" s="302" t="s">
        <v>28</v>
      </c>
      <c r="G58" s="2555"/>
      <c r="H58" s="2558" t="s">
        <v>3414</v>
      </c>
      <c r="I58" s="1808"/>
      <c r="J58" s="3570"/>
      <c r="K58" s="3570"/>
      <c r="L58" s="2530" t="s">
        <v>1370</v>
      </c>
      <c r="M58" s="2534"/>
      <c r="N58" s="2535" t="str">
        <f ca="1">NUMBERSTRING(INT(N57*10000),2)&amp;"元整"</f>
        <v>壹佰叁拾万元整</v>
      </c>
      <c r="O58" s="2536"/>
    </row>
    <row r="59" spans="1:35" ht="24.75" thickBot="1">
      <c r="A59" s="3574" t="s">
        <v>1371</v>
      </c>
      <c r="B59" s="3575"/>
      <c r="C59" s="357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3415</v>
      </c>
      <c r="I59" s="2313" t="s">
        <v>2137</v>
      </c>
      <c r="J59" s="3572">
        <f>J57+1</f>
        <v>5</v>
      </c>
      <c r="K59" s="3570" t="s">
        <v>1372</v>
      </c>
      <c r="L59" s="2523" t="s">
        <v>1368</v>
      </c>
      <c r="M59" s="2537"/>
      <c r="N59" s="2538">
        <f ca="1">M49-N57</f>
        <v>1515</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壹仟伍佰壹拾伍万元整</v>
      </c>
      <c r="O60" s="2536"/>
    </row>
    <row r="61" spans="1:35" ht="13.5" thickBot="1">
      <c r="A61" s="3629" t="s">
        <v>1373</v>
      </c>
      <c r="B61" s="3629"/>
      <c r="C61" s="3629"/>
      <c r="D61" s="3629"/>
      <c r="E61" s="3629"/>
      <c r="F61" s="1808"/>
      <c r="G61" s="1808"/>
      <c r="H61" s="1810"/>
      <c r="I61" s="129"/>
      <c r="J61" s="2523">
        <f>J59+1</f>
        <v>6</v>
      </c>
      <c r="K61" s="3570" t="s">
        <v>1374</v>
      </c>
      <c r="L61" s="3570"/>
      <c r="M61" s="2540"/>
      <c r="N61" s="2541">
        <f ca="1">ROUND(N59*10000/'数据-汇总表'!E3,0)</f>
        <v>8954</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877</v>
      </c>
      <c r="D63" s="167"/>
      <c r="E63" s="168"/>
      <c r="F63" s="1808"/>
      <c r="G63" s="1808"/>
      <c r="H63" s="1810"/>
      <c r="I63" s="129"/>
      <c r="J63" s="3553" t="s">
        <v>1379</v>
      </c>
      <c r="K63" s="1332" t="s">
        <v>1380</v>
      </c>
      <c r="L63" s="1332">
        <f ca="1">IF(M49&gt;10000,M49*0.5%,IF(AND(M49&gt;1000,M49&lt;=10000),M49*1%,IF(AND(M49&gt;100,M49&lt;=1000),M49*3%,IF(AND(M49&gt;10,M49&lt;=100),M49*5%,M49*8%))))</f>
        <v>16.45</v>
      </c>
      <c r="M63" s="302">
        <f ca="1">ROUND(L63,1)</f>
        <v>16.5</v>
      </c>
      <c r="N63" s="2543"/>
      <c r="Z63" s="1752"/>
      <c r="AI63" s="1753"/>
    </row>
    <row r="64" spans="1:35" ht="14.25" customHeight="1">
      <c r="A64" s="169" t="s">
        <v>325</v>
      </c>
      <c r="B64" s="170" t="s">
        <v>1381</v>
      </c>
      <c r="C64" s="2565">
        <f ca="1">D45</f>
        <v>921</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9.870000000000001</v>
      </c>
      <c r="M64" s="302">
        <f t="shared" ref="M64:M65" ca="1" si="1">ROUND(L64,1)</f>
        <v>9.9</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1.645</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8.2249999999999996</v>
      </c>
      <c r="M66" s="302">
        <f ca="1">IF(L66&gt;0.5,0.5,ROUND(L66,0))</f>
        <v>0.5</v>
      </c>
      <c r="N66" s="2544" t="s">
        <v>1388</v>
      </c>
      <c r="Z66" s="1752"/>
      <c r="AI66" s="1753"/>
    </row>
    <row r="67" spans="1:35" ht="14.25" customHeight="1">
      <c r="A67" s="173" t="s">
        <v>328</v>
      </c>
      <c r="B67" s="174" t="s">
        <v>1389</v>
      </c>
      <c r="C67" s="2568">
        <f ca="1">C63-C66</f>
        <v>877</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3.7175000000000002</v>
      </c>
      <c r="M67" s="302">
        <f ca="1">ROUND(L67*0.9,1)</f>
        <v>3.3</v>
      </c>
      <c r="N67" s="2543"/>
      <c r="Z67" s="1752"/>
      <c r="AI67" s="1753"/>
    </row>
    <row r="68" spans="1:35" ht="14.25" customHeight="1" thickBot="1">
      <c r="A68" s="176" t="s">
        <v>329</v>
      </c>
      <c r="B68" s="177" t="s">
        <v>1391</v>
      </c>
      <c r="C68" s="2569">
        <f ca="1">IF(C67&lt;=0,0,ROUND(C67*D68,0))</f>
        <v>48</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32.9</v>
      </c>
      <c r="M68" s="302">
        <f ca="1">ROUND(L68,1)</f>
        <v>32.9</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65</v>
      </c>
      <c r="N69" s="2545">
        <f ca="1">M69/M49</f>
        <v>3.9513677811550151E-2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873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218.25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522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603.20000000000005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76.2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74.2</v>
      </c>
      <c r="D88" s="2577"/>
      <c r="E88" s="193" t="s">
        <v>1413</v>
      </c>
      <c r="F88" s="2327"/>
      <c r="G88" s="194" t="s">
        <v>1414</v>
      </c>
      <c r="H88" s="1824" t="s">
        <v>3416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423</v>
      </c>
      <c r="D91" s="2577"/>
      <c r="E91" s="3586" t="s">
        <v>1419</v>
      </c>
      <c r="F91" s="3587"/>
      <c r="G91" s="3587"/>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0</v>
      </c>
      <c r="D92" s="2583">
        <v>0</v>
      </c>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100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0.4542440318302387</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v>
      </c>
      <c r="D101" s="2586" t="str">
        <f>D4</f>
        <v>收益法</v>
      </c>
      <c r="E101" s="3549" t="s">
        <v>1431</v>
      </c>
      <c r="F101" s="3550"/>
      <c r="G101" s="1827" t="s">
        <v>1432</v>
      </c>
      <c r="H101" s="2595">
        <f ca="1">H118</f>
        <v>1645</v>
      </c>
      <c r="I101" s="129"/>
    </row>
    <row r="102" spans="1:35" ht="18.75" customHeight="1">
      <c r="A102" s="3581" t="s">
        <v>1433</v>
      </c>
      <c r="B102" s="2584" t="s">
        <v>1432</v>
      </c>
      <c r="C102" s="2585">
        <f ca="1">IF(D32="楼面单价",ROUND(C19,0),C19)</f>
        <v>1656</v>
      </c>
      <c r="D102" s="2586">
        <f ca="1">IF(D32="楼面单价",ROUND(D19,0),D19)</f>
        <v>1633</v>
      </c>
      <c r="E102" s="3549"/>
      <c r="F102" s="3550"/>
      <c r="G102" s="1827" t="s">
        <v>1434</v>
      </c>
      <c r="H102" s="2555">
        <f ca="1">I118</f>
        <v>9723</v>
      </c>
      <c r="I102" s="129"/>
    </row>
    <row r="103" spans="1:35" ht="42.75" customHeight="1">
      <c r="A103" s="3581"/>
      <c r="B103" s="2584" t="s">
        <v>1434</v>
      </c>
      <c r="C103" s="2587">
        <f ca="1">C20</f>
        <v>9788</v>
      </c>
      <c r="D103" s="2588">
        <f ca="1">D20</f>
        <v>9652</v>
      </c>
      <c r="E103" s="3542" t="s">
        <v>1435</v>
      </c>
      <c r="F103" s="3543"/>
      <c r="G103" s="1828" t="s">
        <v>1436</v>
      </c>
      <c r="H103" s="2595">
        <f>IF(D36="正常操作",H104+H105+H106,H105+H106)</f>
        <v>0</v>
      </c>
      <c r="I103" s="129"/>
    </row>
    <row r="104" spans="1:35" ht="18.75" customHeight="1">
      <c r="A104" s="3581" t="s">
        <v>1437</v>
      </c>
      <c r="B104" s="2589" t="s">
        <v>1432</v>
      </c>
      <c r="C104" s="2590">
        <f ca="1">H118</f>
        <v>1645</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9723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1645</v>
      </c>
      <c r="I107" s="129"/>
    </row>
    <row r="108" spans="1:35" ht="18.75" customHeight="1">
      <c r="A108" s="129"/>
      <c r="B108" s="129"/>
      <c r="C108" s="129"/>
      <c r="D108" s="129"/>
      <c r="E108" s="3582"/>
      <c r="F108" s="3550"/>
      <c r="G108" s="1827" t="s">
        <v>1434</v>
      </c>
      <c r="H108" s="2555">
        <f ca="1">IF(H107=H101,H102,ROUND(H107*10000/'数据-汇总表'!E3,0))</f>
        <v>9723</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4.抵押净值</v>
      </c>
      <c r="F111" s="3569"/>
      <c r="G111" s="1827" t="s">
        <v>1432</v>
      </c>
      <c r="H111" s="2595">
        <f ca="1">IF(E111="——","——",N59)</f>
        <v>1515</v>
      </c>
      <c r="I111" s="129"/>
    </row>
    <row r="112" spans="1:35" ht="18.75" customHeight="1" thickBot="1">
      <c r="A112" s="129"/>
      <c r="B112" s="129"/>
      <c r="C112" s="129"/>
      <c r="D112" s="129"/>
      <c r="E112" s="3584"/>
      <c r="F112" s="3585"/>
      <c r="G112" s="1830" t="s">
        <v>1434</v>
      </c>
      <c r="H112" s="2599">
        <f ca="1">IF(E111="——","——",N61)</f>
        <v>8954</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北京市昌平区沙河镇展思门路15号2幢房地产</v>
      </c>
      <c r="B118" s="2329">
        <f>M18</f>
        <v>1691.9</v>
      </c>
      <c r="C118" s="2329">
        <f>M19</f>
        <v>3046.53</v>
      </c>
      <c r="D118" s="2329">
        <f ca="1">ROUND(IF(D32="总价",C34,E118*B118/10000),0)</f>
        <v>1194</v>
      </c>
      <c r="E118" s="2329">
        <f ca="1">ROUND(IF(C33="自定义",IF(D32="楼面单价",C34,D118*10000/B118),I118-G118),0)</f>
        <v>7057</v>
      </c>
      <c r="F118" s="2329">
        <f ca="1">ROUND(IF(D32="总价",C35,G118*B118/10000),0)</f>
        <v>451</v>
      </c>
      <c r="G118" s="2329">
        <f ca="1">ROUND(IF(D32="楼面单价",C35,F118*10000/B118),0)</f>
        <v>2666</v>
      </c>
      <c r="H118" s="2329">
        <f ca="1">ROUND(IF(D32="总价",C32,I118*B118/10000),0)</f>
        <v>1645</v>
      </c>
      <c r="I118" s="2329">
        <f ca="1">ROUND(IF(D32="楼面单价",C32,H118*10000/B118),0)</f>
        <v>9723</v>
      </c>
    </row>
    <row r="119" spans="1:27" ht="18.75" customHeight="1">
      <c r="A119" s="3557" t="s">
        <v>1452</v>
      </c>
      <c r="B119" s="3557"/>
      <c r="C119" s="3557"/>
      <c r="D119" s="3563" t="str">
        <f ca="1">NUMBERSTRING(INT(D118*10000),2)&amp;"元整"</f>
        <v>壹仟壹佰玖拾肆万元整</v>
      </c>
      <c r="E119" s="3564"/>
      <c r="F119" s="3563" t="str">
        <f ca="1">NUMBERSTRING(INT(F118*10000),2)&amp;"元整"</f>
        <v>肆佰伍拾壹万元整</v>
      </c>
      <c r="G119" s="3564"/>
      <c r="H119" s="3563" t="str">
        <f ca="1">NUMBERSTRING(INT(H118*10000),2)&amp;"元整"</f>
        <v>壹仟陆佰肆拾伍万元整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1645</v>
      </c>
      <c r="E122" s="3559"/>
      <c r="F122" s="3559"/>
      <c r="G122" s="3559"/>
      <c r="H122" s="3559"/>
      <c r="I122" s="3560"/>
      <c r="AA122" s="725"/>
    </row>
    <row r="123" spans="1:27" ht="18.75" customHeight="1">
      <c r="A123" s="3557" t="s">
        <v>1452</v>
      </c>
      <c r="B123" s="3557"/>
      <c r="C123" s="3557"/>
      <c r="D123" s="3563" t="str">
        <f ca="1">NUMBERSTRING(INT(D122*10000),2)&amp;"元整"</f>
        <v>壹仟陆佰肆拾伍万元整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抵押净值</v>
      </c>
      <c r="B126" s="3569"/>
      <c r="C126" s="3569"/>
      <c r="D126" s="3558">
        <f ca="1">H111</f>
        <v>1515</v>
      </c>
      <c r="E126" s="3559"/>
      <c r="F126" s="3559"/>
      <c r="G126" s="3559"/>
      <c r="H126" s="3559"/>
      <c r="I126" s="3560"/>
      <c r="AA126" s="725"/>
    </row>
    <row r="127" spans="1:27" ht="18.75" customHeight="1">
      <c r="A127" s="3557" t="s">
        <v>1452</v>
      </c>
      <c r="B127" s="3557"/>
      <c r="C127" s="3557"/>
      <c r="D127" s="3563" t="str">
        <f ca="1">NUMBERSTRING(INT(D126*10000),2)&amp;"元整"</f>
        <v>壹仟伍佰壹拾伍万元整</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4" sqref="D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9788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1177</v>
      </c>
      <c r="D5" s="211" t="s">
        <v>1469</v>
      </c>
      <c r="E5" s="212" t="s">
        <v>1470</v>
      </c>
      <c r="F5" s="212" t="s">
        <v>1471</v>
      </c>
      <c r="G5" s="213"/>
    </row>
    <row r="6" spans="1:9" s="214" customFormat="1" ht="13.5" customHeight="1">
      <c r="A6" s="778" t="s">
        <v>1472</v>
      </c>
      <c r="B6" s="215" t="s">
        <v>1473</v>
      </c>
      <c r="C6" s="216">
        <f>基准地价修正!B2</f>
        <v>1111</v>
      </c>
      <c r="D6" s="217"/>
      <c r="E6" s="218"/>
      <c r="F6" s="218"/>
      <c r="G6" s="219"/>
    </row>
    <row r="7" spans="1:9" s="214" customFormat="1" ht="13.5" customHeight="1">
      <c r="A7" s="778" t="s">
        <v>1474</v>
      </c>
      <c r="B7" s="215" t="s">
        <v>1475</v>
      </c>
      <c r="C7" s="220">
        <f>ROUND(C6*F7,0)</f>
        <v>34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32</v>
      </c>
      <c r="D10" s="845">
        <f ca="1">IF(B1="",'数据-汇总表'!E6,IF(INDIRECT("'数据-取费表'!c"&amp;$G$1)="住宅",INDIRECT("'数据-取费表'!s"&amp;$G$1),INDIRECT("'数据-取费表'!k"&amp;$G$1)+INDIRECT("'数据-取费表'!s"&amp;$G$1)))</f>
        <v>1691.9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1691.9</v>
      </c>
      <c r="E19" s="211">
        <f>'数据-取费表'!B31</f>
        <v>200</v>
      </c>
      <c r="F19" s="231"/>
      <c r="G19" s="1856" t="s">
        <v>3404</v>
      </c>
    </row>
    <row r="20" spans="1:7" s="214" customFormat="1" ht="13.5" customHeight="1">
      <c r="A20" s="255" t="s">
        <v>1493</v>
      </c>
      <c r="B20" s="210" t="s">
        <v>1494</v>
      </c>
      <c r="C20" s="232">
        <f ca="1">ROUND((C5+C19)*F20,0)</f>
        <v>18</v>
      </c>
      <c r="D20" s="232"/>
      <c r="E20" s="232"/>
      <c r="F20" s="233">
        <f>'数据-取费表'!B37</f>
        <v>1.4999999999999999E-2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24</v>
      </c>
      <c r="D22" s="235">
        <f ca="1">C26</f>
        <v>1E-4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1E-4</v>
      </c>
      <c r="D26" s="238"/>
      <c r="E26" s="241"/>
      <c r="F26" s="239"/>
      <c r="G26" s="243"/>
    </row>
    <row r="27" spans="1:7" s="214" customFormat="1" ht="24.75">
      <c r="A27" s="255" t="s">
        <v>1512</v>
      </c>
      <c r="B27" s="244" t="s">
        <v>1513</v>
      </c>
      <c r="C27" s="245">
        <f ca="1">C28</f>
        <v>60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60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372</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1691.9</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v>
      </c>
      <c r="D41" s="235">
        <f ca="1">C44</f>
        <v>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1E-4</v>
      </c>
      <c r="D44" s="238"/>
      <c r="E44" s="238"/>
      <c r="F44" s="239"/>
      <c r="G44" s="3638"/>
    </row>
    <row r="45" spans="1:7" s="214" customFormat="1" ht="13.5" customHeight="1">
      <c r="A45" s="255" t="s">
        <v>1547</v>
      </c>
      <c r="B45" s="244" t="s">
        <v>1513</v>
      </c>
      <c r="C45" s="245">
        <f ca="1">C46</f>
        <v>21</v>
      </c>
      <c r="D45" s="235">
        <f ca="1">C47</f>
        <v>5.0000000000000001E-4</v>
      </c>
      <c r="E45" s="236" t="s">
        <v>1539</v>
      </c>
      <c r="F45" s="246">
        <f ca="1">F27</f>
        <v>0.05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485</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291</v>
      </c>
      <c r="D51" s="232"/>
      <c r="E51" s="232"/>
      <c r="F51" s="264"/>
      <c r="G51" s="234" t="s">
        <v>1560</v>
      </c>
    </row>
    <row r="52" spans="1:7" s="208" customFormat="1" ht="16.5" thickBot="1">
      <c r="A52" s="265" t="s">
        <v>1561</v>
      </c>
      <c r="B52" s="266"/>
      <c r="C52" s="267">
        <f ca="1">C31+C51</f>
        <v>1656</v>
      </c>
      <c r="D52" s="266"/>
      <c r="E52" s="266"/>
      <c r="F52" s="266"/>
      <c r="G52" s="268"/>
    </row>
    <row r="55" spans="1:7" ht="15">
      <c r="B55" s="270" t="s">
        <v>1562</v>
      </c>
      <c r="C55" s="271"/>
    </row>
    <row r="56" spans="1:7">
      <c r="B56" s="273" t="s">
        <v>802</v>
      </c>
      <c r="C56" s="275">
        <f ca="1">1-C57</f>
        <v>0.82400000000000007</v>
      </c>
    </row>
    <row r="57" spans="1:7">
      <c r="B57" s="273" t="s">
        <v>803</v>
      </c>
      <c r="C57" s="274">
        <f ca="1">ROUND(C51/C52,3)</f>
        <v>0.17599999999999999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北京市昌平区沙河镇展思门路15号2幢房地产抵押价值预评估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367.91520000000003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2175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321461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321461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321461</v>
      </c>
      <c r="D10" s="845">
        <f ca="1">IF(B1="",'数据-汇总表'!E6,IF(INDIRECT("'数据-取费表'!c"&amp;$G$1)="住宅",INDIRECT("'数据-取费表'!s"&amp;$G$1),INDIRECT("'数据-取费表'!k"&amp;$G$1)+INDIRECT("'数据-取费表'!s"&amp;$G$1)))</f>
        <v>1691.9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338380</v>
      </c>
      <c r="D19" s="849">
        <f ca="1">D9+D10</f>
        <v>1691.9</v>
      </c>
      <c r="E19" s="211">
        <f>'数据-取费表'!B31</f>
        <v>200</v>
      </c>
      <c r="F19" s="231"/>
      <c r="G19" s="1856"/>
    </row>
    <row r="20" spans="1:7" s="214" customFormat="1" ht="13.5" customHeight="1">
      <c r="A20" s="255" t="s">
        <v>1574</v>
      </c>
      <c r="B20" s="210" t="s">
        <v>1575</v>
      </c>
      <c r="C20" s="232">
        <f ca="1">ROUND((C5+C19)*F20,0)</f>
        <v>9898</v>
      </c>
      <c r="D20" s="232"/>
      <c r="E20" s="232"/>
      <c r="F20" s="233">
        <f>'数据-取费表'!B37</f>
        <v>1.4999999999999999E-2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13794</v>
      </c>
      <c r="D22" s="235">
        <f ca="1">C26</f>
        <v>1E-4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6670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7021</v>
      </c>
      <c r="D24" s="238"/>
      <c r="E24" s="238"/>
      <c r="F24" s="239"/>
      <c r="G24" s="240" t="s">
        <v>1586</v>
      </c>
    </row>
    <row r="25" spans="1:7" s="214" customFormat="1" ht="24">
      <c r="A25" s="780" t="s">
        <v>1476</v>
      </c>
      <c r="B25" s="215" t="s">
        <v>1587</v>
      </c>
      <c r="C25" s="1128">
        <f ca="1">ROUND(IF('数据-取费表'!B22&lt;=1,C20*F22*'数据-取费表'!B22/2,C20*(POWER((1+F22),'数据-取费表'!B22/2)-1)),0)</f>
        <v>103</v>
      </c>
      <c r="D25" s="238"/>
      <c r="E25" s="241"/>
      <c r="F25" s="239"/>
      <c r="G25" s="242" t="s">
        <v>1588</v>
      </c>
    </row>
    <row r="26" spans="1:7" s="214" customFormat="1">
      <c r="A26" s="780" t="s">
        <v>350</v>
      </c>
      <c r="B26" s="215" t="s">
        <v>1511</v>
      </c>
      <c r="C26" s="238">
        <f ca="1">ROUND(IF('数据-取费表'!B22&lt;=1,F21*F22*'数据-取费表'!B22/2,F21*(POWER((1+F22),'数据-取费表'!B22/2)-1)),4)</f>
        <v>1E-4</v>
      </c>
      <c r="D26" s="238"/>
      <c r="E26" s="241"/>
      <c r="F26" s="239"/>
      <c r="G26" s="243"/>
    </row>
    <row r="27" spans="1:7" s="214" customFormat="1" ht="24.75">
      <c r="A27" s="255" t="s">
        <v>1512</v>
      </c>
      <c r="B27" s="244" t="s">
        <v>1513</v>
      </c>
      <c r="C27" s="245">
        <f ca="1">C28</f>
        <v>33487</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33487</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765229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4228058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3722180</v>
      </c>
      <c r="D34" s="217"/>
      <c r="E34" s="220"/>
      <c r="F34" s="257"/>
      <c r="G34" s="219"/>
    </row>
    <row r="35" spans="1:7" ht="13.5" customHeight="1">
      <c r="A35" s="780" t="s">
        <v>351</v>
      </c>
      <c r="B35" s="215" t="s">
        <v>1527</v>
      </c>
      <c r="C35" s="220">
        <f ca="1">ROUND(C34*F35,0)</f>
        <v>111665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338380</v>
      </c>
      <c r="D37" s="217">
        <f ca="1">D19</f>
        <v>1691.9</v>
      </c>
      <c r="E37" s="249">
        <f>'数据-取费表'!B35</f>
        <v>200</v>
      </c>
      <c r="F37" s="259"/>
      <c r="G37" s="261"/>
    </row>
    <row r="38" spans="1:7" ht="13.5" customHeight="1">
      <c r="A38" s="780" t="s">
        <v>354</v>
      </c>
      <c r="B38" s="215" t="s">
        <v>1533</v>
      </c>
      <c r="C38" s="220">
        <f ca="1">ROUND(C34*F38,0)</f>
        <v>55833</v>
      </c>
      <c r="D38" s="220"/>
      <c r="E38" s="220"/>
      <c r="F38" s="259">
        <f>'数据-取费表'!B36</f>
        <v>1.4999999999999999E-2</v>
      </c>
      <c r="G38" s="219" t="s">
        <v>1528</v>
      </c>
    </row>
    <row r="39" spans="1:7" s="214" customFormat="1" ht="13.5" customHeight="1">
      <c r="A39" s="255" t="s">
        <v>1534</v>
      </c>
      <c r="B39" s="210" t="s">
        <v>1535</v>
      </c>
      <c r="C39" s="232">
        <f ca="1">ROUND(C33*F20,0)</f>
        <v>63421</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44524</v>
      </c>
      <c r="D41" s="235">
        <f ca="1">C44</f>
        <v>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43866</v>
      </c>
      <c r="D42" s="238"/>
      <c r="E42" s="238"/>
      <c r="F42" s="239"/>
      <c r="G42" s="3636" t="s">
        <v>1591</v>
      </c>
    </row>
    <row r="43" spans="1:7" ht="13.5" customHeight="1">
      <c r="A43" s="780" t="s">
        <v>347</v>
      </c>
      <c r="B43" s="215" t="s">
        <v>1545</v>
      </c>
      <c r="C43" s="238">
        <f ca="1">ROUND(IF('数据-取费表'!B22&lt;=1,C39*F22*'数据-取费表'!B20/2,C39*(POWER((1+F22),'数据-取费表'!B20/2)-1)),0)</f>
        <v>658</v>
      </c>
      <c r="D43" s="238"/>
      <c r="E43" s="238"/>
      <c r="F43" s="239"/>
      <c r="G43" s="3637"/>
    </row>
    <row r="44" spans="1:7" ht="13.5" customHeight="1">
      <c r="A44" s="780" t="s">
        <v>348</v>
      </c>
      <c r="B44" s="215" t="s">
        <v>1546</v>
      </c>
      <c r="C44" s="238">
        <f ca="1">ROUND(IF('数据-取费表'!B22&lt;=1,C40*F22*'数据-取费表'!B20/2,C40*(POWER((1+F22),'数据-取费表'!B20/2)-1)),4)</f>
        <v>1E-4</v>
      </c>
      <c r="D44" s="238"/>
      <c r="E44" s="238"/>
      <c r="F44" s="239"/>
      <c r="G44" s="3638"/>
    </row>
    <row r="45" spans="1:7" s="214" customFormat="1" ht="13.5" customHeight="1">
      <c r="A45" s="255" t="s">
        <v>1547</v>
      </c>
      <c r="B45" s="244" t="s">
        <v>1513</v>
      </c>
      <c r="C45" s="245">
        <f ca="1">C46</f>
        <v>214574</v>
      </c>
      <c r="D45" s="235">
        <f ca="1">C47</f>
        <v>5.0000000000000001E-4</v>
      </c>
      <c r="E45" s="236" t="s">
        <v>1539</v>
      </c>
      <c r="F45" s="246">
        <f ca="1">F27</f>
        <v>0.05</v>
      </c>
      <c r="G45" s="247" t="s">
        <v>1548</v>
      </c>
    </row>
    <row r="46" spans="1:7" s="214" customFormat="1" ht="13.5" customHeight="1">
      <c r="A46" s="780" t="s">
        <v>346</v>
      </c>
      <c r="B46" s="248" t="s">
        <v>1549</v>
      </c>
      <c r="C46" s="249">
        <f ca="1">ROUND((C33+C39)*F27,0)</f>
        <v>214574</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4856539</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2913923</v>
      </c>
      <c r="D51" s="232"/>
      <c r="E51" s="232"/>
      <c r="F51" s="264"/>
      <c r="G51" s="234" t="s">
        <v>1560</v>
      </c>
    </row>
    <row r="52" spans="1:7" s="208" customFormat="1" ht="16.5" thickBot="1">
      <c r="A52" s="265" t="s">
        <v>1561</v>
      </c>
      <c r="B52" s="266"/>
      <c r="C52" s="267">
        <f ca="1">C31+C51</f>
        <v>3679152</v>
      </c>
      <c r="D52" s="266"/>
      <c r="E52" s="266"/>
      <c r="F52" s="266"/>
      <c r="G52" s="268"/>
    </row>
    <row r="55" spans="1:7" ht="15">
      <c r="B55" s="270" t="s">
        <v>1562</v>
      </c>
      <c r="C55" s="271"/>
    </row>
    <row r="56" spans="1:7">
      <c r="B56" s="273" t="s">
        <v>802</v>
      </c>
      <c r="C56" s="275">
        <f ca="1">1-C57</f>
        <v>0.20799999999999996</v>
      </c>
    </row>
    <row r="57" spans="1:7">
      <c r="B57" s="273" t="s">
        <v>803</v>
      </c>
      <c r="C57" s="274">
        <f ca="1">ROUND(C51/C52,3)</f>
        <v>0.79200000000000004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1691.9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1691.9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32</v>
      </c>
      <c r="D20" s="846">
        <f ca="1">IF(C1="",'数据-汇总表'!E6,IF(INDIRECT("'数据-取费表'!c"&amp;$K$1)="住宅",INDIRECT("'数据-取费表'!s"&amp;$K$1),INDIRECT("'数据-取费表'!k"&amp;$K$1)+INDIRECT("'数据-取费表'!s"&amp;$K$1)))</f>
        <v>1691.9</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10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1633</v>
      </c>
      <c r="C2" s="1387" t="s">
        <v>805</v>
      </c>
      <c r="D2" s="1387"/>
      <c r="E2" s="1388"/>
      <c r="F2" s="1389"/>
      <c r="G2" s="2706"/>
      <c r="H2" s="2695"/>
      <c r="I2" s="2695"/>
      <c r="J2" s="2695"/>
      <c r="K2" s="2696"/>
      <c r="L2" s="2695"/>
      <c r="M2" s="2695"/>
    </row>
    <row r="3" spans="1:37" ht="18" customHeight="1" thickBot="1">
      <c r="A3" s="1390" t="s">
        <v>806</v>
      </c>
      <c r="B3" s="1391">
        <f ca="1">IF(ISERROR(B2*10000/F43),0,ROUND(B2*10000/F43,0))</f>
        <v>9652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88</v>
      </c>
      <c r="D5" s="1364" t="s">
        <v>693</v>
      </c>
      <c r="E5" s="1071"/>
      <c r="F5" s="1072"/>
      <c r="G5" s="1384"/>
      <c r="H5" s="299">
        <v>1</v>
      </c>
      <c r="I5" s="300" t="s">
        <v>692</v>
      </c>
      <c r="J5" s="1070">
        <f ca="1">J6+J10+J12</f>
        <v>101</v>
      </c>
      <c r="K5" s="1364" t="s">
        <v>693</v>
      </c>
      <c r="L5" s="1071"/>
      <c r="M5" s="1072"/>
    </row>
    <row r="6" spans="1:37" ht="18" customHeight="1">
      <c r="A6" s="1069" t="s">
        <v>398</v>
      </c>
      <c r="B6" s="3641" t="s">
        <v>694</v>
      </c>
      <c r="C6" s="1074">
        <f ca="1">ROUND(F6*F8*F7*(1-F9)/10000,0)</f>
        <v>88</v>
      </c>
      <c r="D6" s="155" t="s">
        <v>2109</v>
      </c>
      <c r="E6" s="302" t="s">
        <v>696</v>
      </c>
      <c r="F6" s="303">
        <f ca="1">INDIRECT("'数据-取费表'!u"&amp;$G$1)</f>
        <v>875000</v>
      </c>
      <c r="G6" s="1384"/>
      <c r="H6" s="1069" t="s">
        <v>398</v>
      </c>
      <c r="I6" s="3641" t="s">
        <v>694</v>
      </c>
      <c r="J6" s="301">
        <f ca="1">ROUND(M6*M8*M7*(1-M9)/10000,0)</f>
        <v>101</v>
      </c>
      <c r="K6" s="155" t="s">
        <v>2108</v>
      </c>
      <c r="L6" s="302" t="s">
        <v>696</v>
      </c>
      <c r="M6" s="303">
        <f ca="1">INDIRECT("'数据-取费表'!z"&amp;$G$1)</f>
        <v>1117754</v>
      </c>
    </row>
    <row r="7" spans="1:37" ht="18" customHeight="1">
      <c r="A7" s="1073"/>
      <c r="B7" s="3642"/>
      <c r="C7" s="1075"/>
      <c r="D7" s="307"/>
      <c r="E7" s="1076" t="s">
        <v>697</v>
      </c>
      <c r="F7" s="303">
        <f ca="1">IF(INDIRECT("'数据-取费表'!ah"&amp;$G$1)="",INDIRECT("'数据-取费表'!k"&amp;$G$1),INDIRECT("'数据-取费表'!ah"&amp;$G$1))</f>
        <v>1</v>
      </c>
      <c r="G7" s="1384"/>
      <c r="H7" s="304"/>
      <c r="I7" s="3642"/>
      <c r="J7" s="306"/>
      <c r="K7" s="307"/>
      <c r="L7" s="302" t="s">
        <v>697</v>
      </c>
      <c r="M7" s="303">
        <f ca="1">F7</f>
        <v>1</v>
      </c>
    </row>
    <row r="8" spans="1:37" ht="18" customHeight="1">
      <c r="A8" s="304"/>
      <c r="B8" s="3642"/>
      <c r="C8" s="306"/>
      <c r="D8" s="307"/>
      <c r="E8" s="302" t="s">
        <v>698</v>
      </c>
      <c r="F8" s="303">
        <f ca="1">INDIRECT("'数据-取费表'!ai"&amp;$G$1)</f>
        <v>1</v>
      </c>
      <c r="G8" s="1384"/>
      <c r="H8" s="304"/>
      <c r="I8" s="3642"/>
      <c r="J8" s="306"/>
      <c r="K8" s="307"/>
      <c r="L8" s="302" t="s">
        <v>698</v>
      </c>
      <c r="M8" s="303">
        <f ca="1">INDIRECT("'数据-取费表'!ai"&amp;$G$1)</f>
        <v>1</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t="s">
        <v>3405</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291</v>
      </c>
      <c r="D13" s="1081" t="s">
        <v>705</v>
      </c>
      <c r="E13" s="1081" t="s">
        <v>706</v>
      </c>
      <c r="F13" s="1082">
        <f ca="1">INDIRECT("'数据-取费表'!y"&amp;$G$1)</f>
        <v>0.6</v>
      </c>
      <c r="G13" s="1384"/>
      <c r="H13" s="1079">
        <v>2</v>
      </c>
      <c r="I13" s="1080" t="s">
        <v>704</v>
      </c>
      <c r="J13" s="1068">
        <f ca="1">ROUND(J14*J15,0)</f>
        <v>291</v>
      </c>
      <c r="K13" s="1087" t="s">
        <v>705</v>
      </c>
      <c r="L13" s="1392"/>
      <c r="M13" s="1393"/>
    </row>
    <row r="14" spans="1:37" ht="18" customHeight="1">
      <c r="A14" s="982" t="s">
        <v>397</v>
      </c>
      <c r="B14" s="302" t="s">
        <v>707</v>
      </c>
      <c r="C14" s="318">
        <f ca="1">INDIRECT("'数据-取费表'!m"&amp;$G$1)+INDIRECT("'数据-取费表'!t"&amp;$G$1)</f>
        <v>372</v>
      </c>
      <c r="D14" s="1345" t="s">
        <v>708</v>
      </c>
      <c r="E14" s="1342"/>
      <c r="F14" s="319"/>
      <c r="G14" s="1384"/>
      <c r="H14" s="982" t="s">
        <v>398</v>
      </c>
      <c r="I14" s="302" t="s">
        <v>709</v>
      </c>
      <c r="J14" s="21">
        <f ca="1">C29</f>
        <v>485</v>
      </c>
      <c r="K14" s="12"/>
      <c r="L14" s="807"/>
      <c r="M14" s="808"/>
    </row>
    <row r="15" spans="1:37" s="1397" customFormat="1" ht="18" customHeight="1" thickBot="1">
      <c r="A15" s="982" t="s">
        <v>399</v>
      </c>
      <c r="B15" s="302" t="s">
        <v>710</v>
      </c>
      <c r="C15" s="21">
        <f ca="1">ROUND(C14*F15,0)</f>
        <v>11</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9.82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5.29</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423</v>
      </c>
      <c r="D19" s="131" t="s">
        <v>726</v>
      </c>
      <c r="E19" s="1360"/>
      <c r="F19" s="23"/>
      <c r="G19" s="1384"/>
      <c r="H19" s="982" t="s">
        <v>399</v>
      </c>
      <c r="I19" s="302" t="s">
        <v>727</v>
      </c>
      <c r="J19" s="21">
        <f ca="1">IF(K19="按租金收入计税",ROUND(J6*M19/(1+'数据-取费表'!C42),2),ROUND(C29*M19*0.7,2))</f>
        <v>4.07</v>
      </c>
      <c r="K19" s="1370" t="s">
        <v>3425</v>
      </c>
      <c r="L19" s="302" t="s">
        <v>712</v>
      </c>
      <c r="M19" s="322">
        <f>IF(K19="按租金收入计税",'数据-取费表'!B51,'数据-取费表'!B50)</f>
        <v>1.2E-2</v>
      </c>
    </row>
    <row r="20" spans="1:37" s="1397" customFormat="1" ht="18" customHeight="1">
      <c r="A20" s="982" t="s">
        <v>402</v>
      </c>
      <c r="B20" s="302" t="s">
        <v>728</v>
      </c>
      <c r="C20" s="21">
        <f ca="1">ROUND(C19*F20,0)</f>
        <v>6</v>
      </c>
      <c r="D20" s="323" t="s">
        <v>729</v>
      </c>
      <c r="E20" s="302" t="s">
        <v>712</v>
      </c>
      <c r="F20" s="322">
        <f>'数据-取费表'!B37</f>
        <v>1.4999999999999999E-2</v>
      </c>
      <c r="G20" s="1396"/>
      <c r="H20" s="982" t="s">
        <v>680</v>
      </c>
      <c r="I20" s="155" t="s">
        <v>730</v>
      </c>
      <c r="J20" s="22">
        <f ca="1">ROUND(M20*M21/10000,2)</f>
        <v>0.46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3046.53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4.8499999999999996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0.28999999999999998</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1.01</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85</v>
      </c>
      <c r="K25" s="1095" t="s">
        <v>753</v>
      </c>
      <c r="L25" s="1096"/>
      <c r="M25" s="1097"/>
    </row>
    <row r="26" spans="1:37">
      <c r="A26" s="982" t="s">
        <v>397</v>
      </c>
      <c r="B26" s="302" t="s">
        <v>754</v>
      </c>
      <c r="C26" s="21">
        <f ca="1">ROUND((C19+C20)*F26,0)</f>
        <v>21</v>
      </c>
      <c r="D26" s="323" t="s">
        <v>755</v>
      </c>
      <c r="E26" s="313" t="s">
        <v>756</v>
      </c>
      <c r="F26" s="312">
        <f ca="1">INDIRECT("'数据-取费表'!q"&amp;$G$1)</f>
        <v>0.05</v>
      </c>
      <c r="G26" s="1384"/>
      <c r="H26" s="299" t="s">
        <v>395</v>
      </c>
      <c r="I26" s="300" t="s">
        <v>757</v>
      </c>
      <c r="J26" s="301">
        <f ca="1">IF(J5&lt;&gt;0,ROUND(J25*(1-((1+M28)/(1+M26))^M27)/(M26-M28),0),0)</f>
        <v>47</v>
      </c>
      <c r="K26" s="324" t="s">
        <v>758</v>
      </c>
      <c r="L26" s="302" t="s">
        <v>759</v>
      </c>
      <c r="M26" s="312">
        <f ca="1">INDIRECT("'数据-取费表'!I"&amp;$G$1)</f>
        <v>5.5E-2</v>
      </c>
    </row>
    <row r="27" spans="1:37" ht="18" customHeight="1">
      <c r="A27" s="982" t="s">
        <v>399</v>
      </c>
      <c r="B27" s="302" t="s">
        <v>760</v>
      </c>
      <c r="C27" s="21">
        <f ca="1">ROUND(F21*F26,4)</f>
        <v>5.0000000000000001E-4</v>
      </c>
      <c r="D27" s="323" t="s">
        <v>761</v>
      </c>
      <c r="E27" s="320"/>
      <c r="F27" s="321"/>
      <c r="G27" s="1384"/>
      <c r="H27" s="304"/>
      <c r="I27" s="305"/>
      <c r="J27" s="306"/>
      <c r="K27" s="332" t="s">
        <v>762</v>
      </c>
      <c r="L27" s="302" t="s">
        <v>763</v>
      </c>
      <c r="M27" s="333">
        <f ca="1">INDIRECT("'数据-取费表'!ag"&amp;$G$1)</f>
        <v>0.58000000000000007</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485</v>
      </c>
      <c r="D29" s="1092"/>
      <c r="E29" s="1090"/>
      <c r="F29" s="1093"/>
      <c r="G29" s="1396"/>
      <c r="H29" s="334" t="s">
        <v>396</v>
      </c>
      <c r="I29" s="335" t="s">
        <v>768</v>
      </c>
      <c r="J29" s="336">
        <f ca="1">ROUND(J26/(1+F40)^F41,0)</f>
        <v>28</v>
      </c>
      <c r="K29" s="337" t="s">
        <v>769</v>
      </c>
      <c r="L29" s="338"/>
      <c r="M29" s="339">
        <f ca="1">INDIRECT("'数据-取费表'!k"&amp;$G$1)</f>
        <v>1691.9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9.14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4.6100000000000003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4.07</v>
      </c>
      <c r="D33" s="1370" t="s">
        <v>3425</v>
      </c>
      <c r="E33" s="302" t="s">
        <v>712</v>
      </c>
      <c r="F33" s="322">
        <f>IF(D33="按票据","——",IF(D33="按租金收入计税",'数据-取费表'!B51,'数据-取费表'!B50))</f>
        <v>1.2E-2</v>
      </c>
      <c r="G33" s="1384"/>
      <c r="H33" s="2700"/>
      <c r="I33" s="1398"/>
      <c r="J33" s="1399"/>
      <c r="K33" s="2701"/>
      <c r="L33" s="2700"/>
      <c r="M33" s="2700"/>
    </row>
    <row r="34" spans="1:18" ht="18" customHeight="1">
      <c r="A34" s="1069" t="s">
        <v>680</v>
      </c>
      <c r="B34" s="155" t="s">
        <v>730</v>
      </c>
      <c r="C34" s="22">
        <f ca="1">IF(项目基本情况!B11="自然人","——",ROUND(F34*F35/10000,2))</f>
        <v>0.46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3046.53</v>
      </c>
      <c r="G35" s="1384"/>
      <c r="H35" s="2697"/>
      <c r="I35" s="1398"/>
      <c r="J35" s="1399"/>
      <c r="K35" s="2701"/>
      <c r="L35" s="2700"/>
      <c r="M35" s="2700"/>
    </row>
    <row r="36" spans="1:18" ht="18" customHeight="1">
      <c r="A36" s="1102" t="s">
        <v>402</v>
      </c>
      <c r="B36" s="302" t="s">
        <v>738</v>
      </c>
      <c r="C36" s="21">
        <f ca="1">ROUND(C29*F36,2)</f>
        <v>4.8499999999999996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0.28999999999999998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0.88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614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9.42</v>
      </c>
      <c r="G41" s="1384"/>
      <c r="H41" s="1191"/>
      <c r="I41" s="1398"/>
      <c r="J41" s="1399"/>
      <c r="K41" s="2544"/>
      <c r="L41" s="1191"/>
      <c r="M41" s="1191"/>
    </row>
    <row r="42" spans="1:18" ht="18" customHeight="1">
      <c r="A42" s="308"/>
      <c r="B42" s="309"/>
      <c r="C42" s="310"/>
      <c r="D42" s="327"/>
      <c r="E42" s="302" t="s">
        <v>766</v>
      </c>
      <c r="F42" s="312">
        <f ca="1">INDIRECT("'数据-取费表'!v"&amp;$G$1)</f>
        <v>0.04</v>
      </c>
      <c r="G42" s="1384"/>
      <c r="H42" s="1191"/>
      <c r="I42" s="1398"/>
      <c r="J42" s="1399"/>
      <c r="K42" s="2544"/>
      <c r="L42" s="1191"/>
      <c r="M42" s="1191"/>
    </row>
    <row r="43" spans="1:18" ht="18" customHeight="1" thickBot="1">
      <c r="A43" s="334" t="s">
        <v>396</v>
      </c>
      <c r="B43" s="335" t="s">
        <v>776</v>
      </c>
      <c r="C43" s="336">
        <f ca="1">ROUND(C40*10000/F43,0)</f>
        <v>3629</v>
      </c>
      <c r="D43" s="337" t="s">
        <v>777</v>
      </c>
      <c r="E43" s="338" t="s">
        <v>778</v>
      </c>
      <c r="F43" s="339">
        <f ca="1">INDIRECT("'数据-取费表'!k"&amp;$G$1)</f>
        <v>1691.9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-650</v>
      </c>
      <c r="D46" s="1406" t="str">
        <f>C2</f>
        <v>万元</v>
      </c>
      <c r="E46" s="1400"/>
      <c r="F46" s="1400"/>
      <c r="I46" s="1407" t="s">
        <v>810</v>
      </c>
      <c r="J46" s="1408"/>
      <c r="K46" s="1409"/>
      <c r="L46" s="1410">
        <f ca="1">IF(M47="住宅",0,IF(L48&gt;J51,L60,J60))</f>
        <v>991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642</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26.89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1983</v>
      </c>
      <c r="K49" s="1423" t="s">
        <v>824</v>
      </c>
      <c r="L49" s="1427"/>
      <c r="O49" s="1428" t="s">
        <v>405</v>
      </c>
      <c r="P49" s="1419" t="s">
        <v>825</v>
      </c>
      <c r="Q49" s="1420">
        <f ca="1">C29</f>
        <v>485</v>
      </c>
      <c r="R49" s="1420" t="s">
        <v>818</v>
      </c>
    </row>
    <row r="50" spans="1:18" s="1384" customFormat="1" ht="13.5" thickBot="1">
      <c r="A50" s="976"/>
      <c r="B50" s="979"/>
      <c r="C50" s="1118"/>
      <c r="D50" s="953"/>
      <c r="E50" s="1056" t="s">
        <v>697</v>
      </c>
      <c r="F50" s="1057">
        <f ca="1">F7</f>
        <v>1</v>
      </c>
      <c r="H50" s="723"/>
      <c r="I50" s="1421" t="s">
        <v>826</v>
      </c>
      <c r="J50" s="1429">
        <f>SUMPRODUCT((I63:I65=J47)*(J62:L62=J48)*(J63:L65))</f>
        <v>50</v>
      </c>
      <c r="K50" s="1423" t="s">
        <v>827</v>
      </c>
      <c r="L50" s="1427">
        <f>基准地价修正!B2</f>
        <v>1111</v>
      </c>
      <c r="M50" s="1430"/>
      <c r="O50" s="1428" t="s">
        <v>406</v>
      </c>
      <c r="P50" s="1419" t="s">
        <v>828</v>
      </c>
      <c r="Q50" s="1431" t="e">
        <f ca="1">J58</f>
        <v>#VALUE!</v>
      </c>
      <c r="R50" s="1420"/>
    </row>
    <row r="51" spans="1:18" s="1384" customFormat="1" ht="13.5" thickBot="1">
      <c r="A51" s="977"/>
      <c r="B51" s="979"/>
      <c r="C51" s="980"/>
      <c r="D51" s="953"/>
      <c r="E51" s="981" t="s">
        <v>698</v>
      </c>
      <c r="F51" s="303">
        <f ca="1">F8</f>
        <v>1</v>
      </c>
      <c r="I51" s="1432" t="s">
        <v>829</v>
      </c>
      <c r="J51" s="1433">
        <f>IF(J49="",J50,J49+J50-YEAR('数据-取费表'!B2))</f>
        <v>10</v>
      </c>
      <c r="K51" s="1434" t="s">
        <v>830</v>
      </c>
      <c r="L51" s="1435">
        <f ca="1">ROUND(-PV(INDIRECT("'数据-取费表'!h"&amp;$G$1),J51,(C39-C13*C76),0),0)</f>
        <v>406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f ca="1">J53</f>
        <v>10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10</v>
      </c>
      <c r="K53" s="3639" t="s">
        <v>837</v>
      </c>
      <c r="L53" s="3640"/>
      <c r="O53" s="1418" t="s">
        <v>409</v>
      </c>
      <c r="P53" s="1419" t="s">
        <v>838</v>
      </c>
      <c r="Q53" s="1420">
        <f ca="1">Q47+Q48</f>
        <v>642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3408</v>
      </c>
      <c r="O55" s="1411" t="s">
        <v>811</v>
      </c>
      <c r="P55" s="1412" t="s">
        <v>812</v>
      </c>
      <c r="Q55" s="1413" t="s">
        <v>813</v>
      </c>
      <c r="R55" s="1413" t="s">
        <v>814</v>
      </c>
    </row>
    <row r="56" spans="1:18" s="1384" customFormat="1" ht="25.5" thickTop="1" thickBot="1">
      <c r="A56" s="957">
        <v>2</v>
      </c>
      <c r="B56" s="958" t="s">
        <v>704</v>
      </c>
      <c r="C56" s="232">
        <f ca="1">C13</f>
        <v>291</v>
      </c>
      <c r="D56" s="1447"/>
      <c r="E56" s="1448"/>
      <c r="F56" s="1440"/>
      <c r="I56" s="1449" t="s">
        <v>842</v>
      </c>
      <c r="J56" s="1450" t="s">
        <v>3407</v>
      </c>
      <c r="K56" s="1421" t="s">
        <v>843</v>
      </c>
      <c r="L56" s="1424">
        <f ca="1">IF(L48&lt;J51,"——",L48-J53)</f>
        <v>16.89</v>
      </c>
      <c r="O56" s="1418" t="s">
        <v>403</v>
      </c>
      <c r="P56" s="1419" t="s">
        <v>817</v>
      </c>
      <c r="Q56" s="1420">
        <f ca="1">C40+J29</f>
        <v>642</v>
      </c>
      <c r="R56" s="1420" t="s">
        <v>818</v>
      </c>
    </row>
    <row r="57" spans="1:18" s="1384" customFormat="1" ht="24.75" thickBot="1">
      <c r="A57" s="1451"/>
      <c r="B57" s="950" t="s">
        <v>767</v>
      </c>
      <c r="C57" s="238">
        <f ca="1">C29</f>
        <v>485</v>
      </c>
      <c r="D57" s="1452"/>
      <c r="E57" s="1453"/>
      <c r="F57" s="1454"/>
      <c r="I57" s="1455" t="s">
        <v>844</v>
      </c>
      <c r="J57" s="1456" t="str">
        <f ca="1">IF(OR(M47="住宅",J51&lt;L48,J56="是"),"——",J51-L48)</f>
        <v>——</v>
      </c>
      <c r="K57" s="1421" t="s">
        <v>845</v>
      </c>
      <c r="L57" s="1424">
        <f ca="1">IF(L48&lt;J51,"——",IF(L55="比较法",L49,IF(L55="基准地价",L50,L51)))</f>
        <v>1111</v>
      </c>
      <c r="O57" s="1418" t="s">
        <v>404</v>
      </c>
      <c r="P57" s="1419" t="s">
        <v>846</v>
      </c>
      <c r="Q57" s="1420">
        <f ca="1">L60</f>
        <v>991</v>
      </c>
      <c r="R57" s="1420" t="s">
        <v>847</v>
      </c>
    </row>
    <row r="58" spans="1:18" s="1384" customFormat="1" ht="24.75" thickBot="1">
      <c r="A58" s="315" t="s">
        <v>393</v>
      </c>
      <c r="B58" s="958" t="s">
        <v>714</v>
      </c>
      <c r="C58" s="316">
        <f ca="1">ROUND(C59+C64+C65+C66,0)</f>
        <v>5</v>
      </c>
      <c r="D58" s="960" t="s">
        <v>715</v>
      </c>
      <c r="E58" s="961"/>
      <c r="F58" s="962"/>
      <c r="I58" s="1455" t="s">
        <v>848</v>
      </c>
      <c r="J58" s="1457" t="e">
        <f ca="1">IF(J55&lt;0.4,0.4,J55)</f>
        <v>#VALUE!</v>
      </c>
      <c r="K58" s="1434" t="s">
        <v>849</v>
      </c>
      <c r="L58" s="1424">
        <f ca="1">ROUND(POWER(1+L52,L47-L48)*(POWER(1+L52,L48)-1)/(POWER(1+L52,L47)-1),4)</f>
        <v>0.80049999999999999</v>
      </c>
      <c r="O58" s="1428" t="s">
        <v>405</v>
      </c>
      <c r="P58" s="1419" t="s">
        <v>850</v>
      </c>
      <c r="Q58" s="1420">
        <f>IF(L55="比较法",L49,IF(L55="基准地价",L50,0))</f>
        <v>1111</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0.42299999999999999</v>
      </c>
      <c r="M59" s="1380">
        <f ca="1">ROUND(POWER(1+L52,L47-(J51+'数据-取费表'!B24))*(POWER(1+L52,(J51+'数据-取费表'!B24))-1)/(POWER(1+L52,L47)-1),4)</f>
        <v>0.42299999999999999</v>
      </c>
      <c r="N59" s="1380">
        <f ca="1">ROUND(POWER(1+L52,L47-(J51+'数据-取费表'!B20))*(POWER(1+L52,(J51+'数据-取费表'!B20))-1)/(POWER(1+L52,L47)-1),4)</f>
        <v>0.43919999999999998</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991</v>
      </c>
      <c r="O60" s="1428" t="s">
        <v>407</v>
      </c>
      <c r="P60" s="1419" t="s">
        <v>855</v>
      </c>
      <c r="Q60" s="1420">
        <f ca="1">L58</f>
        <v>0.80049999999999999</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1.2E-2</v>
      </c>
      <c r="I61" s="1461"/>
      <c r="J61" s="1461"/>
      <c r="K61" s="1461"/>
      <c r="L61" s="1461"/>
      <c r="O61" s="1428" t="s">
        <v>408</v>
      </c>
      <c r="P61" s="1419" t="str">
        <f>K59</f>
        <v>建筑物剩余耐用年限下的土地年期修正系数Kn</v>
      </c>
      <c r="Q61" s="1420">
        <f ca="1">L59</f>
        <v>0.42299999999999999</v>
      </c>
      <c r="R61" s="1420" t="s">
        <v>857</v>
      </c>
    </row>
    <row r="62" spans="1:18" s="1384" customFormat="1" ht="13.5" thickBot="1">
      <c r="A62" s="982" t="s">
        <v>784</v>
      </c>
      <c r="B62" s="949" t="s">
        <v>785</v>
      </c>
      <c r="C62" s="22">
        <f ca="1">IF(项目基本情况!B11="自然人","——",ROUND(F62*F63/10000,2))</f>
        <v>0.46</v>
      </c>
      <c r="D62" s="965" t="s">
        <v>786</v>
      </c>
      <c r="E62" s="950" t="s">
        <v>787</v>
      </c>
      <c r="F62" s="325">
        <f t="shared" si="0"/>
        <v>1.5</v>
      </c>
      <c r="I62" s="1462" t="s">
        <v>858</v>
      </c>
      <c r="J62" s="1463" t="s">
        <v>859</v>
      </c>
      <c r="K62" s="1463" t="s">
        <v>860</v>
      </c>
      <c r="L62" s="1463" t="s">
        <v>861</v>
      </c>
      <c r="M62" s="1464" t="s">
        <v>862</v>
      </c>
      <c r="O62" s="1418" t="s">
        <v>409</v>
      </c>
      <c r="P62" s="1419" t="s">
        <v>863</v>
      </c>
      <c r="Q62" s="1420">
        <f ca="1">Q56+Q57</f>
        <v>1633</v>
      </c>
      <c r="R62" s="1420" t="s">
        <v>410</v>
      </c>
    </row>
    <row r="63" spans="1:18" s="1384" customFormat="1" ht="13.5" thickBot="1">
      <c r="A63" s="326"/>
      <c r="B63" s="956"/>
      <c r="C63" s="26"/>
      <c r="D63" s="966"/>
      <c r="E63" s="950" t="s">
        <v>788</v>
      </c>
      <c r="F63" s="303">
        <f t="shared" ca="1" si="0"/>
        <v>3046.53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4.8499999999999996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0.28999999999999998</v>
      </c>
      <c r="D65" s="964" t="s">
        <v>743</v>
      </c>
      <c r="E65" s="950" t="s">
        <v>744</v>
      </c>
      <c r="F65" s="330">
        <f t="shared" ca="1" si="0"/>
        <v>1E-3</v>
      </c>
      <c r="I65" s="1462" t="s">
        <v>867</v>
      </c>
      <c r="J65" s="1463">
        <v>40</v>
      </c>
      <c r="K65" s="1463">
        <v>30</v>
      </c>
      <c r="L65" s="1463">
        <v>50</v>
      </c>
      <c r="M65" s="1465">
        <v>0.02</v>
      </c>
      <c r="O65" s="1418" t="s">
        <v>403</v>
      </c>
      <c r="P65" s="1419" t="s">
        <v>868</v>
      </c>
      <c r="Q65" s="1420">
        <f ca="1">C40+J29</f>
        <v>642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991</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406</v>
      </c>
      <c r="R67" s="1420" t="s">
        <v>870</v>
      </c>
    </row>
    <row r="68" spans="1:18" s="1384" customFormat="1" ht="16.5" thickBot="1">
      <c r="A68" s="947" t="s">
        <v>395</v>
      </c>
      <c r="B68" s="948" t="s">
        <v>774</v>
      </c>
      <c r="C68" s="301">
        <f ca="1">ROUND(C67*(1-((1+F70)/(1+F68))^F69)/(F68-F70),0)</f>
        <v>-36</v>
      </c>
      <c r="D68" s="965" t="s">
        <v>758</v>
      </c>
      <c r="E68" s="950" t="s">
        <v>759</v>
      </c>
      <c r="F68" s="312">
        <f ca="1">F40</f>
        <v>5.5E-2</v>
      </c>
      <c r="O68" s="1428" t="s">
        <v>406</v>
      </c>
      <c r="P68" s="1467" t="s">
        <v>871</v>
      </c>
      <c r="Q68" s="1420">
        <f ca="1">ROUND(Q69-Q70*Q71,0)</f>
        <v>53</v>
      </c>
      <c r="R68" s="1420" t="s">
        <v>414</v>
      </c>
    </row>
    <row r="69" spans="1:18" s="1384" customFormat="1" ht="13.5" thickBot="1">
      <c r="A69" s="951"/>
      <c r="B69" s="952"/>
      <c r="C69" s="306"/>
      <c r="D69" s="970" t="s">
        <v>762</v>
      </c>
      <c r="E69" s="950" t="s">
        <v>763</v>
      </c>
      <c r="F69" s="333">
        <f ca="1">F41</f>
        <v>9.42</v>
      </c>
      <c r="O69" s="1428" t="s">
        <v>411</v>
      </c>
      <c r="P69" s="1467" t="s">
        <v>872</v>
      </c>
      <c r="Q69" s="1420">
        <f ca="1">C39</f>
        <v>73</v>
      </c>
      <c r="R69" s="1420" t="s">
        <v>818</v>
      </c>
    </row>
    <row r="70" spans="1:18" s="1384" customFormat="1" ht="13.5" thickBot="1">
      <c r="A70" s="954"/>
      <c r="B70" s="955"/>
      <c r="C70" s="310"/>
      <c r="D70" s="966"/>
      <c r="E70" s="950" t="s">
        <v>766</v>
      </c>
      <c r="F70" s="1054"/>
      <c r="O70" s="1428" t="s">
        <v>412</v>
      </c>
      <c r="P70" s="1467" t="s">
        <v>873</v>
      </c>
      <c r="Q70" s="1420">
        <f ca="1">C13</f>
        <v>291</v>
      </c>
      <c r="R70" s="1420" t="s">
        <v>818</v>
      </c>
    </row>
    <row r="71" spans="1:18" s="1384" customFormat="1" ht="13.5" thickBot="1">
      <c r="A71" s="971" t="s">
        <v>396</v>
      </c>
      <c r="B71" s="972" t="s">
        <v>776</v>
      </c>
      <c r="C71" s="336">
        <f ca="1">ROUND(C68*10000/F71,0)</f>
        <v>-213</v>
      </c>
      <c r="D71" s="973" t="s">
        <v>777</v>
      </c>
      <c r="E71" s="974" t="s">
        <v>778</v>
      </c>
      <c r="F71" s="339">
        <f ca="1">F43</f>
        <v>1691.9</v>
      </c>
      <c r="O71" s="1428" t="s">
        <v>413</v>
      </c>
      <c r="P71" s="1467" t="s">
        <v>874</v>
      </c>
      <c r="Q71" s="1431">
        <f ca="1">C76</f>
        <v>7.0000000000000007E-2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0.80049999999999999</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0.42299999999999999</v>
      </c>
      <c r="R74" s="1420" t="s">
        <v>857</v>
      </c>
    </row>
    <row r="75" spans="1:18" ht="13.5" thickBot="1">
      <c r="A75" s="1384"/>
      <c r="B75" s="340" t="s">
        <v>795</v>
      </c>
      <c r="C75" s="341">
        <f ca="1">ROUND(C13*C76,0)</f>
        <v>20</v>
      </c>
      <c r="D75" s="1384"/>
      <c r="E75" s="1384"/>
      <c r="F75" s="1384"/>
      <c r="K75" s="1402"/>
      <c r="L75" s="1384"/>
      <c r="O75" s="1418" t="s">
        <v>409</v>
      </c>
      <c r="P75" s="1419" t="s">
        <v>838</v>
      </c>
      <c r="Q75" s="1420">
        <f ca="1">Q65+Q66</f>
        <v>1633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0.72599999999999998</v>
      </c>
    </row>
    <row r="80" spans="1:18">
      <c r="B80" s="340" t="s">
        <v>800</v>
      </c>
      <c r="C80" s="274">
        <f ca="1">ROUND(C75/C39,3)</f>
        <v>0.27400000000000002</v>
      </c>
    </row>
    <row r="81" spans="2:3">
      <c r="B81" s="270" t="s">
        <v>801</v>
      </c>
      <c r="C81" s="238"/>
    </row>
    <row r="82" spans="2:3">
      <c r="B82" s="273" t="s">
        <v>802</v>
      </c>
      <c r="C82" s="275">
        <f ca="1">1-C83</f>
        <v>0.52600000000000002</v>
      </c>
    </row>
    <row r="83" spans="2:3">
      <c r="B83" s="273" t="s">
        <v>803</v>
      </c>
      <c r="C83" s="274">
        <f ca="1">ROUND(C13/C40,3)</f>
        <v>0.47399999999999998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4" t="s">
        <v>2320</v>
      </c>
      <c r="K2" s="364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6" t="s">
        <v>2330</v>
      </c>
      <c r="K3" s="364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6" t="s">
        <v>2332</v>
      </c>
      <c r="K4" s="364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8" t="s">
        <v>2336</v>
      </c>
      <c r="B6" s="3649"/>
      <c r="C6" s="3650"/>
      <c r="D6" s="2870"/>
      <c r="E6" s="2871"/>
      <c r="F6" s="2872"/>
      <c r="G6" s="2873"/>
      <c r="H6" s="2848"/>
      <c r="I6" s="2849"/>
      <c r="J6" s="3651">
        <v>1</v>
      </c>
      <c r="K6" s="365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1"/>
      <c r="K7" s="365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5" t="s">
        <v>2350</v>
      </c>
      <c r="C8" s="3656"/>
      <c r="D8" s="2889" t="s">
        <v>2351</v>
      </c>
      <c r="E8" s="2890" t="s">
        <v>2352</v>
      </c>
      <c r="F8" s="2891" t="s">
        <v>2353</v>
      </c>
      <c r="G8" s="2892"/>
      <c r="H8" s="2848"/>
      <c r="I8" s="2849"/>
      <c r="J8" s="3651"/>
      <c r="K8" s="365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5" t="s">
        <v>2356</v>
      </c>
      <c r="C9" s="3656"/>
      <c r="D9" s="2889">
        <f>ROUND(D6*E9,0)</f>
        <v>0</v>
      </c>
      <c r="E9" s="2893"/>
      <c r="F9" s="2894" t="s">
        <v>2357</v>
      </c>
      <c r="G9" s="2873"/>
      <c r="H9" s="2848"/>
      <c r="I9" s="2849"/>
      <c r="J9" s="3651"/>
      <c r="K9" s="3653"/>
      <c r="L9" s="2883" t="s">
        <v>2358</v>
      </c>
      <c r="M9" s="2884"/>
      <c r="N9" s="2860"/>
      <c r="O9" s="2885"/>
      <c r="P9" s="2885"/>
      <c r="Q9" s="2886">
        <v>365</v>
      </c>
      <c r="R9" s="2887">
        <f t="shared" si="0"/>
        <v>0</v>
      </c>
      <c r="S9" s="2841"/>
      <c r="T9" s="2841"/>
      <c r="U9" s="2841"/>
      <c r="V9" s="2849"/>
    </row>
    <row r="10" spans="1:22" s="2853" customFormat="1" ht="13.15" customHeight="1">
      <c r="A10" s="2888">
        <v>2</v>
      </c>
      <c r="B10" s="3655" t="s">
        <v>2359</v>
      </c>
      <c r="C10" s="3656"/>
      <c r="D10" s="2889">
        <f>ROUND(D6*E10,0)</f>
        <v>0</v>
      </c>
      <c r="E10" s="2893"/>
      <c r="F10" s="2894" t="s">
        <v>2360</v>
      </c>
      <c r="G10" s="2873"/>
      <c r="H10" s="2848"/>
      <c r="I10" s="2849"/>
      <c r="J10" s="3651"/>
      <c r="K10" s="3653"/>
      <c r="L10" s="2883" t="s">
        <v>2361</v>
      </c>
      <c r="M10" s="2884"/>
      <c r="N10" s="2860"/>
      <c r="O10" s="2885"/>
      <c r="P10" s="2885"/>
      <c r="Q10" s="2886">
        <v>365</v>
      </c>
      <c r="R10" s="2887">
        <f t="shared" si="0"/>
        <v>0</v>
      </c>
      <c r="S10" s="2841"/>
      <c r="T10" s="2841"/>
      <c r="U10" s="2841"/>
      <c r="V10" s="2849"/>
    </row>
    <row r="11" spans="1:22" s="2853" customFormat="1" ht="13.15" customHeight="1">
      <c r="A11" s="2888">
        <v>3</v>
      </c>
      <c r="B11" s="3655" t="s">
        <v>2362</v>
      </c>
      <c r="C11" s="3656"/>
      <c r="D11" s="2889">
        <f>D12+D14+D15+D16</f>
        <v>0</v>
      </c>
      <c r="E11" s="2895" t="e">
        <f>D11/D6</f>
        <v>#DIV/0!</v>
      </c>
      <c r="F11" s="2891"/>
      <c r="G11" s="2892"/>
      <c r="H11" s="2848"/>
      <c r="I11" s="2849"/>
      <c r="J11" s="3651"/>
      <c r="K11" s="365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7" t="s">
        <v>2365</v>
      </c>
      <c r="C12" s="3658"/>
      <c r="D12" s="2897">
        <f>ROUND(D13*1.2%*(1-30%),0)</f>
        <v>0</v>
      </c>
      <c r="E12" s="2898">
        <v>1.2E-2</v>
      </c>
      <c r="F12" s="2891" t="s">
        <v>2366</v>
      </c>
      <c r="G12" s="2892"/>
      <c r="H12" s="2848"/>
      <c r="I12" s="2849"/>
      <c r="J12" s="3651"/>
      <c r="K12" s="365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1"/>
      <c r="K13" s="365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7" t="s">
        <v>2371</v>
      </c>
      <c r="C14" s="3658"/>
      <c r="D14" s="2897">
        <f>ROUND(E14*B5/10000,0)</f>
        <v>0</v>
      </c>
      <c r="E14" s="2886"/>
      <c r="F14" s="2891" t="s">
        <v>2372</v>
      </c>
      <c r="G14" s="2892"/>
      <c r="H14" s="2848"/>
      <c r="I14" s="2849"/>
      <c r="J14" s="3651"/>
      <c r="K14" s="365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7" t="s">
        <v>2375</v>
      </c>
      <c r="C15" s="3658"/>
      <c r="D15" s="2897">
        <f>ROUND(D6*E15,0)</f>
        <v>0</v>
      </c>
      <c r="E15" s="2898">
        <v>5.5E-2</v>
      </c>
      <c r="F15" s="2891" t="s">
        <v>2376</v>
      </c>
      <c r="G15" s="2873"/>
      <c r="H15" s="2848"/>
      <c r="I15" s="2849"/>
      <c r="J15" s="3651">
        <v>2</v>
      </c>
      <c r="K15" s="365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7" t="s">
        <v>2384</v>
      </c>
      <c r="C16" s="3658"/>
      <c r="D16" s="2908">
        <f>D6*E16</f>
        <v>0</v>
      </c>
      <c r="E16" s="2909"/>
      <c r="F16" s="2894" t="s">
        <v>2385</v>
      </c>
      <c r="G16" s="2873"/>
      <c r="H16" s="2848"/>
      <c r="I16" s="2849"/>
      <c r="J16" s="3651"/>
      <c r="K16" s="365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2387</v>
      </c>
      <c r="C17" s="3660"/>
      <c r="D17" s="2911">
        <f>ROUND(D6*E17,0)</f>
        <v>0</v>
      </c>
      <c r="E17" s="2912"/>
      <c r="F17" s="2913" t="s">
        <v>2388</v>
      </c>
      <c r="G17" s="2873"/>
      <c r="H17" s="2848"/>
      <c r="I17" s="2849"/>
      <c r="J17" s="3651"/>
      <c r="K17" s="365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1"/>
      <c r="K18" s="365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1"/>
      <c r="K19" s="365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1"/>
      <c r="K21" s="365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1"/>
      <c r="K22" s="365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1"/>
      <c r="K23" s="365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1"/>
      <c r="K24" s="365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4" t="s">
        <v>2320</v>
      </c>
      <c r="K32" s="364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6" t="s">
        <v>2330</v>
      </c>
      <c r="K33" s="364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6" t="s">
        <v>2332</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1">
        <v>1</v>
      </c>
      <c r="K36" s="365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1"/>
      <c r="K40" s="365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1633</v>
      </c>
      <c r="C2" s="1872" t="s">
        <v>1651</v>
      </c>
      <c r="D2" s="1873" t="s">
        <v>1652</v>
      </c>
      <c r="E2" s="2607">
        <f>SUM(E6:E13)</f>
        <v>1691.9</v>
      </c>
      <c r="F2" s="2707"/>
      <c r="G2" s="1489"/>
      <c r="H2" s="1489"/>
      <c r="I2" s="1489"/>
      <c r="J2" s="1489"/>
      <c r="K2" s="1489"/>
      <c r="L2" s="1489"/>
      <c r="M2" s="1489"/>
      <c r="N2" s="1489"/>
      <c r="O2" s="1489"/>
      <c r="P2" s="1489"/>
      <c r="Q2" s="1489"/>
      <c r="R2" s="1489"/>
      <c r="S2" s="1489"/>
    </row>
    <row r="3" spans="1:22" ht="15.75">
      <c r="A3" s="1870" t="s">
        <v>686</v>
      </c>
      <c r="B3" s="2601">
        <f ca="1">ROUND(B2*10000/E2,0)</f>
        <v>9652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1633</v>
      </c>
      <c r="C6" s="1872" t="s">
        <v>1651</v>
      </c>
      <c r="D6" s="2709"/>
      <c r="E6" s="2606">
        <f>IF(OR(A6=0,F6="否"),0,'数据-取费表'!K6+'数据-取费表'!S6)</f>
        <v>1691.9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1691.9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1691.9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1691.9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44979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1691.9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44979</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受贵公司委托，我公司对北京市昌平区沙河镇展思门路15号2幢房地产抵押价值进行了预评估。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估价对象为北京市昌平区沙河镇展思门路15号2幢房地产，为所有。根据《国有土地使用证》[]，估价对象（分摊）出让国有建设用地使用权面积为3046.53平方米，建筑面积为1691.9平方米。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2幢房地产,属开发建设的，该项目尚在开发建设中。根据《国有土地使用证》[]，估价对象（分摊）出让国有建设用地使用权面积为3046.53平方米，规划建筑面积为1691.9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44979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44979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44979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700"/>
      <c r="Q10" s="1343" t="str">
        <f t="shared" si="6"/>
        <v>土地使用年限（年）</v>
      </c>
      <c r="R10" s="701" t="s">
        <v>14</v>
      </c>
      <c r="S10" s="702">
        <f t="shared" si="0"/>
        <v>125</v>
      </c>
      <c r="T10" s="701" t="s">
        <v>14</v>
      </c>
      <c r="U10" s="702">
        <f t="shared" si="1"/>
        <v>125</v>
      </c>
      <c r="V10" s="701" t="s">
        <v>14</v>
      </c>
      <c r="W10" s="702">
        <f t="shared" si="2"/>
        <v>125</v>
      </c>
      <c r="X10" s="703"/>
      <c r="Y10" s="3612"/>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1691.9</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1691.9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44979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700"/>
      <c r="Q10" s="1343" t="str">
        <f t="shared" si="6"/>
        <v>土地使用年限（年）</v>
      </c>
      <c r="R10" s="701" t="s">
        <v>14</v>
      </c>
      <c r="S10" s="702">
        <f t="shared" si="0"/>
        <v>125</v>
      </c>
      <c r="T10" s="701" t="s">
        <v>14</v>
      </c>
      <c r="U10" s="702">
        <f t="shared" si="1"/>
        <v>125</v>
      </c>
      <c r="V10" s="701" t="s">
        <v>14</v>
      </c>
      <c r="W10" s="702">
        <f t="shared" si="2"/>
        <v>125</v>
      </c>
      <c r="X10" s="703"/>
      <c r="Y10" s="3612"/>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1691.9</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3046.53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1111</v>
      </c>
      <c r="C2" s="2145" t="s">
        <v>2074</v>
      </c>
      <c r="D2" s="2145" t="s">
        <v>2075</v>
      </c>
      <c r="E2" s="2612">
        <f ca="1">SUMIF(E6:E13,"&lt;&gt;#ref!",E6:E13)</f>
        <v>6768.48</v>
      </c>
      <c r="F2" s="2793"/>
      <c r="G2" s="2793"/>
      <c r="H2" s="2793"/>
      <c r="I2" s="2793"/>
      <c r="J2" s="2793"/>
      <c r="K2" s="2793"/>
      <c r="L2" s="2793"/>
      <c r="M2" s="2793"/>
      <c r="N2" s="2793"/>
      <c r="O2" s="2793"/>
      <c r="P2" s="2793"/>
    </row>
    <row r="3" spans="1:16" ht="15.75">
      <c r="A3" s="2145" t="s">
        <v>2076</v>
      </c>
      <c r="B3" s="2602">
        <f ca="1">ROUND(B2*10000/E2,0)</f>
        <v>1641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1111</v>
      </c>
      <c r="C6" s="2145" t="s">
        <v>2074</v>
      </c>
      <c r="D6" s="2793"/>
      <c r="E6" s="2612">
        <f ca="1">SUMIF(INDIRECT("'"&amp;A6&amp;"'"&amp;"!C:C"),"建筑面积",INDIRECT("'"&amp;A6&amp;"'"&amp;"!D:D"))</f>
        <v>6768.48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6768.48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1111</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2329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1641</v>
      </c>
      <c r="C3" s="1999" t="s">
        <v>1941</v>
      </c>
      <c r="D3" s="2000" t="s">
        <v>1942</v>
      </c>
      <c r="E3" s="3420" t="s">
        <v>2482</v>
      </c>
      <c r="F3" s="2004" t="s">
        <v>3390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1835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1551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1775</v>
      </c>
      <c r="D5" s="1339">
        <f>ROUND(C6*C17+C20,0)</f>
        <v>1775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1368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1315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1850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3261</v>
      </c>
      <c r="B20" s="167" t="s">
        <v>1994</v>
      </c>
      <c r="C20" s="3325">
        <f>ROUND(IF(F21="与级别开发程度一致",0,(G21-E21)/C21),0)</f>
        <v>-75</v>
      </c>
      <c r="D20" s="3341" t="s">
        <v>1998</v>
      </c>
      <c r="E20" s="3342"/>
      <c r="F20" s="3758" t="s">
        <v>1995</v>
      </c>
      <c r="G20" s="3759"/>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44979</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0.80049999999999999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26.89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1111</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1641</v>
      </c>
      <c r="D33" s="2098">
        <f>'数据-基础表'!A3</f>
        <v>6768.48</v>
      </c>
      <c r="E33" s="773">
        <f>ROUND(C33*D33/10000,0)</f>
        <v>1111</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246</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930</v>
      </c>
      <c r="D37" s="2098"/>
      <c r="E37" s="171">
        <f>ROUND(C37*D37/10000,0)</f>
        <v>0</v>
      </c>
      <c r="F37" s="171">
        <f>SUMIF(修正!A57:A68,G2,修正!B57:B68)</f>
        <v>0.6</v>
      </c>
      <c r="G37" s="171">
        <f>ROUND(IF(E2="工业",C37*$M$42,C37*$M$41),0)</f>
        <v>140</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465</v>
      </c>
      <c r="D38" s="2098"/>
      <c r="E38" s="171">
        <f t="shared" ref="E38:E42" si="4">ROUND(C38*D38/10000,0)</f>
        <v>0</v>
      </c>
      <c r="F38" s="171">
        <f>SUMIF(修正!A57:A68,G2,修正!C57:C68)</f>
        <v>0.3</v>
      </c>
      <c r="G38" s="171">
        <f>ROUND(IF(E2="工业",C38*$M$42,C38*$M$41),0)</f>
        <v>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3266</v>
      </c>
      <c r="C39" s="175">
        <f>ROUND(D5*C22*C23*C24*C28*F39,0)</f>
        <v>388</v>
      </c>
      <c r="D39" s="2098"/>
      <c r="E39" s="171">
        <f t="shared" si="4"/>
        <v>0</v>
      </c>
      <c r="F39" s="171">
        <f>SUMIF(修正!A57:A68,G2,修正!D57:D68)</f>
        <v>0.25</v>
      </c>
      <c r="G39" s="171">
        <f>ROUND(IF(E2="工业",C39*$M$42,C39*$M$41),0)</f>
        <v>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388</v>
      </c>
      <c r="D40" s="2098"/>
      <c r="E40" s="171">
        <f t="shared" si="4"/>
        <v>0</v>
      </c>
      <c r="F40" s="175">
        <f>SUMIF(修正!A57:A68,G2,修正!E57:E68)</f>
        <v>0.25</v>
      </c>
      <c r="G40" s="171">
        <f>ROUND(IF(E2="工业",C40*$M$42,C40*$M$41),0)</f>
        <v>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1.0389999999999999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f t="shared" ref="D83:D90" si="22">SUMIF($J$82:$N$82,C83,J83:N83)</f>
        <v>0</v>
      </c>
      <c r="E83" s="744">
        <f>ROUND(SUM(D83:D90),4)</f>
        <v>3.9E-2</v>
      </c>
      <c r="F83" s="1814">
        <f>IF(E2="工业",SUMIF(L1:L12,G2,N1:N12),"——")</f>
        <v>0.13</v>
      </c>
      <c r="G83" s="1063">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1.95E-2</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3277</v>
      </c>
      <c r="B85" s="2134">
        <f>估价对象房地状况!G17</f>
        <v>0</v>
      </c>
      <c r="C85" s="2044" t="s">
        <v>3399</v>
      </c>
      <c r="D85" s="1065">
        <f t="shared" si="22"/>
        <v>0</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3424</v>
      </c>
      <c r="D86" s="1065">
        <f t="shared" si="22"/>
        <v>-3.2000000000000002E-3</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3399</v>
      </c>
      <c r="D87" s="1065">
        <f t="shared" si="22"/>
        <v>0</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3401</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3400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3400</v>
      </c>
      <c r="D90" s="1065">
        <f t="shared" si="22"/>
        <v>3.2000000000000002E-3</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4" t="s">
        <v>3301</v>
      </c>
      <c r="B103" s="3754"/>
      <c r="C103" s="3754"/>
      <c r="D103" s="3754"/>
      <c r="E103" s="3754"/>
      <c r="F103" s="3754"/>
      <c r="G103" s="3754"/>
      <c r="H103" s="3754"/>
      <c r="I103" s="3754"/>
      <c r="J103" s="3754"/>
      <c r="K103" s="3390"/>
      <c r="L103" s="3390"/>
      <c r="M103" s="3390"/>
      <c r="N103" s="3390"/>
    </row>
    <row r="104" spans="1:14">
      <c r="A104" s="3755" t="s">
        <v>3302</v>
      </c>
      <c r="B104" s="3755" t="s">
        <v>3303</v>
      </c>
      <c r="C104" s="3391" t="s">
        <v>3304</v>
      </c>
      <c r="D104" s="3392"/>
      <c r="E104" s="3392"/>
      <c r="F104" s="3392"/>
      <c r="G104" s="3392"/>
      <c r="H104" s="3392"/>
      <c r="I104" s="3392"/>
      <c r="J104" s="3393"/>
      <c r="K104" s="3394"/>
      <c r="L104" s="3394"/>
      <c r="M104" s="3394"/>
      <c r="N104" s="3394"/>
    </row>
    <row r="105" spans="1:14">
      <c r="A105" s="3755"/>
      <c r="B105" s="3755"/>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1"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4" t="s">
        <v>3318</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0.64319999999999999</v>
      </c>
      <c r="E116" s="2000" t="s">
        <v>3321</v>
      </c>
      <c r="F116" s="3402" t="str">
        <f>E2</f>
        <v>工业</v>
      </c>
      <c r="G116" s="2000" t="s">
        <v>3322</v>
      </c>
      <c r="H116" s="3402" t="str">
        <f>G2</f>
        <v>七级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0"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0" t="s">
        <v>2615</v>
      </c>
      <c r="C27" s="3103" t="s">
        <v>2455</v>
      </c>
      <c r="D27" s="3104"/>
      <c r="E27" s="3105">
        <v>1</v>
      </c>
      <c r="F27" s="3106" t="s">
        <v>2456</v>
      </c>
      <c r="G27" s="3106"/>
    </row>
    <row r="28" spans="1:13" ht="19.5" customHeight="1">
      <c r="A28" s="3764"/>
      <c r="B28" s="3761"/>
      <c r="C28" s="3107" t="s">
        <v>2457</v>
      </c>
      <c r="D28" s="3108"/>
      <c r="E28" s="3109">
        <v>1</v>
      </c>
      <c r="F28" s="3106" t="s">
        <v>2458</v>
      </c>
      <c r="G28" s="3106"/>
    </row>
    <row r="29" spans="1:13" ht="19.5" customHeight="1">
      <c r="A29" s="3764"/>
      <c r="B29" s="3761"/>
      <c r="C29" s="3107" t="s">
        <v>2459</v>
      </c>
      <c r="D29" s="3108"/>
      <c r="E29" s="3109">
        <v>0.8</v>
      </c>
      <c r="F29" s="3106" t="s">
        <v>2460</v>
      </c>
      <c r="G29" s="3106"/>
    </row>
    <row r="30" spans="1:13" ht="19.5" customHeight="1">
      <c r="A30" s="3764"/>
      <c r="B30" s="3761"/>
      <c r="C30" s="3107" t="s">
        <v>2461</v>
      </c>
      <c r="D30" s="3108"/>
      <c r="E30" s="3109">
        <v>0.8</v>
      </c>
      <c r="F30" s="3106" t="s">
        <v>2462</v>
      </c>
      <c r="G30" s="3106"/>
    </row>
    <row r="31" spans="1:13" ht="19.5" customHeight="1">
      <c r="A31" s="3764"/>
      <c r="B31" s="3761"/>
      <c r="C31" s="3107" t="s">
        <v>2463</v>
      </c>
      <c r="D31" s="3108"/>
      <c r="E31" s="3109">
        <v>0.8</v>
      </c>
      <c r="F31" s="3106" t="s">
        <v>2464</v>
      </c>
      <c r="G31" s="3106"/>
    </row>
    <row r="32" spans="1:13" ht="19.5" customHeight="1">
      <c r="A32" s="3764"/>
      <c r="B32" s="3761"/>
      <c r="C32" s="3107" t="s">
        <v>2465</v>
      </c>
      <c r="D32" s="3108"/>
      <c r="E32" s="3109">
        <v>0.7</v>
      </c>
      <c r="F32" s="3106" t="s">
        <v>2466</v>
      </c>
      <c r="G32" s="3106"/>
    </row>
    <row r="33" spans="1:7" ht="19.5" customHeight="1">
      <c r="A33" s="3764"/>
      <c r="B33" s="3761"/>
      <c r="C33" s="3107" t="s">
        <v>2467</v>
      </c>
      <c r="D33" s="3108"/>
      <c r="E33" s="3109">
        <v>0.8</v>
      </c>
      <c r="F33" s="3106" t="s">
        <v>2468</v>
      </c>
      <c r="G33" s="3106"/>
    </row>
    <row r="34" spans="1:7" ht="19.5" customHeight="1">
      <c r="A34" s="3764"/>
      <c r="B34" s="3761"/>
      <c r="C34" s="3107" t="s">
        <v>2469</v>
      </c>
      <c r="D34" s="3108"/>
      <c r="E34" s="3109">
        <v>0.6</v>
      </c>
      <c r="F34" s="3106" t="s">
        <v>2470</v>
      </c>
      <c r="G34" s="3106"/>
    </row>
    <row r="35" spans="1:7" ht="19.5" customHeight="1">
      <c r="A35" s="3764"/>
      <c r="B35" s="3761"/>
      <c r="C35" s="3107" t="s">
        <v>2471</v>
      </c>
      <c r="D35" s="3108"/>
      <c r="E35" s="3109">
        <v>0.2</v>
      </c>
      <c r="F35" s="3106" t="s">
        <v>2472</v>
      </c>
      <c r="G35" s="3106"/>
    </row>
    <row r="36" spans="1:7" ht="19.5" customHeight="1">
      <c r="A36" s="3764"/>
      <c r="B36" s="3761"/>
      <c r="C36" s="3107" t="s">
        <v>2473</v>
      </c>
      <c r="D36" s="3108"/>
      <c r="E36" s="3109">
        <v>0.2</v>
      </c>
      <c r="F36" s="3106" t="s">
        <v>2474</v>
      </c>
      <c r="G36" s="3106"/>
    </row>
    <row r="37" spans="1:7" ht="19.5" customHeight="1">
      <c r="A37" s="3764"/>
      <c r="B37" s="3766" t="s">
        <v>2635</v>
      </c>
      <c r="C37" s="3107" t="s">
        <v>2475</v>
      </c>
      <c r="D37" s="3108"/>
      <c r="E37" s="3109">
        <v>0.6</v>
      </c>
      <c r="F37" s="3106" t="s">
        <v>2476</v>
      </c>
      <c r="G37" s="3106"/>
    </row>
    <row r="38" spans="1:7" ht="19.5" customHeight="1">
      <c r="A38" s="3764"/>
      <c r="B38" s="3761"/>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0"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7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66"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6"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70"/>
      <c r="C89" s="3092" t="s">
        <v>2687</v>
      </c>
      <c r="D89" s="3092" t="s">
        <v>2688</v>
      </c>
      <c r="E89" s="3118">
        <v>0.1</v>
      </c>
      <c r="F89" s="3118">
        <v>15</v>
      </c>
    </row>
    <row r="90" spans="1:6" ht="13.5">
      <c r="A90" s="3118">
        <v>18</v>
      </c>
      <c r="B90" s="3766"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70"/>
      <c r="C106" s="3092" t="s">
        <v>2722</v>
      </c>
      <c r="D106" s="3092" t="s">
        <v>2723</v>
      </c>
      <c r="E106" s="3118">
        <v>0.1</v>
      </c>
      <c r="F106" s="3118">
        <v>15</v>
      </c>
    </row>
    <row r="107" spans="1:6" ht="24">
      <c r="A107" s="3118">
        <v>35</v>
      </c>
      <c r="B107" s="3766"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70"/>
      <c r="C112" s="3118" t="s">
        <v>2735</v>
      </c>
      <c r="D112" s="3092" t="s">
        <v>2736</v>
      </c>
      <c r="E112" s="3118">
        <v>0.1</v>
      </c>
      <c r="F112" s="3118">
        <v>15</v>
      </c>
    </row>
    <row r="113" spans="1:6" ht="13.5">
      <c r="A113" s="3118">
        <v>41</v>
      </c>
      <c r="B113" s="3771" t="s">
        <v>2737</v>
      </c>
      <c r="C113" s="3118" t="s">
        <v>2738</v>
      </c>
      <c r="D113" s="3092" t="s">
        <v>2739</v>
      </c>
      <c r="E113" s="3118">
        <v>0.1</v>
      </c>
      <c r="F113" s="3118">
        <v>15</v>
      </c>
    </row>
    <row r="114" spans="1:6" ht="13.5">
      <c r="A114" s="3118">
        <v>42</v>
      </c>
      <c r="B114" s="3771"/>
      <c r="C114" s="3118" t="s">
        <v>2740</v>
      </c>
      <c r="D114" s="3092" t="s">
        <v>2741</v>
      </c>
      <c r="E114" s="3118">
        <v>0.1</v>
      </c>
      <c r="F114" s="3118">
        <v>15</v>
      </c>
    </row>
    <row r="115" spans="1:6" ht="24">
      <c r="A115" s="3118">
        <v>43</v>
      </c>
      <c r="B115" s="3771"/>
      <c r="C115" s="3118" t="s">
        <v>2742</v>
      </c>
      <c r="D115" s="3092" t="s">
        <v>2743</v>
      </c>
      <c r="E115" s="3118">
        <v>0.1</v>
      </c>
      <c r="F115" s="3118">
        <v>15</v>
      </c>
    </row>
    <row r="116" spans="1:6" ht="13.5">
      <c r="A116" s="3118">
        <v>44</v>
      </c>
      <c r="B116" s="3766" t="s">
        <v>2744</v>
      </c>
      <c r="C116" s="3118" t="s">
        <v>2745</v>
      </c>
      <c r="D116" s="3092" t="s">
        <v>2746</v>
      </c>
      <c r="E116" s="3118">
        <v>0.1</v>
      </c>
      <c r="F116" s="3118">
        <v>15</v>
      </c>
    </row>
    <row r="117" spans="1:6" ht="24">
      <c r="A117" s="3118">
        <v>45</v>
      </c>
      <c r="B117" s="3770"/>
      <c r="C117" s="3092" t="s">
        <v>2747</v>
      </c>
      <c r="D117" s="3092" t="s">
        <v>2748</v>
      </c>
      <c r="E117" s="3118">
        <v>0.1</v>
      </c>
      <c r="F117" s="3118">
        <v>15</v>
      </c>
    </row>
    <row r="118" spans="1:6" ht="24">
      <c r="A118" s="3118">
        <v>46</v>
      </c>
      <c r="B118" s="3766" t="s">
        <v>2749</v>
      </c>
      <c r="C118" s="3118" t="s">
        <v>2750</v>
      </c>
      <c r="D118" s="3092" t="s">
        <v>2751</v>
      </c>
      <c r="E118" s="3118">
        <v>0.1</v>
      </c>
      <c r="F118" s="3118">
        <v>15</v>
      </c>
    </row>
    <row r="119" spans="1:6" ht="24">
      <c r="A119" s="3118">
        <v>47</v>
      </c>
      <c r="B119" s="3770"/>
      <c r="C119" s="3118" t="s">
        <v>2752</v>
      </c>
      <c r="D119" s="3092" t="s">
        <v>2753</v>
      </c>
      <c r="E119" s="3118">
        <v>0.1</v>
      </c>
      <c r="F119" s="3118">
        <v>15</v>
      </c>
    </row>
    <row r="120" spans="1:6" ht="13.5">
      <c r="A120" s="3118">
        <v>48</v>
      </c>
      <c r="B120" s="3766" t="s">
        <v>2754</v>
      </c>
      <c r="C120" s="3118" t="s">
        <v>2755</v>
      </c>
      <c r="D120" s="3092" t="s">
        <v>2756</v>
      </c>
      <c r="E120" s="3118">
        <v>0.1</v>
      </c>
      <c r="F120" s="3118">
        <v>15</v>
      </c>
    </row>
    <row r="121" spans="1:6" ht="13.5">
      <c r="A121" s="3118">
        <v>49</v>
      </c>
      <c r="B121" s="3770"/>
      <c r="C121" s="3118" t="s">
        <v>2757</v>
      </c>
      <c r="D121" s="3092" t="s">
        <v>2758</v>
      </c>
      <c r="E121" s="3118">
        <v>0.1</v>
      </c>
      <c r="F121" s="3118">
        <v>15</v>
      </c>
    </row>
    <row r="122" spans="1:6" ht="24">
      <c r="A122" s="3118">
        <v>50</v>
      </c>
      <c r="B122" s="3771" t="s">
        <v>2759</v>
      </c>
      <c r="C122" s="3118" t="s">
        <v>2760</v>
      </c>
      <c r="D122" s="3092" t="s">
        <v>2761</v>
      </c>
      <c r="E122" s="3118">
        <v>0.1</v>
      </c>
      <c r="F122" s="3118">
        <v>15</v>
      </c>
    </row>
    <row r="123" spans="1:6" ht="24">
      <c r="A123" s="3118">
        <v>51</v>
      </c>
      <c r="B123" s="3771"/>
      <c r="C123" s="3118" t="s">
        <v>2762</v>
      </c>
      <c r="D123" s="3092" t="s">
        <v>2763</v>
      </c>
      <c r="E123" s="3118">
        <v>0.1</v>
      </c>
      <c r="F123" s="3118">
        <v>15</v>
      </c>
    </row>
    <row r="124" spans="1:6" ht="24">
      <c r="A124" s="3118">
        <v>52</v>
      </c>
      <c r="B124" s="3771" t="s">
        <v>2764</v>
      </c>
      <c r="C124" s="3118" t="s">
        <v>2765</v>
      </c>
      <c r="D124" s="3092" t="s">
        <v>2766</v>
      </c>
      <c r="E124" s="3118">
        <v>0.1</v>
      </c>
      <c r="F124" s="3118">
        <v>15</v>
      </c>
    </row>
    <row r="125" spans="1:6" ht="24">
      <c r="A125" s="3118">
        <v>53</v>
      </c>
      <c r="B125" s="377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1" t="s">
        <v>2772</v>
      </c>
      <c r="C127" s="3118" t="s">
        <v>2773</v>
      </c>
      <c r="D127" s="3092" t="s">
        <v>2774</v>
      </c>
      <c r="E127" s="3118">
        <v>0.1</v>
      </c>
      <c r="F127" s="3118">
        <v>15</v>
      </c>
    </row>
    <row r="128" spans="1:6" ht="13.5">
      <c r="A128" s="3118">
        <v>56</v>
      </c>
      <c r="B128" s="3771"/>
      <c r="C128" s="3118" t="s">
        <v>2775</v>
      </c>
      <c r="D128" s="3092" t="s">
        <v>2776</v>
      </c>
      <c r="E128" s="3118">
        <v>0.1</v>
      </c>
      <c r="F128" s="3118">
        <v>15</v>
      </c>
    </row>
    <row r="129" spans="1:6" ht="24">
      <c r="A129" s="3118">
        <v>57</v>
      </c>
      <c r="B129" s="3771"/>
      <c r="C129" s="3118" t="s">
        <v>2777</v>
      </c>
      <c r="D129" s="3092" t="s">
        <v>2778</v>
      </c>
      <c r="E129" s="3118">
        <v>0.1</v>
      </c>
      <c r="F129" s="3118">
        <v>15</v>
      </c>
    </row>
    <row r="130" spans="1:6" ht="24">
      <c r="A130" s="3118">
        <v>58</v>
      </c>
      <c r="B130" s="3771" t="s">
        <v>2779</v>
      </c>
      <c r="C130" s="3118" t="s">
        <v>2780</v>
      </c>
      <c r="D130" s="3092" t="s">
        <v>2781</v>
      </c>
      <c r="E130" s="3118">
        <v>0.1</v>
      </c>
      <c r="F130" s="3118">
        <v>15</v>
      </c>
    </row>
    <row r="131" spans="1:6" ht="13.5">
      <c r="A131" s="3118">
        <v>59</v>
      </c>
      <c r="B131" s="3771"/>
      <c r="C131" s="3118" t="s">
        <v>2782</v>
      </c>
      <c r="D131" s="3092" t="s">
        <v>2783</v>
      </c>
      <c r="E131" s="3118">
        <v>0.1</v>
      </c>
      <c r="F131" s="3118">
        <v>15</v>
      </c>
    </row>
    <row r="132" spans="1:6" ht="13.5">
      <c r="A132" s="3118">
        <v>60</v>
      </c>
      <c r="B132" s="3766" t="s">
        <v>2784</v>
      </c>
      <c r="C132" s="3118" t="s">
        <v>2785</v>
      </c>
      <c r="D132" s="3092" t="s">
        <v>2786</v>
      </c>
      <c r="E132" s="3118">
        <v>0.1</v>
      </c>
      <c r="F132" s="3118">
        <v>15</v>
      </c>
    </row>
    <row r="133" spans="1:6" ht="13.5">
      <c r="A133" s="3118">
        <v>61</v>
      </c>
      <c r="B133" s="377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1" t="s">
        <v>2792</v>
      </c>
      <c r="C135" s="3118" t="s">
        <v>2793</v>
      </c>
      <c r="D135" s="3092" t="s">
        <v>2794</v>
      </c>
      <c r="E135" s="3118">
        <v>0.1</v>
      </c>
      <c r="F135" s="3118">
        <v>15</v>
      </c>
    </row>
    <row r="136" spans="1:6" ht="13.5">
      <c r="A136" s="3118">
        <v>64</v>
      </c>
      <c r="B136" s="377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24233</v>
      </c>
      <c r="C2" s="2" t="s">
        <v>106</v>
      </c>
      <c r="D2" s="199"/>
      <c r="E2" s="199"/>
      <c r="F2" s="199"/>
      <c r="G2" s="199"/>
    </row>
    <row r="3" spans="1:7" s="200" customFormat="1" ht="18" customHeight="1" thickBot="1">
      <c r="A3" s="203" t="s">
        <v>58</v>
      </c>
      <c r="B3" s="204">
        <f ca="1">ROUND(B2*10000/'数据-汇总表'!E3,0)</f>
        <v>143230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32</v>
      </c>
      <c r="D10" s="845">
        <f>'数据-汇总表'!E6</f>
        <v>1691.9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1691.9</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432</v>
      </c>
      <c r="D22" s="235">
        <f ca="1">C26</f>
        <v>1E-4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428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3</v>
      </c>
      <c r="D25" s="238"/>
      <c r="E25" s="241"/>
      <c r="F25" s="239"/>
      <c r="G25" s="242" t="s">
        <v>83</v>
      </c>
    </row>
    <row r="26" spans="1:7" s="214" customFormat="1">
      <c r="A26" s="780" t="s">
        <v>350</v>
      </c>
      <c r="B26" s="215" t="s">
        <v>422</v>
      </c>
      <c r="C26" s="238">
        <f ca="1">ROUND(IF('数据-取费表'!B22&lt;=1,F21*F22*'数据-取费表'!B23/2,F21*(POWER((1+F22),'数据-取费表'!B23/2)-1)),4)</f>
        <v>1E-4</v>
      </c>
      <c r="D26" s="238"/>
      <c r="E26" s="241"/>
      <c r="F26" s="239"/>
      <c r="G26" s="243"/>
    </row>
    <row r="27" spans="1:7" s="214" customFormat="1" ht="24.75">
      <c r="A27" s="777" t="s">
        <v>342</v>
      </c>
      <c r="B27" s="244" t="s">
        <v>85</v>
      </c>
      <c r="C27" s="245">
        <f>C28</f>
        <v>1048</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1048</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23942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372</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1691.9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4</v>
      </c>
      <c r="D41" s="235">
        <f ca="1">C44</f>
        <v>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1E-4</v>
      </c>
      <c r="D44" s="238"/>
      <c r="E44" s="238"/>
      <c r="F44" s="239"/>
      <c r="G44" s="3638"/>
    </row>
    <row r="45" spans="1:7" s="214" customFormat="1" ht="13.5" customHeight="1">
      <c r="A45" s="777" t="s">
        <v>341</v>
      </c>
      <c r="B45" s="244" t="s">
        <v>85</v>
      </c>
      <c r="C45" s="245">
        <f>C46</f>
        <v>21</v>
      </c>
      <c r="D45" s="235">
        <f>C47</f>
        <v>5.0000000000000001E-4</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485</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291</v>
      </c>
      <c r="D51" s="232"/>
      <c r="E51" s="232"/>
      <c r="F51" s="264"/>
      <c r="G51" s="234" t="s">
        <v>37</v>
      </c>
    </row>
    <row r="52" spans="1:7" s="208" customFormat="1" ht="16.5" thickBot="1">
      <c r="A52" s="265" t="s">
        <v>38</v>
      </c>
      <c r="B52" s="266"/>
      <c r="C52" s="267">
        <f ca="1">C31+C51</f>
        <v>24233</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1645</v>
      </c>
      <c r="E5" s="1491"/>
    </row>
    <row r="6" spans="1:5" ht="15.75">
      <c r="A6" s="1491"/>
      <c r="B6" s="3455"/>
      <c r="C6" s="1494" t="s">
        <v>911</v>
      </c>
      <c r="D6" s="850" t="str">
        <f ca="1">NUMBERSTRING(INT(D5*10000),2)&amp;"元整"</f>
        <v>壹仟陆佰肆拾伍万元整</v>
      </c>
      <c r="E6" s="1491"/>
    </row>
    <row r="7" spans="1:5" ht="15.75">
      <c r="A7" s="1491"/>
      <c r="B7" s="3460"/>
      <c r="C7" s="1495" t="s">
        <v>912</v>
      </c>
      <c r="D7" s="851">
        <f ca="1">结果表!H102</f>
        <v>9723</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1645</v>
      </c>
      <c r="E13" s="1491"/>
    </row>
    <row r="14" spans="1:5" ht="15.75">
      <c r="A14" s="1491"/>
      <c r="B14" s="3455"/>
      <c r="C14" s="1494" t="s">
        <v>911</v>
      </c>
      <c r="D14" s="850" t="str">
        <f ca="1">NUMBERSTRING(INT(D13*10000),2)&amp;"元整"</f>
        <v>壹仟陆佰肆拾伍万元整</v>
      </c>
      <c r="E14" s="1491"/>
    </row>
    <row r="15" spans="1:5" ht="15">
      <c r="A15" s="1491"/>
      <c r="B15" s="3460"/>
      <c r="C15" s="1495" t="s">
        <v>921</v>
      </c>
      <c r="D15" s="859">
        <f ca="1">结果表!H108</f>
        <v>9723</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1515</v>
      </c>
      <c r="E19" s="1491"/>
    </row>
    <row r="20" spans="1:5" ht="15.75">
      <c r="A20" s="1491"/>
      <c r="B20" s="3455"/>
      <c r="C20" s="1494" t="s">
        <v>923</v>
      </c>
      <c r="D20" s="850" t="str">
        <f ca="1">NUMBERSTRING(INT(D19*10000),2)&amp;"元整"</f>
        <v>壹仟伍佰壹拾伍万元整</v>
      </c>
      <c r="E20" s="1491"/>
    </row>
    <row r="21" spans="1:5" ht="15.75" thickBot="1">
      <c r="A21" s="1491"/>
      <c r="B21" s="3456"/>
      <c r="C21" s="1501" t="s">
        <v>921</v>
      </c>
      <c r="D21" s="860">
        <f ca="1">结果表!H112</f>
        <v>8954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2846</v>
      </c>
      <c r="B1" s="3774"/>
      <c r="C1" s="3774"/>
      <c r="D1" s="3774"/>
      <c r="E1" s="3774"/>
      <c r="F1" s="3774"/>
      <c r="G1" s="377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3188</v>
      </c>
      <c r="B1" s="377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3239</v>
      </c>
      <c r="B1" s="3777"/>
      <c r="C1" s="3777"/>
      <c r="D1" s="3777"/>
      <c r="E1" s="3777"/>
      <c r="F1" s="3778"/>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44979</v>
      </c>
      <c r="B1" s="3210" t="s">
        <v>2845</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9" t="s">
        <v>2833</v>
      </c>
      <c r="S21" s="3780"/>
      <c r="T21" s="3780"/>
      <c r="U21" s="3780"/>
      <c r="V21" s="3780"/>
      <c r="W21" s="3780"/>
      <c r="X21" s="3165"/>
      <c r="Y21" s="3779" t="s">
        <v>2834</v>
      </c>
      <c r="Z21" s="3780"/>
      <c r="AA21" s="3780"/>
      <c r="AB21" s="3780"/>
      <c r="AC21" s="3780"/>
      <c r="AD21" s="378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44979</v>
      </c>
      <c r="D1" s="1302" t="s">
        <v>603</v>
      </c>
      <c r="E1" s="1297">
        <f>'数据-取费表'!B22</f>
        <v>0.5</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30">
      <c r="A4" s="1505" t="str">
        <f>项目基本情况!S2</f>
        <v>北京市昌平区沙河镇展思门路15号2幢房地产</v>
      </c>
      <c r="B4" s="854">
        <f>项目基本情况!C17</f>
        <v>1691.9</v>
      </c>
      <c r="C4" s="854">
        <f>项目基本情况!C18</f>
        <v>3046.53</v>
      </c>
      <c r="D4" s="854">
        <f ca="1">结果表!D118</f>
        <v>1194</v>
      </c>
      <c r="E4" s="854">
        <f ca="1">结果表!E118</f>
        <v>7057</v>
      </c>
      <c r="F4" s="854">
        <f ca="1">结果表!F118</f>
        <v>451</v>
      </c>
      <c r="G4" s="854">
        <f ca="1">结果表!G118</f>
        <v>2666</v>
      </c>
      <c r="H4" s="854">
        <f ca="1">结果表!H118</f>
        <v>1645</v>
      </c>
      <c r="I4" s="854">
        <f ca="1">结果表!I118</f>
        <v>9723</v>
      </c>
    </row>
    <row r="5" spans="1:9" ht="30" customHeight="1">
      <c r="A5" s="3466" t="s">
        <v>927</v>
      </c>
      <c r="B5" s="3466"/>
      <c r="C5" s="3466"/>
      <c r="D5" s="3466" t="str">
        <f ca="1">结果表!D119</f>
        <v>壹仟壹佰玖拾肆万元整</v>
      </c>
      <c r="E5" s="3466"/>
      <c r="F5" s="3466" t="str">
        <f ca="1">结果表!F119</f>
        <v>肆佰伍拾壹万元整</v>
      </c>
      <c r="G5" s="3466"/>
      <c r="H5" s="3466" t="str">
        <f ca="1">结果表!H119</f>
        <v>壹仟陆佰肆拾伍万元整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1645</v>
      </c>
      <c r="E8" s="3467"/>
      <c r="F8" s="3467"/>
      <c r="G8" s="3467"/>
      <c r="H8" s="3467"/>
      <c r="I8" s="3467"/>
    </row>
    <row r="9" spans="1:9" ht="15">
      <c r="A9" s="3466" t="s">
        <v>927</v>
      </c>
      <c r="B9" s="3466"/>
      <c r="C9" s="3466"/>
      <c r="D9" s="3466" t="str">
        <f ca="1">结果表!D123</f>
        <v>壹仟陆佰肆拾伍万元整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抵押净值</v>
      </c>
      <c r="B12" s="3467"/>
      <c r="C12" s="3467"/>
      <c r="D12" s="3467">
        <f ca="1">结果表!D126</f>
        <v>1515</v>
      </c>
      <c r="E12" s="3467"/>
      <c r="F12" s="3467"/>
      <c r="G12" s="3467"/>
      <c r="H12" s="3467"/>
      <c r="I12" s="3467"/>
    </row>
    <row r="13" spans="1:9" ht="15.75" thickBot="1">
      <c r="A13" s="3471" t="s">
        <v>927</v>
      </c>
      <c r="B13" s="3471"/>
      <c r="C13" s="3471"/>
      <c r="D13" s="3471" t="str">
        <f ca="1">结果表!D127</f>
        <v>壹仟伍佰壹拾伍万元整</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2023-02-24T03:21:17Z</dcterms:modified>
</cp:coreProperties>
</file>